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Еженедельный отчет\"/>
    </mc:Choice>
  </mc:AlternateContent>
  <bookViews>
    <workbookView xWindow="-120" yWindow="-120" windowWidth="29040" windowHeight="15840" tabRatio="681" firstSheet="2" activeTab="2"/>
  </bookViews>
  <sheets>
    <sheet name="Memo Woyskovitsy1" sheetId="13" state="hidden" r:id="rId1"/>
    <sheet name="Memo Severnaya" sheetId="4" state="hidden" r:id="rId2"/>
    <sheet name="Memo Woyskovitsy" sheetId="16" r:id="rId3"/>
    <sheet name="accounts" sheetId="5" r:id="rId4"/>
    <sheet name="deposits" sheetId="14" r:id="rId5"/>
    <sheet name="Cash in Bank" sheetId="11" state="hidden" r:id="rId6"/>
    <sheet name="Sheet1" sheetId="15" state="hidden" r:id="rId7"/>
  </sheets>
  <definedNames>
    <definedName name="__FPMExcelClient_CellBasedFunctionStatus" localSheetId="3" hidden="1">"2_2_2_2_2"</definedName>
    <definedName name="__FPMExcelClient_CellBasedFunctionStatus" localSheetId="5" hidden="1">"2_2_2_2_2"</definedName>
    <definedName name="__FPMExcelClient_CellBasedFunctionStatus" localSheetId="4" hidden="1">"2_2_2_2_2"</definedName>
    <definedName name="__FPMExcelClient_CellBasedFunctionStatus" localSheetId="1" hidden="1">"2_2_2_2_2"</definedName>
    <definedName name="__FPMExcelClient_CellBasedFunctionStatus" localSheetId="0" hidden="1">"2_2_2_2_2"</definedName>
    <definedName name="_xlnm._FilterDatabase" localSheetId="4" hidden="1">deposits!$A$2:$CW$15</definedName>
    <definedName name="Print_Range" localSheetId="4">#REF!</definedName>
    <definedName name="Print_Range" localSheetId="1">'Memo Severnaya'!$C$2:$K$57</definedName>
    <definedName name="Print_Range" localSheetId="0">'Memo Woyskovitsy1'!$C$2:$K$54</definedName>
    <definedName name="Print_Range">#REF!</definedName>
    <definedName name="_xlnm.Print_Area" localSheetId="1">'Memo Severnaya'!$B$2:$K$105</definedName>
    <definedName name="_xlnm.Print_Area" localSheetId="0">'Memo Woyskovitsy1'!$B$2:$K$82</definedName>
  </definedNames>
  <calcPr calcId="162913"/>
</workbook>
</file>

<file path=xl/calcChain.xml><?xml version="1.0" encoding="utf-8"?>
<calcChain xmlns="http://schemas.openxmlformats.org/spreadsheetml/2006/main">
  <c r="F67" i="16" l="1"/>
  <c r="F63" i="16"/>
  <c r="F64" i="16"/>
  <c r="F65" i="16" s="1"/>
  <c r="F69" i="16" s="1"/>
  <c r="F62" i="16"/>
  <c r="F68" i="16"/>
  <c r="BAQ52" i="5" l="1"/>
  <c r="BAQ61" i="5"/>
  <c r="BAP61" i="5" l="1"/>
  <c r="BAP52" i="5" l="1"/>
  <c r="C14" i="14" l="1"/>
  <c r="CW10" i="14"/>
  <c r="CV10" i="14"/>
  <c r="BAO52" i="5" l="1"/>
  <c r="BAO58" i="5"/>
  <c r="BAO61" i="5"/>
  <c r="BAO35" i="5"/>
  <c r="BAN58" i="5" l="1"/>
  <c r="BAN52" i="5"/>
  <c r="BAN61" i="5"/>
  <c r="BAN35" i="5"/>
  <c r="BAM58" i="5" l="1"/>
  <c r="BAM52" i="5"/>
  <c r="BAM61" i="5"/>
  <c r="BAM35" i="5"/>
  <c r="BAL58" i="5" l="1"/>
  <c r="BAL52" i="5"/>
  <c r="BAL61" i="5"/>
  <c r="BAL35" i="5"/>
  <c r="BAK35" i="5" l="1"/>
  <c r="BAK61" i="5"/>
  <c r="BAK58" i="5"/>
  <c r="BAK52" i="5"/>
  <c r="BAJ58" i="5" l="1"/>
  <c r="BAJ52" i="5"/>
  <c r="BAJ61" i="5"/>
  <c r="BAJ35" i="5"/>
  <c r="BAI58" i="5" l="1"/>
  <c r="BAI52" i="5"/>
  <c r="BAI61" i="5"/>
  <c r="BAI35" i="5"/>
  <c r="BAI36" i="5"/>
  <c r="BAH58" i="5" l="1"/>
  <c r="BAH52" i="5"/>
  <c r="BAH61" i="5"/>
  <c r="BAH36" i="5"/>
  <c r="BAH35" i="5"/>
  <c r="BAG58" i="5" l="1"/>
  <c r="BAG52" i="5"/>
  <c r="BAG48" i="5"/>
  <c r="BAG35" i="5"/>
  <c r="BAG61" i="5"/>
  <c r="BAG36" i="5"/>
  <c r="CV9" i="14" l="1"/>
  <c r="CW9" i="14"/>
  <c r="CV3" i="14"/>
  <c r="BAF35" i="5"/>
  <c r="BAF58" i="5"/>
  <c r="BAF52" i="5"/>
  <c r="BAF48" i="5"/>
  <c r="BAF36" i="5"/>
  <c r="BAF61" i="5"/>
  <c r="BAE58" i="5" l="1"/>
  <c r="BAE52" i="5"/>
  <c r="BAE48" i="5"/>
  <c r="BAE61" i="5"/>
  <c r="BAE34" i="5"/>
  <c r="BAE35" i="5"/>
  <c r="BAD52" i="5" l="1"/>
  <c r="BAD58" i="5"/>
  <c r="BAD48" i="5"/>
  <c r="BAD61" i="5"/>
  <c r="BAD35" i="5"/>
  <c r="BAD34" i="5"/>
  <c r="F30" i="16" l="1"/>
  <c r="BAC58" i="5"/>
  <c r="BAC52" i="5"/>
  <c r="BAC48" i="5"/>
  <c r="BAC35" i="5"/>
  <c r="BAC61" i="5"/>
  <c r="BAC34" i="5"/>
  <c r="BAB61" i="5" l="1"/>
  <c r="BAB58" i="5"/>
  <c r="BAB52" i="5"/>
  <c r="BAB48" i="5"/>
  <c r="BAB35" i="5"/>
  <c r="BAB34" i="5"/>
  <c r="BAA58" i="5" l="1"/>
  <c r="BAA52" i="5"/>
  <c r="BAA48" i="5"/>
  <c r="BAA35" i="5"/>
  <c r="BAA61" i="5"/>
  <c r="BAA34" i="5"/>
  <c r="AZZ58" i="5" l="1"/>
  <c r="AZZ52" i="5"/>
  <c r="AZZ48" i="5"/>
  <c r="AZZ61" i="5"/>
  <c r="AZZ35" i="5"/>
  <c r="AZZ34" i="5"/>
  <c r="AZY58" i="5" l="1"/>
  <c r="AZY52" i="5"/>
  <c r="AZY38" i="5"/>
  <c r="AZY35" i="5"/>
  <c r="AZY61" i="5"/>
  <c r="AZY34" i="5"/>
  <c r="AZX58" i="5" l="1"/>
  <c r="AZX52" i="5"/>
  <c r="AZX61" i="5"/>
  <c r="AZX35" i="5"/>
  <c r="AZX34" i="5"/>
  <c r="AZW35" i="5" l="1"/>
  <c r="AZW58" i="5"/>
  <c r="AZW52" i="5"/>
  <c r="AZW61" i="5"/>
  <c r="AZW34" i="5"/>
  <c r="AZV58" i="5" l="1"/>
  <c r="AZV52" i="5"/>
  <c r="AZV61" i="5"/>
  <c r="AZV35" i="5"/>
  <c r="AZV34" i="5"/>
  <c r="AZU52" i="5" l="1"/>
  <c r="AZU58" i="5"/>
  <c r="AZU35" i="5"/>
  <c r="AZU34" i="5"/>
  <c r="AZU61" i="5" s="1"/>
  <c r="AZT58" i="5" l="1"/>
  <c r="AZT52" i="5"/>
  <c r="AZT35" i="5"/>
  <c r="AZT61" i="5" s="1"/>
  <c r="AZS58" i="5" l="1"/>
  <c r="AZS52" i="5"/>
  <c r="AZS35" i="5"/>
  <c r="AZS61" i="5" s="1"/>
  <c r="AZR52" i="5" l="1"/>
  <c r="AZR58" i="5"/>
  <c r="AZR35" i="5"/>
  <c r="AZR61" i="5" s="1"/>
  <c r="AZQ52" i="5" l="1"/>
  <c r="AZQ58" i="5"/>
  <c r="AZQ35" i="5"/>
  <c r="AZQ61" i="5" s="1"/>
  <c r="AZP58" i="5" l="1"/>
  <c r="AZP52" i="5"/>
  <c r="AZP35" i="5"/>
  <c r="AZP61" i="5" s="1"/>
  <c r="AZO58" i="5" l="1"/>
  <c r="AZO52" i="5"/>
  <c r="AZO35" i="5"/>
  <c r="AZO61" i="5" s="1"/>
  <c r="AZN58" i="5" l="1"/>
  <c r="AZN52" i="5"/>
  <c r="AZN35" i="5"/>
  <c r="AZN61" i="5" s="1"/>
  <c r="AZM52" i="5" l="1"/>
  <c r="AZM58" i="5"/>
  <c r="AZM61" i="5" s="1"/>
  <c r="AZL58" i="5" l="1"/>
  <c r="AZL52" i="5"/>
  <c r="AZL61" i="5" s="1"/>
  <c r="AZK58" i="5" l="1"/>
  <c r="AZK52" i="5"/>
  <c r="AZK61" i="5" s="1"/>
  <c r="AZJ57" i="5"/>
  <c r="AZJ58" i="5" l="1"/>
  <c r="AZJ52" i="5"/>
  <c r="AZJ36" i="5"/>
  <c r="AZJ35" i="5"/>
  <c r="AZJ61" i="5" s="1"/>
  <c r="AZI58" i="5" l="1"/>
  <c r="AZI52" i="5"/>
  <c r="AZI57" i="5"/>
  <c r="AZI35" i="5"/>
  <c r="AZI61" i="5" s="1"/>
  <c r="AZH52" i="5" l="1"/>
  <c r="AZH58" i="5"/>
  <c r="AZH57" i="5"/>
  <c r="AZH35" i="5"/>
  <c r="AZH61" i="5" s="1"/>
  <c r="AZG58" i="5" l="1"/>
  <c r="AZG52" i="5"/>
  <c r="AZG61" i="5" s="1"/>
  <c r="AZG57" i="5"/>
  <c r="AZF58" i="5" l="1"/>
  <c r="AZF52" i="5"/>
  <c r="AZF35" i="5"/>
  <c r="AZF61" i="5"/>
  <c r="AZF57" i="5"/>
  <c r="AZE52" i="5" l="1"/>
  <c r="AZE58" i="5"/>
  <c r="AZE57" i="5"/>
  <c r="AZE35" i="5"/>
  <c r="AZE61" i="5" s="1"/>
  <c r="AZD58" i="5" l="1"/>
  <c r="AZD52" i="5"/>
  <c r="AZD57" i="5"/>
  <c r="AZD61" i="5" s="1"/>
  <c r="AZC58" i="5" l="1"/>
  <c r="AZC52" i="5"/>
  <c r="AZC35" i="5"/>
  <c r="AZC61" i="5"/>
  <c r="AZC57" i="5"/>
  <c r="AZB58" i="5" l="1"/>
  <c r="AZB57" i="5"/>
  <c r="AZB35" i="5"/>
  <c r="AZB61" i="5" s="1"/>
  <c r="AZB52" i="5"/>
  <c r="AZA58" i="5" l="1"/>
  <c r="AZA52" i="5"/>
  <c r="AZA61" i="5" s="1"/>
  <c r="AZA57" i="5"/>
  <c r="AZA35" i="5"/>
  <c r="AZA37" i="5"/>
  <c r="AYZ58" i="5" l="1"/>
  <c r="AYZ52" i="5"/>
  <c r="AYZ35" i="5"/>
  <c r="AYZ57" i="5"/>
  <c r="AYZ37" i="5"/>
  <c r="AYZ61" i="5" s="1"/>
  <c r="AYY58" i="5" l="1"/>
  <c r="AYY52" i="5"/>
  <c r="AYY61" i="5" s="1"/>
  <c r="AYY35" i="5"/>
  <c r="AYY37" i="5"/>
  <c r="AYY57" i="5"/>
  <c r="AYX58" i="5" l="1"/>
  <c r="AYX52" i="5"/>
  <c r="AYX35" i="5"/>
  <c r="AYX61" i="5"/>
  <c r="AYX57" i="5"/>
  <c r="AYW52" i="5" l="1"/>
  <c r="AYW58" i="5"/>
  <c r="AYW61" i="5" s="1"/>
  <c r="AYW57" i="5"/>
  <c r="AYV58" i="5" l="1"/>
  <c r="AYV52" i="5"/>
  <c r="AYV61" i="5" s="1"/>
  <c r="AYV57" i="5"/>
  <c r="AYV36" i="5"/>
  <c r="AYV35" i="5"/>
  <c r="AYU58" i="5" l="1"/>
  <c r="AYU57" i="5"/>
  <c r="AYU52" i="5"/>
  <c r="AYU61" i="5" s="1"/>
  <c r="AYT52" i="5" l="1"/>
  <c r="AYT58" i="5"/>
  <c r="AYT57" i="5"/>
  <c r="AYT61" i="5"/>
  <c r="AYT36" i="5"/>
  <c r="AYS58" i="5" l="1"/>
  <c r="AYS61" i="5" s="1"/>
  <c r="AYS52" i="5"/>
  <c r="AYR58" i="5" l="1"/>
  <c r="AYR52" i="5"/>
  <c r="AYR61" i="5" s="1"/>
  <c r="AYR36" i="5"/>
  <c r="AYR35" i="5"/>
  <c r="AYQ58" i="5" l="1"/>
  <c r="AYQ52" i="5"/>
  <c r="AYQ36" i="5"/>
  <c r="AYQ61" i="5"/>
  <c r="AYP58" i="5" l="1"/>
  <c r="AYP52" i="5"/>
  <c r="AYP61" i="5" s="1"/>
  <c r="AYP36" i="5"/>
  <c r="AYP35" i="5"/>
  <c r="AYO58" i="5" l="1"/>
  <c r="AYO52" i="5"/>
  <c r="AYO48" i="5"/>
  <c r="AYO61" i="5"/>
  <c r="AYO35" i="5"/>
  <c r="AYN58" i="5" l="1"/>
  <c r="AYN52" i="5"/>
  <c r="AYN48" i="5"/>
  <c r="AYN61" i="5"/>
  <c r="AYN35" i="5"/>
  <c r="AYM48" i="5" l="1"/>
  <c r="AYM58" i="5"/>
  <c r="AYM61" i="5" s="1"/>
  <c r="AYM52" i="5"/>
  <c r="AYL58" i="5" l="1"/>
  <c r="AYL52" i="5"/>
  <c r="AYL38" i="5"/>
  <c r="AYL35" i="5"/>
  <c r="AYL61" i="5" s="1"/>
  <c r="AYK58" i="5" l="1"/>
  <c r="AYK52" i="5"/>
  <c r="AYK61" i="5" s="1"/>
  <c r="AYK35" i="5"/>
  <c r="AYJ58" i="5" l="1"/>
  <c r="AYJ52" i="5"/>
  <c r="AYJ61" i="5" s="1"/>
  <c r="AYI52" i="5" l="1"/>
  <c r="AYI58" i="5"/>
  <c r="AYI61" i="5" s="1"/>
  <c r="AYH58" i="5" l="1"/>
  <c r="AYH52" i="5"/>
  <c r="AYH61" i="5" l="1"/>
  <c r="AYG58" i="5"/>
  <c r="AYG61" i="5" s="1"/>
  <c r="AYG52" i="5"/>
  <c r="AYF58" i="5" l="1"/>
  <c r="AYF52" i="5"/>
  <c r="AYF35" i="5"/>
  <c r="AYF61" i="5" l="1"/>
  <c r="AYE58" i="5"/>
  <c r="AYE61" i="5" s="1"/>
  <c r="AYE52" i="5"/>
  <c r="AYE35" i="5"/>
  <c r="AYD58" i="5" l="1"/>
  <c r="AYD52" i="5"/>
  <c r="AYD61" i="5" s="1"/>
  <c r="AYD35" i="5"/>
  <c r="AYC58" i="5" l="1"/>
  <c r="AYC52" i="5"/>
  <c r="AYB52" i="5"/>
  <c r="AYB58" i="5"/>
  <c r="AYC61" i="5" l="1"/>
  <c r="AYB61" i="5"/>
  <c r="AYA58" i="5" l="1"/>
  <c r="AYA52" i="5"/>
  <c r="AYA61" i="5" l="1"/>
  <c r="AXZ58" i="5"/>
  <c r="AXZ61" i="5" s="1"/>
  <c r="AXZ52" i="5"/>
  <c r="AXY58" i="5" l="1"/>
  <c r="AXY52" i="5"/>
  <c r="AXY61" i="5" l="1"/>
  <c r="AXX58" i="5"/>
  <c r="AXX61" i="5" s="1"/>
  <c r="AXX52" i="5"/>
  <c r="C26" i="14" l="1"/>
  <c r="F2" i="16"/>
  <c r="AXW58" i="5"/>
  <c r="AXW52" i="5"/>
  <c r="AXW61" i="5" l="1"/>
  <c r="AXV58" i="5"/>
  <c r="AXV61" i="5" s="1"/>
  <c r="AXV52" i="5"/>
  <c r="AXU52" i="5" l="1"/>
  <c r="AXU58" i="5"/>
  <c r="AXU61" i="5" s="1"/>
  <c r="AXT58" i="5" l="1"/>
  <c r="AXT52" i="5"/>
  <c r="AXT55" i="5"/>
  <c r="AXT36" i="5"/>
  <c r="AXT61" i="5" s="1"/>
  <c r="AXS58" i="5" l="1"/>
  <c r="AXS52" i="5"/>
  <c r="AXS35" i="5"/>
  <c r="AXS36" i="5"/>
  <c r="AXS55" i="5"/>
  <c r="AXS61" i="5" l="1"/>
  <c r="AXR58" i="5"/>
  <c r="AXR52" i="5"/>
  <c r="AXR55" i="5"/>
  <c r="AXR36" i="5"/>
  <c r="AXR61" i="5" l="1"/>
  <c r="AXQ58" i="5"/>
  <c r="AXQ52" i="5"/>
  <c r="AXQ55" i="5"/>
  <c r="AXQ36" i="5"/>
  <c r="AXQ61" i="5" l="1"/>
  <c r="AXP52" i="5"/>
  <c r="AXP58" i="5"/>
  <c r="AXP55" i="5"/>
  <c r="AXP36" i="5"/>
  <c r="AXP61" i="5" l="1"/>
  <c r="AXO52" i="5"/>
  <c r="AXO58" i="5"/>
  <c r="AXO36" i="5"/>
  <c r="AXO55" i="5"/>
  <c r="AXN55" i="5"/>
  <c r="AXO61" i="5" l="1"/>
  <c r="AXN52" i="5"/>
  <c r="AXN58" i="5"/>
  <c r="AXN61" i="5"/>
  <c r="AXN36" i="5"/>
  <c r="AXM55" i="5" l="1"/>
  <c r="AXM58" i="5"/>
  <c r="AXM52" i="5"/>
  <c r="AXM61" i="5"/>
  <c r="AXM35" i="5"/>
  <c r="AXL58" i="5" l="1"/>
  <c r="AXL52" i="5"/>
  <c r="AXL35" i="5"/>
  <c r="AXL36" i="5"/>
  <c r="AXL55" i="5"/>
  <c r="AXL61" i="5" l="1"/>
  <c r="AXK52" i="5"/>
  <c r="AXK36" i="5"/>
  <c r="AXK55" i="5"/>
  <c r="AXK58" i="5"/>
  <c r="AXK61" i="5" l="1"/>
  <c r="AXJ35" i="5"/>
  <c r="AXJ58" i="5"/>
  <c r="AXJ52" i="5"/>
  <c r="AXJ55" i="5"/>
  <c r="AXJ36" i="5"/>
  <c r="AXJ37" i="5"/>
  <c r="AXJ32" i="5"/>
  <c r="AXJ34" i="5"/>
  <c r="AXJ61" i="5" l="1"/>
  <c r="AXI58" i="5"/>
  <c r="AXI61" i="5" s="1"/>
  <c r="AXI52" i="5"/>
  <c r="AXI36" i="5"/>
  <c r="AXI55" i="5"/>
  <c r="AXI35" i="5"/>
  <c r="AXH58" i="5" l="1"/>
  <c r="AXH52" i="5"/>
  <c r="AXH55" i="5"/>
  <c r="AXH36" i="5"/>
  <c r="AXH61" i="5" l="1"/>
  <c r="AXG52" i="5"/>
  <c r="AXG58" i="5"/>
  <c r="C11" i="14"/>
  <c r="AXG55" i="5"/>
  <c r="AXG36" i="5"/>
  <c r="AXG35" i="5"/>
  <c r="AXG61" i="5" l="1"/>
  <c r="AXF35" i="5"/>
  <c r="AXF38" i="5"/>
  <c r="AXF52" i="5" l="1"/>
  <c r="AXF58" i="5"/>
  <c r="AXF55" i="5"/>
  <c r="AXF61" i="5"/>
  <c r="AXE58" i="5" l="1"/>
  <c r="AXE52" i="5"/>
  <c r="AXE55" i="5"/>
  <c r="AXE35" i="5"/>
  <c r="AXE61" i="5" l="1"/>
  <c r="AXD58" i="5"/>
  <c r="AXD52" i="5"/>
  <c r="AXD55" i="5"/>
  <c r="AXD35" i="5"/>
  <c r="AXD61" i="5" l="1"/>
  <c r="AXC58" i="5"/>
  <c r="AXC52" i="5"/>
  <c r="AXC48" i="5"/>
  <c r="AXC55" i="5"/>
  <c r="AXC35" i="5"/>
  <c r="AXC61" i="5" s="1"/>
  <c r="AXB58" i="5" l="1"/>
  <c r="AXB52" i="5"/>
  <c r="AXB35" i="5"/>
  <c r="AXB55" i="5"/>
  <c r="AXB38" i="5"/>
  <c r="AXB61" i="5" l="1"/>
  <c r="AXA35" i="5"/>
  <c r="AXA52" i="5"/>
  <c r="AXA58" i="5"/>
  <c r="AXA55" i="5"/>
  <c r="AXA38" i="5"/>
  <c r="AXA61" i="5" s="1"/>
  <c r="AXA36" i="5"/>
  <c r="AWZ52" i="5" l="1"/>
  <c r="AWZ58" i="5"/>
  <c r="AWZ61" i="5" s="1"/>
  <c r="AWZ55" i="5"/>
  <c r="AWY58" i="5" l="1"/>
  <c r="AWY52" i="5"/>
  <c r="AWY35" i="5"/>
  <c r="AWY55" i="5"/>
  <c r="AWY61" i="5" l="1"/>
  <c r="AWX52" i="5"/>
  <c r="AWX58" i="5"/>
  <c r="AWX36" i="5"/>
  <c r="AWX55" i="5"/>
  <c r="AWX61" i="5" l="1"/>
  <c r="AWW52" i="5"/>
  <c r="AWW58" i="5"/>
  <c r="AWW55" i="5"/>
  <c r="AWW36" i="5"/>
  <c r="AWW35" i="5"/>
  <c r="AWW61" i="5" l="1"/>
  <c r="AWV58" i="5"/>
  <c r="AWV52" i="5"/>
  <c r="AWV36" i="5"/>
  <c r="AWV55" i="5"/>
  <c r="AWV61" i="5" l="1"/>
  <c r="AWU58" i="5"/>
  <c r="AWU52" i="5"/>
  <c r="CV11" i="14"/>
  <c r="AWU55" i="5"/>
  <c r="AWU36" i="5"/>
  <c r="AWU35" i="5"/>
  <c r="AWU61" i="5" l="1"/>
  <c r="AWT52" i="5"/>
  <c r="AWT58" i="5"/>
  <c r="AWT55" i="5"/>
  <c r="AWT36" i="5"/>
  <c r="AWT61" i="5" s="1"/>
  <c r="AWT35" i="5"/>
  <c r="AWS32" i="5" l="1"/>
  <c r="AWS36" i="5"/>
  <c r="AWS55" i="5"/>
  <c r="AWS61" i="5"/>
  <c r="AWR55" i="5" l="1"/>
  <c r="AWR58" i="5" l="1"/>
  <c r="AWR61" i="5"/>
  <c r="AWR36" i="5"/>
  <c r="AWQ36" i="5" l="1"/>
  <c r="AWQ55" i="5" l="1"/>
  <c r="AWQ58" i="5"/>
  <c r="AWQ61" i="5" s="1"/>
  <c r="AWQ35" i="5"/>
  <c r="AWP58" i="5"/>
  <c r="AWP55" i="5"/>
  <c r="AWP36" i="5" l="1"/>
  <c r="AWP35" i="5"/>
  <c r="AWP61" i="5" s="1"/>
  <c r="AWO58" i="5" l="1"/>
  <c r="AWO55" i="5"/>
  <c r="AWO36" i="5"/>
  <c r="AWO35" i="5"/>
  <c r="AWO34" i="5"/>
  <c r="AWO61" i="5" l="1"/>
  <c r="AWN58" i="5"/>
  <c r="AWN55" i="5"/>
  <c r="AWN36" i="5"/>
  <c r="AWN61" i="5" s="1"/>
  <c r="AWN35" i="5"/>
  <c r="AWM58" i="5" l="1"/>
  <c r="AWM55" i="5"/>
  <c r="AWM35" i="5"/>
  <c r="AWM61" i="5" l="1"/>
  <c r="AWL58" i="5"/>
  <c r="AWL55" i="5"/>
  <c r="AWL36" i="5"/>
  <c r="AWL35" i="5"/>
  <c r="AWL61" i="5" l="1"/>
  <c r="AWK58" i="5"/>
  <c r="AWK55" i="5"/>
  <c r="AWK35" i="5"/>
  <c r="AWK36" i="5"/>
  <c r="AWK32" i="5"/>
  <c r="AWK61" i="5" l="1"/>
  <c r="AWJ58" i="5"/>
  <c r="AWJ36" i="5"/>
  <c r="AWJ55" i="5"/>
  <c r="AWJ35" i="5"/>
  <c r="AWJ32" i="5"/>
  <c r="AWJ61" i="5" l="1"/>
  <c r="AWI58" i="5"/>
  <c r="AWI55" i="5"/>
  <c r="AWI35" i="5"/>
  <c r="AWI61" i="5" s="1"/>
  <c r="AWI32" i="5"/>
  <c r="AWH58" i="5" l="1"/>
  <c r="AWH55" i="5"/>
  <c r="AWH35" i="5"/>
  <c r="AWH32" i="5"/>
  <c r="AWH61" i="5" l="1"/>
  <c r="AWG58" i="5"/>
  <c r="AWG55" i="5"/>
  <c r="AWG35" i="5"/>
  <c r="AWG32" i="5"/>
  <c r="AWG61" i="5" l="1"/>
  <c r="AWF58" i="5"/>
  <c r="AWF55" i="5"/>
  <c r="AWF36" i="5"/>
  <c r="AWF35" i="5"/>
  <c r="AWF34" i="5"/>
  <c r="AWF32" i="5"/>
  <c r="AWF61" i="5" l="1"/>
  <c r="AWE58" i="5"/>
  <c r="AWE55" i="5"/>
  <c r="AWE36" i="5"/>
  <c r="AWE34" i="5"/>
  <c r="AWE32" i="5"/>
  <c r="AWE61" i="5" l="1"/>
  <c r="AWD58" i="5"/>
  <c r="AWD55" i="5"/>
  <c r="AWD35" i="5"/>
  <c r="AWD61" i="5" l="1"/>
  <c r="AWC58" i="5"/>
  <c r="AWC55" i="5"/>
  <c r="AWC35" i="5"/>
  <c r="AWC36" i="5"/>
  <c r="AWC61" i="5" l="1"/>
  <c r="AWB35" i="5"/>
  <c r="AWB58" i="5"/>
  <c r="AWB55" i="5"/>
  <c r="AWB61" i="5" l="1"/>
  <c r="AWA58" i="5"/>
  <c r="AWA55" i="5"/>
  <c r="AWA36" i="5"/>
  <c r="AWA61" i="5" l="1"/>
  <c r="AVZ58" i="5"/>
  <c r="AVZ35" i="5"/>
  <c r="AVZ55" i="5"/>
  <c r="AVZ61" i="5" l="1"/>
  <c r="AVY58" i="5"/>
  <c r="AVY55" i="5"/>
  <c r="AVY35" i="5"/>
  <c r="AVY61" i="5" l="1"/>
  <c r="AVX58" i="5"/>
  <c r="AVX35" i="5"/>
  <c r="AVX55" i="5"/>
  <c r="AVX61" i="5" l="1"/>
  <c r="AVW35" i="5"/>
  <c r="AVW58" i="5" l="1"/>
  <c r="AVW61" i="5" s="1"/>
  <c r="AVW55" i="5"/>
  <c r="AVV58" i="5" l="1"/>
  <c r="AVV55" i="5"/>
  <c r="AVV35" i="5"/>
  <c r="AVV61" i="5" l="1"/>
  <c r="AVU58" i="5"/>
  <c r="AVU55" i="5"/>
  <c r="AVU61" i="5" l="1"/>
  <c r="AVT58" i="5"/>
  <c r="AVT55" i="5"/>
  <c r="AVT35" i="5"/>
  <c r="AVT61" i="5" l="1"/>
  <c r="AVS58" i="5"/>
  <c r="AVS55" i="5"/>
  <c r="AVS35" i="5"/>
  <c r="AVS61" i="5" l="1"/>
  <c r="AVR58" i="5"/>
  <c r="AVR55" i="5"/>
  <c r="AVR35" i="5"/>
  <c r="AVR61" i="5" l="1"/>
  <c r="AVQ58" i="5"/>
  <c r="AVQ55" i="5"/>
  <c r="AVQ35" i="5"/>
  <c r="AVQ61" i="5" l="1"/>
  <c r="AVP58" i="5"/>
  <c r="AVP55" i="5"/>
  <c r="AVP35" i="5"/>
  <c r="AVP36" i="5"/>
  <c r="AVP61" i="5" l="1"/>
  <c r="AVO35" i="5"/>
  <c r="AVO58" i="5" l="1"/>
  <c r="AVO55" i="5"/>
  <c r="AVO36" i="5"/>
  <c r="AVO61" i="5" l="1"/>
  <c r="AVN58" i="5"/>
  <c r="AVN55" i="5"/>
  <c r="AVN35" i="5"/>
  <c r="AVN61" i="5" l="1"/>
  <c r="AVM58" i="5"/>
  <c r="AVM55" i="5"/>
  <c r="AVM61" i="5" l="1"/>
  <c r="AVL58" i="5"/>
  <c r="AVL55" i="5"/>
  <c r="AVL61" i="5" l="1"/>
  <c r="AVK58" i="5"/>
  <c r="AVK55" i="5"/>
  <c r="AVK34" i="5"/>
  <c r="AVK61" i="5" l="1"/>
  <c r="AVJ58" i="5"/>
  <c r="AVJ55" i="5"/>
  <c r="AVJ35" i="5"/>
  <c r="AVJ61" i="5" l="1"/>
  <c r="AVI35" i="5"/>
  <c r="AVI58" i="5"/>
  <c r="AVI55" i="5"/>
  <c r="AVI61" i="5" l="1"/>
  <c r="AVH58" i="5"/>
  <c r="AVH55" i="5"/>
  <c r="AVH34" i="5"/>
  <c r="AVH35" i="5"/>
  <c r="AVG58" i="5"/>
  <c r="CW3" i="14"/>
  <c r="AVG55" i="5"/>
  <c r="AVG61" i="5" s="1"/>
  <c r="AVH61" i="5" l="1"/>
  <c r="AVF58" i="5"/>
  <c r="AVF55" i="5"/>
  <c r="AVF35" i="5"/>
  <c r="AVF61" i="5" s="1"/>
  <c r="AVE58" i="5" l="1"/>
  <c r="AVE55" i="5"/>
  <c r="AVE35" i="5"/>
  <c r="AVE61" i="5" l="1"/>
  <c r="AVD58" i="5"/>
  <c r="AVD55" i="5"/>
  <c r="AVD61" i="5" l="1"/>
  <c r="AVC58" i="5"/>
  <c r="AVC55" i="5"/>
  <c r="AVC35" i="5"/>
  <c r="AVC61" i="5" l="1"/>
  <c r="AVB58" i="5"/>
  <c r="AVB55" i="5"/>
  <c r="AVB35" i="5"/>
  <c r="AVB61" i="5" l="1"/>
  <c r="AVA58" i="5"/>
  <c r="AVA55" i="5"/>
  <c r="AVA35" i="5"/>
  <c r="AVA61" i="5" l="1"/>
  <c r="C18" i="14"/>
  <c r="AUZ58" i="5"/>
  <c r="AUZ55" i="5"/>
  <c r="AUZ61" i="5" l="1"/>
  <c r="AUY58" i="5"/>
  <c r="AUY61" i="5"/>
  <c r="AUY55" i="5"/>
  <c r="AUX58" i="5" l="1"/>
  <c r="AUX61" i="5" s="1"/>
  <c r="AUX55" i="5"/>
  <c r="AUW58" i="5" l="1"/>
  <c r="AUW61" i="5" s="1"/>
  <c r="AUW55" i="5"/>
  <c r="AUV58" i="5" l="1"/>
  <c r="AUV61" i="5" s="1"/>
  <c r="AUV55" i="5"/>
  <c r="AUU58" i="5" l="1"/>
  <c r="AUU55" i="5"/>
  <c r="AUU61" i="5" l="1"/>
  <c r="AUT58" i="5"/>
  <c r="AUT55" i="5"/>
  <c r="AUT61" i="5" l="1"/>
  <c r="AUS58" i="5"/>
  <c r="AUS55" i="5"/>
  <c r="AUS61" i="5" l="1"/>
  <c r="AUR58" i="5"/>
  <c r="AUR55" i="5"/>
  <c r="AUR61" i="5" l="1"/>
  <c r="AUQ34" i="5"/>
  <c r="AUQ58" i="5"/>
  <c r="AUQ55" i="5"/>
  <c r="AUQ61" i="5" l="1"/>
  <c r="AUP58" i="5"/>
  <c r="AUP61" i="5"/>
  <c r="AUP55" i="5"/>
  <c r="AUO58" i="5" l="1"/>
  <c r="AUO61" i="5" s="1"/>
  <c r="AUO55" i="5"/>
  <c r="AUN58" i="5" l="1"/>
  <c r="AUN61" i="5" s="1"/>
  <c r="AUN55" i="5"/>
  <c r="AUM58" i="5" l="1"/>
  <c r="AUM61" i="5" s="1"/>
  <c r="AUM55" i="5"/>
  <c r="AUL58" i="5" l="1"/>
  <c r="AUL61" i="5" s="1"/>
  <c r="AUL55" i="5"/>
  <c r="AUK58" i="5" l="1"/>
  <c r="AUK61" i="5" s="1"/>
  <c r="AUK55" i="5"/>
  <c r="AUJ55" i="5"/>
  <c r="AUJ58" i="5" l="1"/>
  <c r="AUJ61" i="5" s="1"/>
  <c r="AUI58" i="5" l="1"/>
  <c r="AUI55" i="5"/>
  <c r="AUI35" i="5"/>
  <c r="AUI34" i="5"/>
  <c r="AUI61" i="5" l="1"/>
  <c r="AUH58" i="5"/>
  <c r="AUH55" i="5"/>
  <c r="AUH61" i="5" l="1"/>
  <c r="AUG58" i="5"/>
  <c r="AUG55" i="5"/>
  <c r="AUG61" i="5" l="1"/>
  <c r="AUF36" i="5"/>
  <c r="AUF58" i="5"/>
  <c r="AUF55" i="5"/>
  <c r="AUF61" i="5" l="1"/>
  <c r="AUE58" i="5"/>
  <c r="AUE55" i="5" l="1"/>
  <c r="AUE61" i="5" s="1"/>
  <c r="AUD58" i="5" l="1"/>
  <c r="AUD61" i="5" s="1"/>
  <c r="AUD55" i="5"/>
  <c r="AUC58" i="5" l="1"/>
  <c r="AUC61" i="5" s="1"/>
  <c r="AUC55" i="5"/>
  <c r="AUB58" i="5" l="1"/>
  <c r="AUB61" i="5" s="1"/>
  <c r="AUB55" i="5"/>
  <c r="AUA58" i="5" l="1"/>
  <c r="AUA61" i="5" s="1"/>
  <c r="AUA55" i="5"/>
  <c r="ATZ58" i="5" l="1"/>
  <c r="ATZ61" i="5" s="1"/>
  <c r="ATZ55" i="5"/>
  <c r="ATY58" i="5" l="1"/>
  <c r="ATY61" i="5" s="1"/>
  <c r="ATY55" i="5"/>
  <c r="ATX58" i="5" l="1"/>
  <c r="ATX61" i="5" s="1"/>
  <c r="ATX55" i="5"/>
  <c r="ATW58" i="5" l="1"/>
  <c r="ATW61" i="5" s="1"/>
  <c r="ATW55" i="5"/>
  <c r="ATV58" i="5" l="1"/>
  <c r="ATV61" i="5" s="1"/>
  <c r="ATV55" i="5"/>
  <c r="ATU58" i="5" l="1"/>
  <c r="ATU55" i="5"/>
  <c r="ATT58" i="5"/>
  <c r="ATT55" i="5"/>
  <c r="ATU61" i="5" l="1"/>
  <c r="C20" i="14"/>
  <c r="ATT61" i="5" l="1"/>
  <c r="ATS58" i="5" l="1"/>
  <c r="ATS61" i="5" s="1"/>
  <c r="ATS55" i="5"/>
  <c r="ATR58" i="5" l="1"/>
  <c r="ATR61" i="5" s="1"/>
  <c r="ATR55" i="5"/>
  <c r="ATQ58" i="5" l="1"/>
  <c r="ATQ55" i="5"/>
  <c r="ATQ61" i="5" l="1"/>
  <c r="ATP58" i="5"/>
  <c r="ATP55" i="5"/>
  <c r="ATP61" i="5" l="1"/>
  <c r="ATO58" i="5"/>
  <c r="ATO55" i="5"/>
  <c r="ATO61" i="5" l="1"/>
  <c r="ATN58" i="5"/>
  <c r="ATN55" i="5"/>
  <c r="ATN61" i="5" l="1"/>
  <c r="ATM58" i="5"/>
  <c r="ATM61" i="5"/>
  <c r="ATM55" i="5"/>
  <c r="ATL58" i="5" l="1"/>
  <c r="ATL55" i="5"/>
  <c r="ATL61" i="5" l="1"/>
  <c r="ATK58" i="5"/>
  <c r="ATK55" i="5"/>
  <c r="ATK61" i="5" l="1"/>
  <c r="ATJ58" i="5"/>
  <c r="ATJ55" i="5"/>
  <c r="ATJ61" i="5" l="1"/>
  <c r="ATI58" i="5"/>
  <c r="ATI55" i="5" l="1"/>
  <c r="ATI61" i="5" s="1"/>
  <c r="ATH58" i="5" l="1"/>
  <c r="ATH55" i="5"/>
  <c r="ATH61" i="5" l="1"/>
  <c r="ATG58" i="5"/>
  <c r="ATG55" i="5"/>
  <c r="ATG61" i="5" l="1"/>
  <c r="ATF58" i="5"/>
  <c r="ATF55" i="5" l="1"/>
  <c r="ATF61" i="5" s="1"/>
  <c r="ATE58" i="5" l="1"/>
  <c r="ATE55" i="5"/>
  <c r="ATE61" i="5" l="1"/>
  <c r="ATD58" i="5"/>
  <c r="ATD55" i="5"/>
  <c r="ATD61" i="5" l="1"/>
  <c r="ATC58" i="5"/>
  <c r="ATC61" i="5"/>
  <c r="ATC55" i="5"/>
  <c r="ATB58" i="5" l="1"/>
  <c r="ATB55" i="5"/>
  <c r="ATB61" i="5" l="1"/>
  <c r="ATA58" i="5"/>
  <c r="ATA55" i="5"/>
  <c r="ATA61" i="5" l="1"/>
  <c r="ASZ58" i="5"/>
  <c r="ASZ55" i="5"/>
  <c r="ASY55" i="5"/>
  <c r="ASZ61" i="5" l="1"/>
  <c r="ASY58" i="5"/>
  <c r="ASY61" i="5" s="1"/>
  <c r="ASX58" i="5" l="1"/>
  <c r="ASX55" i="5"/>
  <c r="ASX61" i="5" l="1"/>
  <c r="ASW58" i="5"/>
  <c r="ASW55" i="5"/>
  <c r="ASW35" i="5"/>
  <c r="ASW61" i="5" l="1"/>
  <c r="ASV58" i="5"/>
  <c r="ASV55" i="5"/>
  <c r="ASV61" i="5" l="1"/>
  <c r="ASU58" i="5"/>
  <c r="ASU61" i="5"/>
  <c r="ASU55" i="5"/>
  <c r="AST58" i="5" l="1"/>
  <c r="AST55" i="5"/>
  <c r="AST61" i="5" l="1"/>
  <c r="ASS58" i="5"/>
  <c r="ASS55" i="5"/>
  <c r="ASS61" i="5" l="1"/>
  <c r="ASR58" i="5"/>
  <c r="ASR55" i="5"/>
  <c r="ASR61" i="5" l="1"/>
  <c r="ASQ58" i="5"/>
  <c r="ASQ55" i="5"/>
  <c r="ASQ61" i="5" l="1"/>
  <c r="ASP58" i="5"/>
  <c r="ASP55" i="5"/>
  <c r="ASP61" i="5" l="1"/>
  <c r="ASO58" i="5"/>
  <c r="ASO55" i="5"/>
  <c r="ASN55" i="5"/>
  <c r="ASO61" i="5" l="1"/>
  <c r="ASN58" i="5"/>
  <c r="ASN34" i="5"/>
  <c r="ASN61" i="5" l="1"/>
  <c r="ASM58" i="5"/>
  <c r="ASM55" i="5"/>
  <c r="ASM34" i="5"/>
  <c r="ASM61" i="5" l="1"/>
  <c r="ASL58" i="5"/>
  <c r="ASL55" i="5"/>
  <c r="ASL34" i="5"/>
  <c r="ASL61" i="5" l="1"/>
  <c r="BC11" i="14"/>
  <c r="BD11" i="14"/>
  <c r="ASK58" i="5"/>
  <c r="ASK55" i="5"/>
  <c r="ASK34" i="5"/>
  <c r="ASJ34" i="5"/>
  <c r="ASK61" i="5" l="1"/>
  <c r="ASJ58" i="5"/>
  <c r="ASJ55" i="5"/>
  <c r="ASJ61" i="5" l="1"/>
  <c r="ASI58" i="5"/>
  <c r="ASI55" i="5"/>
  <c r="ASI34" i="5"/>
  <c r="ASI61" i="5" l="1"/>
  <c r="ASH58" i="5"/>
  <c r="ASH55" i="5"/>
  <c r="ASH34" i="5"/>
  <c r="ASH61" i="5" l="1"/>
  <c r="F33" i="16"/>
  <c r="F34" i="16" s="1"/>
  <c r="ASG58" i="5"/>
  <c r="ASG55" i="5"/>
  <c r="ASG34" i="5"/>
  <c r="ASG61" i="5" l="1"/>
  <c r="ASF58" i="5"/>
  <c r="ASF55" i="5"/>
  <c r="ASF61" i="5" l="1"/>
  <c r="ASE58" i="5"/>
  <c r="ASE55" i="5"/>
  <c r="ASE61" i="5" l="1"/>
  <c r="ASD58" i="5"/>
  <c r="ASD61" i="5" s="1"/>
  <c r="ASD55" i="5"/>
  <c r="ASC58" i="5" l="1"/>
  <c r="ASC55" i="5"/>
  <c r="ASC61" i="5" l="1"/>
  <c r="ASB58" i="5"/>
  <c r="ASB55" i="5"/>
  <c r="ASB61" i="5" l="1"/>
  <c r="ASA58" i="5"/>
  <c r="ASA61" i="5" s="1"/>
  <c r="ASA55" i="5"/>
  <c r="ARZ58" i="5" l="1"/>
  <c r="ARZ55" i="5"/>
  <c r="ARZ61" i="5" l="1"/>
  <c r="ARY58" i="5"/>
  <c r="ARY55" i="5"/>
  <c r="ARY61" i="5" l="1"/>
  <c r="ARX58" i="5"/>
  <c r="ARX55" i="5"/>
  <c r="ARX61" i="5" l="1"/>
  <c r="ARW58" i="5"/>
  <c r="ARW55" i="5"/>
  <c r="ARV55" i="5"/>
  <c r="ARW61" i="5" l="1"/>
  <c r="ARV58" i="5"/>
  <c r="ARV61" i="5" s="1"/>
  <c r="ARU58" i="5" l="1"/>
  <c r="ARU55" i="5"/>
  <c r="ARU61" i="5" l="1"/>
  <c r="ART58" i="5"/>
  <c r="ART55" i="5"/>
  <c r="ART61" i="5" l="1"/>
  <c r="ARS58" i="5"/>
  <c r="ARS55" i="5"/>
  <c r="ARS61" i="5" l="1"/>
  <c r="ARR58" i="5"/>
  <c r="ARR55" i="5"/>
  <c r="ARR61" i="5" l="1"/>
  <c r="ARQ58" i="5"/>
  <c r="ARQ55" i="5"/>
  <c r="ARQ61" i="5" l="1"/>
  <c r="ARP58" i="5"/>
  <c r="ARP56" i="5"/>
  <c r="ARP55" i="5"/>
  <c r="ARP61" i="5" l="1"/>
  <c r="ARO58" i="5"/>
  <c r="ARO56" i="5"/>
  <c r="ARO55" i="5"/>
  <c r="ARO61" i="5" l="1"/>
  <c r="ARN58" i="5"/>
  <c r="ARN56" i="5"/>
  <c r="ARN55" i="5"/>
  <c r="ARN61" i="5" l="1"/>
  <c r="ARM58" i="5"/>
  <c r="ARM56" i="5"/>
  <c r="ARM55" i="5"/>
  <c r="ARM45" i="5"/>
  <c r="ARM48" i="5" s="1"/>
  <c r="ARM61" i="5" l="1"/>
  <c r="ARL35" i="5"/>
  <c r="ARL45" i="5" l="1"/>
  <c r="ARL48" i="5" s="1"/>
  <c r="ARL58" i="5"/>
  <c r="ARL56" i="5"/>
  <c r="ARL55" i="5"/>
  <c r="ARL61" i="5" l="1"/>
  <c r="ARK58" i="5"/>
  <c r="ARK56" i="5"/>
  <c r="ARK55" i="5"/>
  <c r="ARK61" i="5" l="1"/>
  <c r="ARJ58" i="5"/>
  <c r="ARJ56" i="5"/>
  <c r="ARJ55" i="5"/>
  <c r="ARJ61" i="5" l="1"/>
  <c r="ARI58" i="5"/>
  <c r="ARI56" i="5"/>
  <c r="ARI55" i="5"/>
  <c r="ARI61" i="5" l="1"/>
  <c r="ARH58" i="5"/>
  <c r="ARH56" i="5"/>
  <c r="ARH55" i="5"/>
  <c r="ARH61" i="5" l="1"/>
  <c r="ARG58" i="5"/>
  <c r="ARG56" i="5"/>
  <c r="ARG55" i="5"/>
  <c r="ARG61" i="5" l="1"/>
  <c r="ARF58" i="5"/>
  <c r="ARF55" i="5"/>
  <c r="ARF56" i="5"/>
  <c r="ARF61" i="5" l="1"/>
  <c r="ARD56" i="5"/>
  <c r="ARE58" i="5"/>
  <c r="ARE56" i="5"/>
  <c r="ARE55" i="5"/>
  <c r="ARE61" i="5" l="1"/>
  <c r="ARD58" i="5"/>
  <c r="ARD55" i="5"/>
  <c r="ARD61" i="5" l="1"/>
  <c r="ARC58" i="5"/>
  <c r="ARC56" i="5"/>
  <c r="ARC55" i="5"/>
  <c r="ARC61" i="5" l="1"/>
  <c r="ARB58" i="5"/>
  <c r="ARB56" i="5"/>
  <c r="ARB55" i="5"/>
  <c r="ARB61" i="5" l="1"/>
  <c r="ARA58" i="5"/>
  <c r="ARA56" i="5"/>
  <c r="ARA55" i="5"/>
  <c r="ARA61" i="5" l="1"/>
  <c r="AQZ58" i="5"/>
  <c r="AQZ56" i="5"/>
  <c r="AQZ55" i="5"/>
  <c r="AQZ36" i="5"/>
  <c r="AQZ61" i="5" l="1"/>
  <c r="AQY58" i="5"/>
  <c r="AQY56" i="5"/>
  <c r="AQY55" i="5"/>
  <c r="AQY61" i="5" l="1"/>
  <c r="AQX58" i="5"/>
  <c r="AQX56" i="5"/>
  <c r="AQX55" i="5"/>
  <c r="AQX61" i="5" l="1"/>
  <c r="AQW58" i="5"/>
  <c r="AQW56" i="5"/>
  <c r="AQW55" i="5"/>
  <c r="AQW61" i="5" l="1"/>
  <c r="AQV58" i="5"/>
  <c r="AQV56" i="5"/>
  <c r="AQV55" i="5"/>
  <c r="AQT56" i="5"/>
  <c r="AQV61" i="5" l="1"/>
  <c r="AQU58" i="5"/>
  <c r="AQU56" i="5"/>
  <c r="AQU55" i="5"/>
  <c r="AQU61" i="5" l="1"/>
  <c r="AQT58" i="5"/>
  <c r="AQT55" i="5"/>
  <c r="AQS34" i="5"/>
  <c r="AQS32" i="5"/>
  <c r="AQR34" i="5"/>
  <c r="AQT61" i="5" l="1"/>
  <c r="AQS58" i="5"/>
  <c r="AQS56" i="5"/>
  <c r="AQS55" i="5"/>
  <c r="AQS61" i="5" l="1"/>
  <c r="AQR58" i="5"/>
  <c r="AQR56" i="5"/>
  <c r="AQR55" i="5"/>
  <c r="AQR61" i="5" l="1"/>
  <c r="AQQ58" i="5"/>
  <c r="AQQ56" i="5"/>
  <c r="AQQ55" i="5"/>
  <c r="AQQ61" i="5" l="1"/>
  <c r="AQP58" i="5"/>
  <c r="AQP56" i="5"/>
  <c r="AQP55" i="5"/>
  <c r="AQP61" i="5" l="1"/>
  <c r="AQO55" i="5"/>
  <c r="AQO58" i="5"/>
  <c r="AQO56" i="5"/>
  <c r="AQO61" i="5" l="1"/>
  <c r="AQN58" i="5"/>
  <c r="AQN56" i="5"/>
  <c r="AQN55" i="5"/>
  <c r="AQN61" i="5" l="1"/>
  <c r="AQM58" i="5"/>
  <c r="AQM56" i="5"/>
  <c r="AQM55" i="5"/>
  <c r="AQM61" i="5" l="1"/>
  <c r="AQL58" i="5"/>
  <c r="AQL56" i="5"/>
  <c r="AQL55" i="5"/>
  <c r="AQL61" i="5" l="1"/>
  <c r="AQK58" i="5"/>
  <c r="AQK56" i="5"/>
  <c r="AQK55" i="5"/>
  <c r="AQK61" i="5" l="1"/>
  <c r="AQI55" i="5"/>
  <c r="AQJ58" i="5" l="1"/>
  <c r="AQJ55" i="5"/>
  <c r="AQJ56" i="5"/>
  <c r="AQJ61" i="5" l="1"/>
  <c r="AQI58" i="5"/>
  <c r="AQI56" i="5"/>
  <c r="AQI61" i="5" l="1"/>
  <c r="AQH58" i="5"/>
  <c r="AQH56" i="5"/>
  <c r="AQH55" i="5"/>
  <c r="AQH61" i="5" l="1"/>
  <c r="AQG58" i="5"/>
  <c r="AQG56" i="5"/>
  <c r="AQG55" i="5"/>
  <c r="AQG61" i="5" l="1"/>
  <c r="AQF58" i="5"/>
  <c r="AQF55" i="5"/>
  <c r="AQF61" i="5" l="1"/>
  <c r="AQE58" i="5"/>
  <c r="AQE55" i="5"/>
  <c r="AQD55" i="5"/>
  <c r="AQE61" i="5" l="1"/>
  <c r="AQD58" i="5"/>
  <c r="AQD61" i="5" s="1"/>
  <c r="AQC58" i="5" l="1"/>
  <c r="AQC55" i="5"/>
  <c r="AQC61" i="5" l="1"/>
  <c r="AQB58" i="5"/>
  <c r="AQB55" i="5"/>
  <c r="AQB61" i="5" l="1"/>
  <c r="AQA58" i="5"/>
  <c r="AQA55" i="5"/>
  <c r="AQA61" i="5" l="1"/>
  <c r="APZ58" i="5"/>
  <c r="APZ55" i="5"/>
  <c r="APZ61" i="5" l="1"/>
  <c r="APY58" i="5"/>
  <c r="APY55" i="5"/>
  <c r="APY61" i="5" l="1"/>
  <c r="APX58" i="5"/>
  <c r="APX55" i="5"/>
  <c r="APX61" i="5" l="1"/>
  <c r="APW58" i="5"/>
  <c r="APW55" i="5"/>
  <c r="APW61" i="5" l="1"/>
  <c r="APV58" i="5"/>
  <c r="APV61" i="5" s="1"/>
  <c r="APV55" i="5"/>
  <c r="J71" i="16" l="1"/>
  <c r="APU58" i="5"/>
  <c r="APU61" i="5" s="1"/>
  <c r="APU55" i="5"/>
  <c r="APT58" i="5" l="1"/>
  <c r="APT55" i="5"/>
  <c r="APT61" i="5" l="1"/>
  <c r="APS58" i="5"/>
  <c r="APS61" i="5" s="1"/>
  <c r="APS55" i="5"/>
  <c r="APR58" i="5" l="1"/>
  <c r="APR55" i="5"/>
  <c r="APR61" i="5" l="1"/>
  <c r="APQ58" i="5"/>
  <c r="APQ61" i="5" s="1"/>
  <c r="APQ55" i="5"/>
  <c r="APP58" i="5" l="1"/>
  <c r="APP55" i="5"/>
  <c r="APP61" i="5" l="1"/>
  <c r="APO58" i="5"/>
  <c r="APN32" i="5"/>
  <c r="C27" i="14" l="1"/>
  <c r="APO55" i="5"/>
  <c r="APO61" i="5" s="1"/>
  <c r="APN55" i="5" l="1"/>
  <c r="APN61" i="5" s="1"/>
  <c r="APM58" i="5" l="1"/>
  <c r="APM55" i="5"/>
  <c r="APM61" i="5" l="1"/>
  <c r="APL58" i="5"/>
  <c r="APL55" i="5"/>
  <c r="APL61" i="5" l="1"/>
  <c r="APK58" i="5"/>
  <c r="APK55" i="5"/>
  <c r="APK61" i="5" l="1"/>
  <c r="APJ58" i="5"/>
  <c r="APJ55" i="5"/>
  <c r="APJ61" i="5" l="1"/>
  <c r="API58" i="5"/>
  <c r="API55" i="5"/>
  <c r="API61" i="5" l="1"/>
  <c r="APH58" i="5"/>
  <c r="APH55" i="5"/>
  <c r="APH61" i="5" l="1"/>
  <c r="APG58" i="5"/>
  <c r="APG55" i="5"/>
  <c r="APG61" i="5" l="1"/>
  <c r="APF58" i="5"/>
  <c r="APF55" i="5"/>
  <c r="APF61" i="5" l="1"/>
  <c r="APE58" i="5"/>
  <c r="APE55" i="5"/>
  <c r="APE61" i="5" l="1"/>
  <c r="APD55" i="5"/>
  <c r="APD58" i="5"/>
  <c r="APD61" i="5" l="1"/>
  <c r="APC58" i="5"/>
  <c r="APC55" i="5"/>
  <c r="APC61" i="5" l="1"/>
  <c r="C4" i="14"/>
  <c r="APB58" i="5"/>
  <c r="APB55" i="5"/>
  <c r="APB61" i="5" l="1"/>
  <c r="APA55" i="5"/>
  <c r="APA58" i="5"/>
  <c r="APA61" i="5" l="1"/>
  <c r="AOZ58" i="5"/>
  <c r="AOZ55" i="5"/>
  <c r="AOZ61" i="5" l="1"/>
  <c r="AOY58" i="5"/>
  <c r="AOY55" i="5"/>
  <c r="AOY61" i="5" l="1"/>
  <c r="AOX58" i="5"/>
  <c r="AOX55" i="5"/>
  <c r="AOX61" i="5" l="1"/>
  <c r="AOW58" i="5"/>
  <c r="AOW55" i="5"/>
  <c r="AOW61" i="5" l="1"/>
  <c r="AOV58" i="5"/>
  <c r="AOV55" i="5"/>
  <c r="AOV61" i="5" l="1"/>
  <c r="AOU58" i="5"/>
  <c r="AOU55" i="5"/>
  <c r="AOU61" i="5" l="1"/>
  <c r="AOT58" i="5"/>
  <c r="AOT55" i="5"/>
  <c r="AOT61" i="5" l="1"/>
  <c r="AOS58" i="5"/>
  <c r="AOS55" i="5"/>
  <c r="AOS61" i="5" l="1"/>
  <c r="AOR58" i="5"/>
  <c r="AOR55" i="5"/>
  <c r="AOR61" i="5" l="1"/>
  <c r="AOQ58" i="5"/>
  <c r="AOQ55" i="5"/>
  <c r="AOQ61" i="5" l="1"/>
  <c r="AOP58" i="5"/>
  <c r="AOP55" i="5"/>
  <c r="AOP61" i="5" l="1"/>
  <c r="AOO58" i="5"/>
  <c r="AOO55" i="5"/>
  <c r="AOO61" i="5" l="1"/>
  <c r="AON58" i="5"/>
  <c r="AON55" i="5"/>
  <c r="AON61" i="5" l="1"/>
  <c r="AOM58" i="5"/>
  <c r="AOM55" i="5"/>
  <c r="AOM61" i="5" l="1"/>
  <c r="AOL58" i="5"/>
  <c r="AOL55" i="5"/>
  <c r="AOL61" i="5" l="1"/>
  <c r="AOK58" i="5"/>
  <c r="AOK55" i="5"/>
  <c r="AOK61" i="5" l="1"/>
  <c r="AOJ58" i="5"/>
  <c r="AOJ55" i="5"/>
  <c r="AOJ61" i="5" l="1"/>
  <c r="AOI58" i="5"/>
  <c r="AOI55" i="5"/>
  <c r="AOI61" i="5" l="1"/>
  <c r="AOH58" i="5"/>
  <c r="AOH55" i="5"/>
  <c r="AOH61" i="5" l="1"/>
  <c r="AOG58" i="5"/>
  <c r="AOG55" i="5"/>
  <c r="AOG61" i="5" l="1"/>
  <c r="AOF58" i="5"/>
  <c r="AOF55" i="5"/>
  <c r="AOF61" i="5" l="1"/>
  <c r="AOE58" i="5"/>
  <c r="AOD58" i="5"/>
  <c r="AOE55" i="5"/>
  <c r="AOE61" i="5" l="1"/>
  <c r="AOD55" i="5"/>
  <c r="AOD61" i="5" s="1"/>
  <c r="AOC58" i="5" l="1"/>
  <c r="AOC55" i="5"/>
  <c r="AOC61" i="5" l="1"/>
  <c r="AOB58" i="5"/>
  <c r="AOB55" i="5"/>
  <c r="AOB61" i="5" l="1"/>
  <c r="AOA58" i="5"/>
  <c r="AOA55" i="5"/>
  <c r="AOA61" i="5" l="1"/>
  <c r="ANZ58" i="5"/>
  <c r="ANZ55" i="5"/>
  <c r="ANZ61" i="5" l="1"/>
  <c r="ANY58" i="5"/>
  <c r="ANY55" i="5"/>
  <c r="ANY61" i="5" l="1"/>
  <c r="ANX58" i="5"/>
  <c r="ANX55" i="5"/>
  <c r="ANX61" i="5" l="1"/>
  <c r="ANW58" i="5"/>
  <c r="ANW61" i="5" s="1"/>
  <c r="ANV58" i="5" l="1"/>
  <c r="ANV61" i="5" s="1"/>
  <c r="ANU58" i="5" l="1"/>
  <c r="ANU61" i="5" s="1"/>
  <c r="ANT58" i="5" l="1"/>
  <c r="ANT61" i="5" s="1"/>
  <c r="ANS58" i="5" l="1"/>
  <c r="ANS61" i="5" s="1"/>
  <c r="ANR58" i="5" l="1"/>
  <c r="ANR61" i="5" s="1"/>
  <c r="ANQ58" i="5" l="1"/>
  <c r="ANQ61" i="5" s="1"/>
  <c r="ANP58" i="5" l="1"/>
  <c r="ANP61" i="5" s="1"/>
  <c r="ANO58" i="5" l="1"/>
  <c r="ANO61" i="5" s="1"/>
  <c r="ANN58" i="5" l="1"/>
  <c r="ANN61" i="5" s="1"/>
  <c r="ANM58" i="5" l="1"/>
  <c r="ANM61" i="5" s="1"/>
  <c r="ANL58" i="5" l="1"/>
  <c r="ANL61" i="5" s="1"/>
  <c r="ANK58" i="5" l="1"/>
  <c r="ANK61" i="5" s="1"/>
  <c r="ANJ58" i="5" l="1"/>
  <c r="ANJ61" i="5" s="1"/>
  <c r="ANI58" i="5" l="1"/>
  <c r="ANI61" i="5" s="1"/>
  <c r="ANG58" i="5" l="1"/>
  <c r="ANH58" i="5"/>
  <c r="ANF58" i="5"/>
  <c r="ANH61" i="5" l="1"/>
  <c r="ANG61" i="5" l="1"/>
  <c r="C28" i="14" l="1"/>
  <c r="C25" i="14"/>
  <c r="ANF61" i="5"/>
  <c r="ANE58" i="5"/>
  <c r="ANE61" i="5" s="1"/>
  <c r="AND58" i="5" l="1"/>
  <c r="AND61" i="5" s="1"/>
  <c r="ANC58" i="5" l="1"/>
  <c r="ANC61" i="5" s="1"/>
  <c r="ANB58" i="5" l="1"/>
  <c r="ANB61" i="5" s="1"/>
  <c r="ANA58" i="5" l="1"/>
  <c r="ANA61" i="5" s="1"/>
  <c r="AMZ58" i="5" l="1"/>
  <c r="AMZ61" i="5" s="1"/>
  <c r="AMY58" i="5" l="1"/>
  <c r="AMY61" i="5" s="1"/>
  <c r="AMX58" i="5" l="1"/>
  <c r="AMX61" i="5" s="1"/>
  <c r="AMW58" i="5" l="1"/>
  <c r="AMW43" i="5"/>
  <c r="AMW61" i="5" l="1"/>
  <c r="AMV58" i="5"/>
  <c r="AMV43" i="5"/>
  <c r="AMV61" i="5" l="1"/>
  <c r="AMU58" i="5"/>
  <c r="AMU43" i="5"/>
  <c r="AMU61" i="5" l="1"/>
  <c r="AMT58" i="5"/>
  <c r="AMT43" i="5"/>
  <c r="AMT61" i="5" l="1"/>
  <c r="AMS58" i="5"/>
  <c r="AMS43" i="5"/>
  <c r="AMS61" i="5" l="1"/>
  <c r="AMR58" i="5"/>
  <c r="AMR43" i="5"/>
  <c r="AMR61" i="5" l="1"/>
  <c r="AMQ58" i="5"/>
  <c r="AMQ43" i="5"/>
  <c r="AMQ61" i="5" l="1"/>
  <c r="AMP58" i="5"/>
  <c r="AMP43" i="5"/>
  <c r="AMP61" i="5" l="1"/>
  <c r="AMN43" i="5"/>
  <c r="AMO43" i="5"/>
  <c r="AMO58" i="5" l="1"/>
  <c r="AMO61" i="5" s="1"/>
  <c r="AMN58" i="5" l="1"/>
  <c r="AMN61" i="5" s="1"/>
  <c r="AMM58" i="5" l="1"/>
  <c r="AMM43" i="5"/>
  <c r="AMM61" i="5" l="1"/>
  <c r="AML58" i="5"/>
  <c r="AML43" i="5"/>
  <c r="AML61" i="5" l="1"/>
  <c r="AMK58" i="5"/>
  <c r="AMK43" i="5"/>
  <c r="AMK61" i="5" l="1"/>
  <c r="AMJ58" i="5"/>
  <c r="AMJ43" i="5"/>
  <c r="AMJ61" i="5" l="1"/>
  <c r="AMI58" i="5"/>
  <c r="AMI43" i="5"/>
  <c r="AMI61" i="5" l="1"/>
  <c r="AMH58" i="5"/>
  <c r="AMH43" i="5"/>
  <c r="AMH61" i="5" l="1"/>
  <c r="AMG58" i="5"/>
  <c r="AMG43" i="5"/>
  <c r="AMG61" i="5" l="1"/>
  <c r="AMF58" i="5"/>
  <c r="AMF43" i="5"/>
  <c r="AMF61" i="5" l="1"/>
  <c r="AME58" i="5"/>
  <c r="AME43" i="5"/>
  <c r="AME61" i="5" l="1"/>
  <c r="AMD58" i="5"/>
  <c r="AMD43" i="5"/>
  <c r="AMD61" i="5" l="1"/>
  <c r="AMC58" i="5"/>
  <c r="AMC43" i="5"/>
  <c r="AMC61" i="5" l="1"/>
  <c r="AMB35" i="5"/>
  <c r="AMB58" i="5"/>
  <c r="AMB43" i="5"/>
  <c r="AMB61" i="5" s="1"/>
  <c r="AMA58" i="5" l="1"/>
  <c r="AMA43" i="5"/>
  <c r="AMA61" i="5" l="1"/>
  <c r="ALZ58" i="5"/>
  <c r="ALZ43" i="5"/>
  <c r="ALZ61" i="5" l="1"/>
  <c r="ALY58" i="5"/>
  <c r="ALY43" i="5"/>
  <c r="ALY61" i="5" l="1"/>
  <c r="ALX58" i="5"/>
  <c r="ALW58" i="5"/>
  <c r="ALX43" i="5"/>
  <c r="ALX61" i="5" l="1"/>
  <c r="ALW43" i="5"/>
  <c r="ALW61" i="5" s="1"/>
  <c r="ALV58" i="5" l="1"/>
  <c r="ALV43" i="5"/>
  <c r="ALV61" i="5" l="1"/>
  <c r="ALU58" i="5"/>
  <c r="ALU43" i="5"/>
  <c r="ALU61" i="5" l="1"/>
  <c r="ALT58" i="5"/>
  <c r="ALT43" i="5"/>
  <c r="ALT61" i="5" l="1"/>
  <c r="ALS58" i="5"/>
  <c r="ALS43" i="5"/>
  <c r="ALS61" i="5" l="1"/>
  <c r="ALR58" i="5"/>
  <c r="ALR43" i="5"/>
  <c r="ALR61" i="5" l="1"/>
  <c r="ALQ58" i="5"/>
  <c r="ALQ43" i="5"/>
  <c r="ALQ61" i="5" s="1"/>
  <c r="ALP58" i="5" l="1"/>
  <c r="ALP43" i="5"/>
  <c r="ALP61" i="5" l="1"/>
  <c r="ALO58" i="5"/>
  <c r="ALO43" i="5"/>
  <c r="ALO61" i="5" l="1"/>
  <c r="ALN58" i="5"/>
  <c r="ALN43" i="5"/>
  <c r="ALN61" i="5" l="1"/>
  <c r="ALM58" i="5"/>
  <c r="ALM43" i="5"/>
  <c r="ALM61" i="5" l="1"/>
  <c r="ALL58" i="5"/>
  <c r="ALL43" i="5"/>
  <c r="ALK43" i="5"/>
  <c r="ALL61" i="5" l="1"/>
  <c r="ALK58" i="5"/>
  <c r="ALK61" i="5" s="1"/>
  <c r="ALJ58" i="5" l="1"/>
  <c r="ALJ43" i="5"/>
  <c r="ALJ61" i="5" l="1"/>
  <c r="ALI58" i="5"/>
  <c r="ALI43" i="5"/>
  <c r="ALI61" i="5" l="1"/>
  <c r="ALH58" i="5"/>
  <c r="ALH43" i="5"/>
  <c r="ALH61" i="5" l="1"/>
  <c r="ALG43" i="5"/>
  <c r="ALG58" i="5"/>
  <c r="ALG61" i="5" s="1"/>
  <c r="ALF58" i="5" l="1"/>
  <c r="ALF43" i="5"/>
  <c r="ALE43" i="5"/>
  <c r="ALD43" i="5"/>
  <c r="ALC43" i="5"/>
  <c r="ALE48" i="5"/>
  <c r="ALF61" i="5" l="1"/>
  <c r="ALE58" i="5"/>
  <c r="ALE61" i="5" s="1"/>
  <c r="ALD58" i="5" l="1"/>
  <c r="ALD61" i="5" s="1"/>
  <c r="ALC58" i="5" l="1"/>
  <c r="ALC61" i="5" s="1"/>
  <c r="ALB58" i="5" l="1"/>
  <c r="ALB61" i="5" s="1"/>
  <c r="ALA58" i="5" l="1"/>
  <c r="ALA61" i="5" s="1"/>
  <c r="AKZ58" i="5" l="1"/>
  <c r="AKZ61" i="5" s="1"/>
  <c r="AKY58" i="5" l="1"/>
  <c r="AKY61" i="5" s="1"/>
  <c r="AKX58" i="5" l="1"/>
  <c r="AKX61" i="5" s="1"/>
  <c r="AKW58" i="5" l="1"/>
  <c r="AKW61" i="5" s="1"/>
  <c r="AKV58" i="5" l="1"/>
  <c r="AKV61" i="5" s="1"/>
  <c r="AKU58" i="5" l="1"/>
  <c r="AKU61" i="5" s="1"/>
  <c r="AKT58" i="5" l="1"/>
  <c r="AKT61" i="5" s="1"/>
  <c r="AKS58" i="5"/>
  <c r="AKS61" i="5" l="1"/>
  <c r="AKR58" i="5" l="1"/>
  <c r="AKR61" i="5" s="1"/>
  <c r="AKQ58" i="5" l="1"/>
  <c r="AKQ61" i="5" s="1"/>
  <c r="AKP58" i="5" l="1"/>
  <c r="AKP61" i="5" s="1"/>
  <c r="AKO58" i="5" l="1"/>
  <c r="AKO61" i="5" s="1"/>
  <c r="AKN58" i="5" l="1"/>
  <c r="AKN61" i="5" s="1"/>
  <c r="AKM58" i="5" l="1"/>
  <c r="AKM61" i="5" s="1"/>
  <c r="AKL58" i="5" l="1"/>
  <c r="AKL61" i="5" s="1"/>
  <c r="AKK58" i="5" l="1"/>
  <c r="AKK61" i="5" s="1"/>
  <c r="AKJ58" i="5" l="1"/>
  <c r="AKJ61" i="5" s="1"/>
  <c r="AKI58" i="5" l="1"/>
  <c r="AKI61" i="5" s="1"/>
  <c r="AKH58" i="5" l="1"/>
  <c r="AKH61" i="5" s="1"/>
  <c r="AKG58" i="5" l="1"/>
  <c r="AKG61" i="5" s="1"/>
  <c r="AKF58" i="5" l="1"/>
  <c r="AKF61" i="5" s="1"/>
  <c r="AKE58" i="5" l="1"/>
  <c r="AKE61" i="5" s="1"/>
  <c r="AKD58" i="5" l="1"/>
  <c r="AKD61" i="5" s="1"/>
  <c r="AKC58" i="5" l="1"/>
  <c r="AKC61" i="5" s="1"/>
  <c r="AKB58" i="5" l="1"/>
  <c r="AKB61" i="5" s="1"/>
  <c r="AKA58" i="5" l="1"/>
  <c r="AJZ58" i="5"/>
  <c r="AKA52" i="5"/>
  <c r="AKA61" i="5" l="1"/>
  <c r="AJZ52" i="5"/>
  <c r="AJZ48" i="5"/>
  <c r="AJZ61" i="5" l="1"/>
  <c r="AJY58" i="5"/>
  <c r="AJY52" i="5"/>
  <c r="AJY48" i="5"/>
  <c r="AJY61" i="5" l="1"/>
  <c r="AJX58" i="5"/>
  <c r="AJX52" i="5"/>
  <c r="AJX48" i="5"/>
  <c r="AJX61" i="5" l="1"/>
  <c r="AJW58" i="5"/>
  <c r="AJW52" i="5"/>
  <c r="AJW48" i="5"/>
  <c r="AJW61" i="5" l="1"/>
  <c r="AJV58" i="5"/>
  <c r="AJV48" i="5"/>
  <c r="AJU52" i="5"/>
  <c r="AJV52" i="5"/>
  <c r="AJV61" i="5" l="1"/>
  <c r="AJU58" i="5"/>
  <c r="AJU61" i="5" s="1"/>
  <c r="AJT58" i="5" l="1"/>
  <c r="AJT52" i="5"/>
  <c r="AJT61" i="5" l="1"/>
  <c r="AJS58" i="5"/>
  <c r="AJS52" i="5"/>
  <c r="AJS61" i="5" l="1"/>
  <c r="AJR58" i="5"/>
  <c r="AJR52" i="5"/>
  <c r="AJR61" i="5" l="1"/>
  <c r="AJQ58" i="5"/>
  <c r="AJQ52" i="5"/>
  <c r="AJP52" i="5"/>
  <c r="AJQ61" i="5" l="1"/>
  <c r="AJP58" i="5"/>
  <c r="AJP61" i="5" s="1"/>
  <c r="AJO58" i="5" l="1"/>
  <c r="AJO52" i="5"/>
  <c r="AJO61" i="5" l="1"/>
  <c r="AJN58" i="5"/>
  <c r="AJN52" i="5"/>
  <c r="AJN61" i="5" s="1"/>
  <c r="AJM58" i="5" l="1"/>
  <c r="AJM52" i="5"/>
  <c r="AJM61" i="5" l="1"/>
  <c r="AJL58" i="5"/>
  <c r="AJL52" i="5"/>
  <c r="AJL61" i="5" s="1"/>
  <c r="AJK58" i="5" l="1"/>
  <c r="AJK52" i="5"/>
  <c r="AJK61" i="5" s="1"/>
  <c r="AJJ58" i="5" l="1"/>
  <c r="AJJ52" i="5"/>
  <c r="AJJ61" i="5" s="1"/>
  <c r="AJI58" i="5" l="1"/>
  <c r="AJI52" i="5"/>
  <c r="AJI61" i="5" l="1"/>
  <c r="AJH58" i="5"/>
  <c r="AJH52" i="5"/>
  <c r="AJH61" i="5" s="1"/>
  <c r="AJG58" i="5" l="1"/>
  <c r="AJG52" i="5"/>
  <c r="AJG61" i="5" s="1"/>
  <c r="AJF58" i="5" l="1"/>
  <c r="AJF52" i="5"/>
  <c r="AJF61" i="5" l="1"/>
  <c r="AJE58" i="5"/>
  <c r="AJE52" i="5"/>
  <c r="AJE61" i="5" l="1"/>
  <c r="AJD58" i="5"/>
  <c r="AJD52" i="5"/>
  <c r="AJD61" i="5" l="1"/>
  <c r="C19" i="14"/>
  <c r="AJC58" i="5"/>
  <c r="AJC52" i="5"/>
  <c r="AJC61" i="5" l="1"/>
  <c r="AJB52" i="5"/>
  <c r="AJB58" i="5" l="1"/>
  <c r="AJB61" i="5" s="1"/>
  <c r="AJA52" i="5" l="1"/>
  <c r="AJA61" i="5" s="1"/>
  <c r="AIZ58" i="5" l="1"/>
  <c r="AIZ52" i="5"/>
  <c r="AIZ61" i="5" l="1"/>
  <c r="AIY58" i="5"/>
  <c r="AIY52" i="5"/>
  <c r="AIY61" i="5" l="1"/>
  <c r="AIX58" i="5"/>
  <c r="AIX52" i="5"/>
  <c r="AIX61" i="5" l="1"/>
  <c r="AIW58" i="5"/>
  <c r="AIW52" i="5"/>
  <c r="AIW61" i="5" l="1"/>
  <c r="AIV58" i="5"/>
  <c r="AIV52" i="5"/>
  <c r="AIV48" i="5"/>
  <c r="AIV61" i="5" l="1"/>
  <c r="AIU58" i="5"/>
  <c r="AIU52" i="5"/>
  <c r="AIU48" i="5"/>
  <c r="AIU61" i="5" l="1"/>
  <c r="AIT58" i="5"/>
  <c r="AIT52" i="5"/>
  <c r="AIT48" i="5"/>
  <c r="AIT61" i="5" l="1"/>
  <c r="AIS58" i="5"/>
  <c r="AIS52" i="5"/>
  <c r="AIS48" i="5"/>
  <c r="AIS61" i="5" l="1"/>
  <c r="AIR58" i="5"/>
  <c r="AIR52" i="5"/>
  <c r="AIR48" i="5"/>
  <c r="AIR61" i="5" l="1"/>
  <c r="AIQ58" i="5"/>
  <c r="AIQ52" i="5"/>
  <c r="AIQ48" i="5"/>
  <c r="AIQ61" i="5" l="1"/>
  <c r="AIP58" i="5"/>
  <c r="AIP52" i="5"/>
  <c r="AIP48" i="5"/>
  <c r="AIP61" i="5" l="1"/>
  <c r="AIO58" i="5"/>
  <c r="AIO52" i="5"/>
  <c r="AIO61" i="5" l="1"/>
  <c r="AIN58" i="5"/>
  <c r="AIN52" i="5"/>
  <c r="AIN48" i="5"/>
  <c r="AIN61" i="5" l="1"/>
  <c r="AIM58" i="5"/>
  <c r="AIM52" i="5"/>
  <c r="AIM48" i="5"/>
  <c r="AIM61" i="5" l="1"/>
  <c r="AIL58" i="5"/>
  <c r="AIL52" i="5"/>
  <c r="AIL48" i="5"/>
  <c r="AIL61" i="5" l="1"/>
  <c r="AIK52" i="5"/>
  <c r="AIK58" i="5"/>
  <c r="AIK48" i="5"/>
  <c r="AIK61" i="5" l="1"/>
  <c r="AIJ58" i="5"/>
  <c r="AIJ52" i="5"/>
  <c r="AIJ48" i="5"/>
  <c r="AIJ61" i="5" l="1"/>
  <c r="AII58" i="5"/>
  <c r="AII52" i="5"/>
  <c r="AII48" i="5"/>
  <c r="AIH48" i="5"/>
  <c r="AII61" i="5" l="1"/>
  <c r="AIH58" i="5"/>
  <c r="AIH52" i="5"/>
  <c r="AIH61" i="5" l="1"/>
  <c r="AIG58" i="5"/>
  <c r="AIG52" i="5"/>
  <c r="AIG61" i="5" l="1"/>
  <c r="AIF58" i="5"/>
  <c r="AIF52" i="5"/>
  <c r="AIF61" i="5" l="1"/>
  <c r="AIE58" i="5" l="1"/>
  <c r="AIE52" i="5"/>
  <c r="AIE61" i="5" l="1"/>
  <c r="AID52" i="5"/>
  <c r="AID58" i="5"/>
  <c r="AID61" i="5" l="1"/>
  <c r="AIC52" i="5"/>
  <c r="AIC58" i="5"/>
  <c r="AIC61" i="5" l="1"/>
  <c r="AIB52" i="5"/>
  <c r="AIB58" i="5"/>
  <c r="AIB61" i="5" l="1"/>
  <c r="AIA58" i="5"/>
  <c r="AIA61" i="5" s="1"/>
  <c r="AHZ58" i="5" l="1"/>
  <c r="AHZ61" i="5" l="1"/>
  <c r="AHY58" i="5"/>
  <c r="AHY61" i="5" s="1"/>
  <c r="AHX58" i="5" l="1"/>
  <c r="AHX61" i="5" s="1"/>
  <c r="AHW58" i="5" l="1"/>
  <c r="AHW61" i="5" s="1"/>
  <c r="AHV58" i="5" l="1"/>
  <c r="AHV61" i="5" s="1"/>
  <c r="AHU58" i="5" l="1"/>
  <c r="AHU61" i="5" s="1"/>
  <c r="AHT58" i="5" l="1"/>
  <c r="AHT61" i="5" s="1"/>
  <c r="AHS58" i="5" l="1"/>
  <c r="AHS61" i="5" s="1"/>
  <c r="AHR58" i="5" l="1"/>
  <c r="AHR61" i="5" s="1"/>
  <c r="AHQ58" i="5" l="1"/>
  <c r="AHQ36" i="5"/>
  <c r="AHQ61" i="5" l="1"/>
  <c r="AHP58" i="5"/>
  <c r="AHP36" i="5"/>
  <c r="AHP61" i="5" l="1"/>
  <c r="AHO58" i="5"/>
  <c r="AHO61" i="5"/>
  <c r="AHN58" i="5" l="1"/>
  <c r="AHN61" i="5" s="1"/>
  <c r="AHM58" i="5" l="1"/>
  <c r="AHM61" i="5" s="1"/>
  <c r="AHL58" i="5" l="1"/>
  <c r="AHL61" i="5" s="1"/>
  <c r="AHK58" i="5" l="1"/>
  <c r="AHK61" i="5" s="1"/>
  <c r="AHJ58" i="5" l="1"/>
  <c r="AHJ61" i="5" s="1"/>
  <c r="AHI58" i="5" l="1"/>
  <c r="AHI61" i="5" s="1"/>
  <c r="AHH58" i="5" l="1"/>
  <c r="AHH61" i="5" s="1"/>
  <c r="AHG58" i="5" l="1"/>
  <c r="AHG61" i="5" s="1"/>
  <c r="AHF58" i="5" l="1"/>
  <c r="AHF61" i="5" s="1"/>
  <c r="AHE58" i="5" l="1"/>
  <c r="AHE61" i="5" s="1"/>
  <c r="AHD58" i="5" l="1"/>
  <c r="AHD61" i="5" s="1"/>
  <c r="AHC58" i="5" l="1"/>
  <c r="AHC61" i="5" s="1"/>
  <c r="AHB58" i="5" l="1"/>
  <c r="AHB61" i="5" s="1"/>
  <c r="AHA58" i="5" l="1"/>
  <c r="AHA61" i="5" s="1"/>
  <c r="AGZ58" i="5" l="1"/>
  <c r="AGZ61" i="5" s="1"/>
  <c r="AGY58" i="5" l="1"/>
  <c r="AGY61" i="5" s="1"/>
  <c r="AGX58" i="5" l="1"/>
  <c r="AGX61" i="5" s="1"/>
  <c r="AGW58" i="5" l="1"/>
  <c r="AGW61" i="5" s="1"/>
  <c r="AGV58" i="5" l="1"/>
  <c r="AGV61" i="5" s="1"/>
  <c r="AGU58" i="5" l="1"/>
  <c r="AGU61" i="5" s="1"/>
  <c r="AGT58" i="5" l="1"/>
  <c r="AGT61" i="5" s="1"/>
  <c r="AGS58" i="5" l="1"/>
  <c r="AGS61" i="5" s="1"/>
  <c r="AGR58" i="5" l="1"/>
  <c r="AGR61" i="5" s="1"/>
  <c r="AGQ56" i="5" l="1"/>
  <c r="AGQ61" i="5" s="1"/>
  <c r="AGP56" i="5" l="1"/>
  <c r="AGP61" i="5" s="1"/>
  <c r="AGO56" i="5" l="1"/>
  <c r="AGO61" i="5" s="1"/>
  <c r="AGN52" i="5"/>
  <c r="AGM61" i="5"/>
  <c r="AGN61" i="5" l="1"/>
  <c r="AGL56" i="5" l="1"/>
  <c r="AGL61" i="5" s="1"/>
  <c r="AGK56" i="5" l="1"/>
  <c r="AGK61" i="5" s="1"/>
  <c r="AGJ56" i="5" l="1"/>
  <c r="AGJ61" i="5" s="1"/>
  <c r="AGI56" i="5" l="1"/>
  <c r="AGI61" i="5" s="1"/>
  <c r="AGH56" i="5" l="1"/>
  <c r="AGH61" i="5" s="1"/>
  <c r="AGG56" i="5" l="1"/>
  <c r="AGG61" i="5" s="1"/>
  <c r="AGF56" i="5" l="1"/>
  <c r="AGF61" i="5" s="1"/>
  <c r="AGE56" i="5" l="1"/>
  <c r="AGE61" i="5" s="1"/>
  <c r="AGD56" i="5" l="1"/>
  <c r="AGD61" i="5" s="1"/>
  <c r="AGC56" i="5" l="1"/>
  <c r="AGC61" i="5" s="1"/>
  <c r="AGB56" i="5" l="1"/>
  <c r="AGB61" i="5" s="1"/>
  <c r="AGA56" i="5" l="1"/>
  <c r="AGA61" i="5" s="1"/>
  <c r="AFZ56" i="5" l="1"/>
  <c r="AFZ61" i="5" s="1"/>
  <c r="AFY56" i="5" l="1"/>
  <c r="AFY61" i="5" s="1"/>
  <c r="AFX56" i="5" l="1"/>
  <c r="AFX61" i="5" s="1"/>
  <c r="AFW56" i="5"/>
  <c r="AFW61" i="5" l="1"/>
  <c r="AFV56" i="5" l="1"/>
  <c r="AFV61" i="5" s="1"/>
  <c r="AFU56" i="5" l="1"/>
  <c r="AFU61" i="5" s="1"/>
  <c r="AFT56" i="5" l="1"/>
  <c r="AFT61" i="5" s="1"/>
  <c r="AFS56" i="5" l="1"/>
  <c r="AFS61" i="5" s="1"/>
  <c r="AFR56" i="5" l="1"/>
  <c r="AFR61" i="5" s="1"/>
  <c r="AFQ56" i="5" l="1"/>
  <c r="AFQ61" i="5" s="1"/>
  <c r="AFP56" i="5" l="1"/>
  <c r="AFP61" i="5"/>
  <c r="AFO56" i="5" l="1"/>
  <c r="AFO61" i="5" s="1"/>
  <c r="AFN56" i="5" l="1"/>
  <c r="AFN61" i="5" s="1"/>
  <c r="AFM56" i="5" l="1"/>
  <c r="AFM61" i="5" s="1"/>
  <c r="AFL56" i="5" l="1"/>
  <c r="AFL61" i="5" s="1"/>
  <c r="AFK56" i="5" l="1"/>
  <c r="AFK61" i="5" s="1"/>
  <c r="AFJ56" i="5" l="1"/>
  <c r="AFJ61" i="5" s="1"/>
  <c r="AFI56" i="5" l="1"/>
  <c r="AFI61" i="5" s="1"/>
  <c r="AFH56" i="5" l="1"/>
  <c r="AFH61" i="5" s="1"/>
  <c r="AFG56" i="5" l="1"/>
  <c r="AFG61" i="5" s="1"/>
  <c r="AFF56" i="5" l="1"/>
  <c r="AFF61" i="5" s="1"/>
  <c r="AFE56" i="5" l="1"/>
  <c r="AFE61" i="5" s="1"/>
  <c r="AFD56" i="5" l="1"/>
  <c r="AFD61" i="5" s="1"/>
  <c r="AFC56" i="5" l="1"/>
  <c r="AFC61" i="5" s="1"/>
  <c r="AFB56" i="5" l="1"/>
  <c r="AFB61" i="5" s="1"/>
  <c r="AFA56" i="5" l="1"/>
  <c r="AFA61" i="5" s="1"/>
  <c r="AEZ56" i="5" l="1"/>
  <c r="AEZ61" i="5" s="1"/>
  <c r="AEY56" i="5" l="1"/>
  <c r="AEY61" i="5" s="1"/>
  <c r="AEX56" i="5" l="1"/>
  <c r="AEX61" i="5" s="1"/>
  <c r="AEW56" i="5" l="1"/>
  <c r="AEW61" i="5" s="1"/>
  <c r="AEV56" i="5" l="1"/>
  <c r="AEV48" i="5"/>
  <c r="J32" i="16"/>
  <c r="J33" i="16"/>
  <c r="AEV61" i="5" l="1"/>
  <c r="AEU56" i="5"/>
  <c r="AEU48" i="5"/>
  <c r="AEU61" i="5" l="1"/>
  <c r="AET56" i="5"/>
  <c r="AET48" i="5"/>
  <c r="AET61" i="5" l="1"/>
  <c r="AES56" i="5"/>
  <c r="AER56" i="5"/>
  <c r="AES48" i="5"/>
  <c r="AES61" i="5" l="1"/>
  <c r="AER48" i="5"/>
  <c r="AER61" i="5" s="1"/>
  <c r="AEQ56" i="5" l="1"/>
  <c r="AEQ48" i="5"/>
  <c r="AEQ61" i="5" l="1"/>
  <c r="AEP56" i="5"/>
  <c r="AEP48" i="5"/>
  <c r="AEP61" i="5" l="1"/>
  <c r="AEO56" i="5"/>
  <c r="AEO48" i="5"/>
  <c r="AEO61" i="5" l="1"/>
  <c r="AEN56" i="5"/>
  <c r="AEN48" i="5"/>
  <c r="AEN61" i="5" l="1"/>
  <c r="AEM56" i="5"/>
  <c r="AEM48" i="5"/>
  <c r="AEM61" i="5" l="1"/>
  <c r="AEL56" i="5"/>
  <c r="AEL48" i="5"/>
  <c r="AEL61" i="5" l="1"/>
  <c r="AEK56" i="5"/>
  <c r="AEK48" i="5"/>
  <c r="AEK61" i="5" l="1"/>
  <c r="AEJ56" i="5"/>
  <c r="AEJ48" i="5"/>
  <c r="AEJ61" i="5" l="1"/>
  <c r="ACZ43" i="5"/>
  <c r="AEI56" i="5" l="1"/>
  <c r="AEI48" i="5"/>
  <c r="AEI61" i="5" l="1"/>
  <c r="AEH56" i="5"/>
  <c r="AEH61" i="5" s="1"/>
  <c r="AEG56" i="5" l="1"/>
  <c r="AEG61" i="5" s="1"/>
  <c r="AEF56" i="5" l="1"/>
  <c r="AEF61" i="5" s="1"/>
  <c r="AEE56" i="5" l="1"/>
  <c r="AEE61" i="5" s="1"/>
  <c r="AED56" i="5" l="1"/>
  <c r="AED61" i="5" s="1"/>
  <c r="AEC56" i="5" l="1"/>
  <c r="AEC61" i="5" s="1"/>
  <c r="AEB56" i="5" l="1"/>
  <c r="AEB61" i="5" s="1"/>
  <c r="AEA56" i="5" l="1"/>
  <c r="AEA61" i="5" s="1"/>
  <c r="ADZ56" i="5" l="1"/>
  <c r="ADZ61" i="5" s="1"/>
  <c r="ADY56" i="5" l="1"/>
  <c r="ADY61" i="5" s="1"/>
  <c r="ADX56" i="5" l="1"/>
  <c r="ADX61" i="5" s="1"/>
  <c r="ADW56" i="5" l="1"/>
  <c r="ADW61" i="5" s="1"/>
  <c r="ADV56" i="5"/>
  <c r="ADV61" i="5" l="1"/>
  <c r="ADU56" i="5" l="1"/>
  <c r="ADU61" i="5" s="1"/>
  <c r="ADT56" i="5" l="1"/>
  <c r="ADT61" i="5" s="1"/>
  <c r="ADS56" i="5" l="1"/>
  <c r="ADS61" i="5" s="1"/>
  <c r="ADR56" i="5" l="1"/>
  <c r="ADR61" i="5" s="1"/>
  <c r="ADQ56" i="5" l="1"/>
  <c r="ADQ61" i="5" s="1"/>
  <c r="ADP56" i="5" l="1"/>
  <c r="ADP61" i="5" s="1"/>
  <c r="ADO56" i="5" l="1"/>
  <c r="ADO61" i="5" s="1"/>
  <c r="ADN56" i="5" l="1"/>
  <c r="ADN43" i="5"/>
  <c r="ADN61" i="5" l="1"/>
  <c r="ADM56" i="5"/>
  <c r="ADM43" i="5"/>
  <c r="ADM61" i="5" l="1"/>
  <c r="ADL56" i="5"/>
  <c r="ADL43" i="5"/>
  <c r="ADL61" i="5" s="1"/>
  <c r="ADK56" i="5" l="1"/>
  <c r="ADK43" i="5"/>
  <c r="ADK61" i="5" l="1"/>
  <c r="ADJ56" i="5"/>
  <c r="ADJ43" i="5"/>
  <c r="ADJ61" i="5" s="1"/>
  <c r="ADI56" i="5" l="1"/>
  <c r="ADI43" i="5"/>
  <c r="ADI61" i="5" l="1"/>
  <c r="ADH56" i="5"/>
  <c r="ADH43" i="5"/>
  <c r="ADH61" i="5" l="1"/>
  <c r="ADG56" i="5"/>
  <c r="ADG43" i="5"/>
  <c r="ADG61" i="5" l="1"/>
  <c r="ADF56" i="5"/>
  <c r="ADF43" i="5"/>
  <c r="ADF61" i="5" s="1"/>
  <c r="ADE56" i="5" l="1"/>
  <c r="ADE43" i="5"/>
  <c r="ADE61" i="5" l="1"/>
  <c r="ADD56" i="5"/>
  <c r="ADD43" i="5"/>
  <c r="ADD61" i="5" l="1"/>
  <c r="ADC43" i="5"/>
  <c r="ACW56" i="5"/>
  <c r="ACV56" i="5"/>
  <c r="ACU56" i="5"/>
  <c r="ACT56" i="5"/>
  <c r="ACS56" i="5"/>
  <c r="ACR56" i="5"/>
  <c r="ACQ56" i="5"/>
  <c r="ACX56" i="5"/>
  <c r="ACY56" i="5"/>
  <c r="ACZ56" i="5"/>
  <c r="ADA56" i="5"/>
  <c r="ADB56" i="5"/>
  <c r="ADC56" i="5"/>
  <c r="ADC61" i="5" l="1"/>
  <c r="ADB43" i="5"/>
  <c r="ADA43" i="5" l="1"/>
  <c r="ADB61" i="5" l="1"/>
  <c r="ACY43" i="5" l="1"/>
  <c r="ACX43" i="5" l="1"/>
  <c r="ACW43" i="5" l="1"/>
  <c r="ACV43" i="5" l="1"/>
  <c r="ACU43" i="5" l="1"/>
  <c r="CV4" i="14" l="1"/>
  <c r="ACT43" i="5"/>
  <c r="ACS43" i="5" l="1"/>
  <c r="ACR43" i="5" l="1"/>
  <c r="ACQ43" i="5" l="1"/>
  <c r="ACP52" i="5" l="1"/>
  <c r="ACP43" i="5"/>
  <c r="ACP61" i="5" l="1"/>
  <c r="ACO43" i="5"/>
  <c r="ACO61" i="5" s="1"/>
  <c r="ACN43" i="5" l="1"/>
  <c r="ACN61" i="5" s="1"/>
  <c r="ACM43" i="5" l="1"/>
  <c r="ACM61" i="5" s="1"/>
  <c r="ACL43" i="5" l="1"/>
  <c r="ACL61" i="5" s="1"/>
  <c r="ACK43" i="5" l="1"/>
  <c r="ACK61" i="5" s="1"/>
  <c r="ACJ43" i="5" l="1"/>
  <c r="ACJ61" i="5" s="1"/>
  <c r="ACI43" i="5" l="1"/>
  <c r="ACI61" i="5" s="1"/>
  <c r="ACH43" i="5" l="1"/>
  <c r="ACH61" i="5" s="1"/>
  <c r="ACG43" i="5" l="1"/>
  <c r="ACG61" i="5" s="1"/>
  <c r="ACF43" i="5" l="1"/>
  <c r="ACF61" i="5" s="1"/>
  <c r="ACE43" i="5" l="1"/>
  <c r="ACE61" i="5" s="1"/>
  <c r="ACD43" i="5" l="1"/>
  <c r="ACD61" i="5" s="1"/>
  <c r="ACC43" i="5" l="1"/>
  <c r="ACC61" i="5" s="1"/>
  <c r="ACB43" i="5" l="1"/>
  <c r="ACB61" i="5" s="1"/>
  <c r="ACA43" i="5" l="1"/>
  <c r="ACA61" i="5" s="1"/>
  <c r="ABZ43" i="5" l="1"/>
  <c r="ABZ61" i="5" s="1"/>
  <c r="ABY43" i="5" l="1"/>
  <c r="ABY61" i="5" s="1"/>
  <c r="ABX43" i="5" l="1"/>
  <c r="ABX61" i="5" s="1"/>
  <c r="ABW43" i="5" l="1"/>
  <c r="ABW61" i="5" s="1"/>
  <c r="ABV43" i="5" l="1"/>
  <c r="ABV61" i="5" s="1"/>
  <c r="ABU43" i="5" l="1"/>
  <c r="ABU61" i="5" s="1"/>
  <c r="ABT43" i="5" l="1"/>
  <c r="ABT61" i="5" s="1"/>
  <c r="ABS43" i="5" l="1"/>
  <c r="ABS61" i="5" s="1"/>
  <c r="ABR43" i="5" l="1"/>
  <c r="ABR61" i="5" s="1"/>
  <c r="ABQ43" i="5" l="1"/>
  <c r="ABQ61" i="5" s="1"/>
  <c r="ABP43" i="5" l="1"/>
  <c r="ABP61" i="5" s="1"/>
  <c r="ABO43" i="5" l="1"/>
  <c r="ABO61" i="5" s="1"/>
  <c r="CV5" i="14" l="1"/>
  <c r="CW5" i="14"/>
  <c r="CT6" i="14"/>
  <c r="CU6" i="14"/>
  <c r="CV6" i="14"/>
  <c r="CW6" i="14"/>
  <c r="CT7" i="14"/>
  <c r="CU7" i="14"/>
  <c r="CV7" i="14"/>
  <c r="CW7" i="14"/>
  <c r="CR8" i="14"/>
  <c r="CV8" i="14"/>
  <c r="CW8" i="14"/>
  <c r="ABN43" i="5"/>
  <c r="ABN61" i="5" s="1"/>
  <c r="ABM43" i="5" l="1"/>
  <c r="ABM61" i="5" s="1"/>
  <c r="ABL43" i="5" l="1"/>
  <c r="ABL61" i="5" s="1"/>
  <c r="ABK43" i="5" l="1"/>
  <c r="ABK61" i="5" s="1"/>
  <c r="ABJ43" i="5" l="1"/>
  <c r="ABJ61" i="5" s="1"/>
  <c r="ABI43" i="5" l="1"/>
  <c r="ABI61" i="5" s="1"/>
  <c r="ABH43" i="5" l="1"/>
  <c r="ABH61" i="5" s="1"/>
  <c r="ABG43" i="5" l="1"/>
  <c r="ABG61" i="5" s="1"/>
  <c r="ABF43" i="5" l="1"/>
  <c r="ABF35" i="5"/>
  <c r="ABF61" i="5" l="1"/>
  <c r="ABE43" i="5"/>
  <c r="ABE61" i="5" s="1"/>
  <c r="ABD43" i="5" l="1"/>
  <c r="ABD61" i="5" s="1"/>
  <c r="ABC43" i="5" l="1"/>
  <c r="ABC61" i="5" s="1"/>
  <c r="ABB43" i="5" l="1"/>
  <c r="ABB61" i="5" s="1"/>
  <c r="ABA43" i="5" l="1"/>
  <c r="ABA61" i="5" s="1"/>
  <c r="AAZ43" i="5" l="1"/>
  <c r="AAZ61" i="5" s="1"/>
  <c r="AAY43" i="5" l="1"/>
  <c r="AAY61" i="5" s="1"/>
  <c r="AAX43" i="5" l="1"/>
  <c r="AAX61" i="5" s="1"/>
  <c r="AAW43" i="5" l="1"/>
  <c r="AAW61" i="5" s="1"/>
  <c r="AAV43" i="5" l="1"/>
  <c r="AAV61" i="5" s="1"/>
  <c r="AAU43" i="5" l="1"/>
  <c r="AAU61" i="5" s="1"/>
  <c r="AAT43" i="5" l="1"/>
  <c r="AAT61" i="5" s="1"/>
  <c r="AAS43" i="5" l="1"/>
  <c r="AAS61" i="5" s="1"/>
  <c r="AAR43" i="5" l="1"/>
  <c r="AAR61" i="5" s="1"/>
  <c r="AAQ43" i="5" l="1"/>
  <c r="AAQ61" i="5" s="1"/>
  <c r="AAP43" i="5" l="1"/>
  <c r="AAP61" i="5" s="1"/>
  <c r="AAO43" i="5" l="1"/>
  <c r="AAO61" i="5" s="1"/>
  <c r="AAN43" i="5" l="1"/>
  <c r="AAN61" i="5" s="1"/>
  <c r="AAM43" i="5" l="1"/>
  <c r="AAM61" i="5" s="1"/>
  <c r="AAL43" i="5" l="1"/>
  <c r="AAL61" i="5" s="1"/>
  <c r="AAK43" i="5" l="1"/>
  <c r="AAK61" i="5" s="1"/>
  <c r="AAJ43" i="5" l="1"/>
  <c r="AAJ61" i="5" s="1"/>
  <c r="AAI43" i="5" l="1"/>
  <c r="AAI61" i="5" s="1"/>
  <c r="AAH56" i="5" l="1"/>
  <c r="AAH43" i="5"/>
  <c r="AAH61" i="5" l="1"/>
  <c r="AAG56" i="5"/>
  <c r="AAF56" i="5"/>
  <c r="AAG43" i="5"/>
  <c r="AAG61" i="5" l="1"/>
  <c r="AAF43" i="5"/>
  <c r="AAF61" i="5" s="1"/>
  <c r="AAE43" i="5" l="1"/>
  <c r="AAE61" i="5" s="1"/>
  <c r="AAD43" i="5" l="1"/>
  <c r="AAD61" i="5" s="1"/>
  <c r="AAC43" i="5" l="1"/>
  <c r="AAC61" i="5" s="1"/>
  <c r="AAB43" i="5" l="1"/>
  <c r="AAB32" i="5"/>
  <c r="AAB61" i="5" l="1"/>
  <c r="AAA43" i="5"/>
  <c r="AAA61" i="5" s="1"/>
  <c r="ZZ43" i="5" l="1"/>
  <c r="ZZ61" i="5" s="1"/>
  <c r="ZY43" i="5" l="1"/>
  <c r="ZY61" i="5" s="1"/>
  <c r="ZX43" i="5" l="1"/>
  <c r="ZX61" i="5" s="1"/>
  <c r="ZW43" i="5" l="1"/>
  <c r="ZW61" i="5" l="1"/>
  <c r="ZV43" i="5" l="1"/>
  <c r="ZV61" i="5" s="1"/>
  <c r="ZU43" i="5" l="1"/>
  <c r="ZU32" i="5"/>
  <c r="ZU61" i="5" l="1"/>
  <c r="ZT43" i="5"/>
  <c r="ZT61" i="5" s="1"/>
  <c r="ZS43" i="5" l="1"/>
  <c r="ZS32" i="5"/>
  <c r="ZS61" i="5" l="1"/>
  <c r="ZR32" i="5"/>
  <c r="ZR43" i="5"/>
  <c r="ZR61" i="5" l="1"/>
  <c r="ZQ43" i="5"/>
  <c r="ZQ61" i="5" s="1"/>
  <c r="ZP43" i="5" l="1"/>
  <c r="ZP61" i="5" s="1"/>
  <c r="ZO43" i="5" l="1"/>
  <c r="ZO61" i="5" l="1"/>
  <c r="ZM43" i="5"/>
  <c r="ZN43" i="5" l="1"/>
  <c r="ZN61" i="5" s="1"/>
  <c r="ZM61" i="5" l="1"/>
  <c r="ZL43" i="5" l="1"/>
  <c r="ZL61" i="5" l="1"/>
  <c r="ZK43" i="5"/>
  <c r="ZK61" i="5" s="1"/>
  <c r="ZJ43" i="5"/>
  <c r="ZJ61" i="5" s="1"/>
  <c r="ZI43" i="5"/>
  <c r="ZI61" i="5" s="1"/>
  <c r="ZH43" i="5"/>
  <c r="ZH61" i="5" s="1"/>
  <c r="ZG43" i="5"/>
  <c r="ZG61" i="5" s="1"/>
  <c r="ZF43" i="5"/>
  <c r="ZF61" i="5" s="1"/>
  <c r="ZE43" i="5"/>
  <c r="ZE61" i="5" s="1"/>
  <c r="ZD43" i="5"/>
  <c r="ZD61" i="5" s="1"/>
  <c r="ZC43" i="5"/>
  <c r="ZC61" i="5" s="1"/>
  <c r="ZB43" i="5"/>
  <c r="ZB61" i="5" s="1"/>
  <c r="ZA43" i="5"/>
  <c r="ZA61" i="5" s="1"/>
  <c r="YZ43" i="5"/>
  <c r="YZ61" i="5" s="1"/>
  <c r="YY43" i="5"/>
  <c r="YY61" i="5" s="1"/>
  <c r="YX43" i="5"/>
  <c r="YX61" i="5" s="1"/>
  <c r="YW43" i="5"/>
  <c r="YW61" i="5" s="1"/>
  <c r="YV43" i="5"/>
  <c r="YV61" i="5" s="1"/>
  <c r="YU43" i="5"/>
  <c r="YU61" i="5" s="1"/>
  <c r="YT32" i="5"/>
  <c r="YT43" i="5"/>
  <c r="YS43" i="5"/>
  <c r="YS61" i="5" s="1"/>
  <c r="YR43" i="5"/>
  <c r="YR61" i="5" s="1"/>
  <c r="YT61" i="5" l="1"/>
  <c r="YQ43" i="5"/>
  <c r="YQ61" i="5" s="1"/>
  <c r="YP43" i="5" l="1"/>
  <c r="YP61" i="5" s="1"/>
  <c r="YO43" i="5" l="1"/>
  <c r="YO61" i="5" s="1"/>
  <c r="YN32" i="5" l="1"/>
  <c r="YN43" i="5"/>
  <c r="YN61" i="5" l="1"/>
  <c r="YM43" i="5"/>
  <c r="YM61" i="5" s="1"/>
  <c r="YL43" i="5" l="1"/>
  <c r="YL61" i="5" s="1"/>
  <c r="YK43" i="5" l="1"/>
  <c r="YK61" i="5" s="1"/>
  <c r="YJ43" i="5" l="1"/>
  <c r="YJ61" i="5" s="1"/>
  <c r="YI43" i="5" l="1"/>
  <c r="YI61" i="5" l="1"/>
  <c r="YH43" i="5" l="1"/>
  <c r="YH61" i="5" s="1"/>
  <c r="YG43" i="5" l="1"/>
  <c r="YG61" i="5" s="1"/>
  <c r="YF43" i="5" l="1"/>
  <c r="YF61" i="5" s="1"/>
  <c r="YE43" i="5" l="1"/>
  <c r="YE61" i="5" s="1"/>
  <c r="YD43" i="5" l="1"/>
  <c r="YD61" i="5" s="1"/>
  <c r="YC43" i="5" l="1"/>
  <c r="YC61" i="5" s="1"/>
  <c r="YB43" i="5" l="1"/>
  <c r="YB61" i="5" s="1"/>
  <c r="YA43" i="5" l="1"/>
  <c r="YA61" i="5" s="1"/>
  <c r="XZ43" i="5" l="1"/>
  <c r="XZ61" i="5" s="1"/>
  <c r="XY43" i="5" l="1"/>
  <c r="XY61" i="5" s="1"/>
  <c r="XX43" i="5" l="1"/>
  <c r="XX61" i="5" s="1"/>
  <c r="XW43" i="5" l="1"/>
  <c r="XW61" i="5" s="1"/>
  <c r="C67" i="16" l="1"/>
  <c r="XV43" i="5"/>
  <c r="XV61" i="5" s="1"/>
  <c r="XU43" i="5" l="1"/>
  <c r="XU61" i="5" s="1"/>
  <c r="XT43" i="5" l="1"/>
  <c r="XT61" i="5" s="1"/>
  <c r="XS56" i="5" l="1"/>
  <c r="XS43" i="5"/>
  <c r="XS61" i="5" l="1"/>
  <c r="XR43" i="5"/>
  <c r="XR61" i="5" s="1"/>
  <c r="XQ43" i="5" l="1"/>
  <c r="XQ61" i="5" s="1"/>
  <c r="XP43" i="5" l="1"/>
  <c r="XP61" i="5" s="1"/>
  <c r="XO43" i="5" l="1"/>
  <c r="XO61" i="5" s="1"/>
  <c r="XN43" i="5" l="1"/>
  <c r="XN61" i="5" s="1"/>
  <c r="XM43" i="5" l="1"/>
  <c r="XM61" i="5" s="1"/>
  <c r="XL43" i="5" l="1"/>
  <c r="XL61" i="5" s="1"/>
  <c r="XK43" i="5" l="1"/>
  <c r="XK61" i="5" s="1"/>
  <c r="XJ43" i="5" l="1"/>
  <c r="XJ61" i="5" s="1"/>
  <c r="XI43" i="5" l="1"/>
  <c r="XI61" i="5" s="1"/>
  <c r="XH43" i="5" l="1"/>
  <c r="XH61" i="5" s="1"/>
  <c r="XG43" i="5" l="1"/>
  <c r="XG61" i="5" s="1"/>
  <c r="XF36" i="5" l="1"/>
  <c r="XF43" i="5"/>
  <c r="XF61" i="5" l="1"/>
  <c r="XE43" i="5"/>
  <c r="XE61" i="5" s="1"/>
  <c r="XD43" i="5" l="1"/>
  <c r="XD61" i="5" s="1"/>
  <c r="XC43" i="5" l="1"/>
  <c r="XC61" i="5" s="1"/>
  <c r="XB43" i="5" l="1"/>
  <c r="XB61" i="5" s="1"/>
  <c r="XA36" i="5" l="1"/>
  <c r="XA43" i="5"/>
  <c r="XA61" i="5" l="1"/>
  <c r="WZ43" i="5"/>
  <c r="WZ36" i="5"/>
  <c r="WZ61" i="5" l="1"/>
  <c r="WY43" i="5"/>
  <c r="WY61" i="5" s="1"/>
  <c r="WX36" i="5" l="1"/>
  <c r="WX43" i="5"/>
  <c r="WX61" i="5" l="1"/>
  <c r="WW43" i="5"/>
  <c r="WW61" i="5" s="1"/>
  <c r="WV36" i="5" l="1"/>
  <c r="WV43" i="5"/>
  <c r="WV61" i="5" l="1"/>
  <c r="WU36" i="5"/>
  <c r="WU43" i="5"/>
  <c r="WU61" i="5" l="1"/>
  <c r="WT43" i="5"/>
  <c r="WT61" i="5" s="1"/>
  <c r="WS43" i="5" l="1"/>
  <c r="WS48" i="5"/>
  <c r="WS61" i="5" l="1"/>
  <c r="WR35" i="5"/>
  <c r="WR43" i="5"/>
  <c r="WR48" i="5"/>
  <c r="WR61" i="5" l="1"/>
  <c r="WQ43" i="5"/>
  <c r="WQ48" i="5"/>
  <c r="WQ61" i="5" l="1"/>
  <c r="WP43" i="5"/>
  <c r="WP48" i="5"/>
  <c r="WP61" i="5" l="1"/>
  <c r="WO43" i="5"/>
  <c r="WO48" i="5"/>
  <c r="WO61" i="5" l="1"/>
  <c r="WN43" i="5"/>
  <c r="WN48" i="5"/>
  <c r="WN61" i="5" l="1"/>
  <c r="WM43" i="5"/>
  <c r="WM48" i="5"/>
  <c r="WM61" i="5" l="1"/>
  <c r="WL43" i="5"/>
  <c r="WL48" i="5" l="1"/>
  <c r="WL61" i="5" s="1"/>
  <c r="WK43" i="5" l="1"/>
  <c r="WK48" i="5"/>
  <c r="WK61" i="5" l="1"/>
  <c r="WJ43" i="5"/>
  <c r="WJ48" i="5" l="1"/>
  <c r="WJ61" i="5" s="1"/>
  <c r="WI43" i="5" l="1"/>
  <c r="WI48" i="5"/>
  <c r="WI61" i="5" l="1"/>
  <c r="WH43" i="5"/>
  <c r="WH48" i="5"/>
  <c r="WH61" i="5" l="1"/>
  <c r="WG43" i="5"/>
  <c r="WG48" i="5"/>
  <c r="WG61" i="5" l="1"/>
  <c r="WF43" i="5"/>
  <c r="WF48" i="5"/>
  <c r="WF61" i="5" l="1"/>
  <c r="WE43" i="5"/>
  <c r="WE48" i="5"/>
  <c r="WE61" i="5" l="1"/>
  <c r="WD43" i="5"/>
  <c r="WD48" i="5"/>
  <c r="WD61" i="5" l="1"/>
  <c r="WC43" i="5"/>
  <c r="WC48" i="5"/>
  <c r="WC61" i="5" l="1"/>
  <c r="WB43" i="5"/>
  <c r="WB36" i="5"/>
  <c r="WB48" i="5"/>
  <c r="WB61" i="5" l="1"/>
  <c r="J62" i="16"/>
  <c r="WA43" i="5" l="1"/>
  <c r="WA36" i="5"/>
  <c r="WA48" i="5"/>
  <c r="WA61" i="5" l="1"/>
  <c r="VZ36" i="5"/>
  <c r="VZ43" i="5"/>
  <c r="VZ48" i="5"/>
  <c r="VZ61" i="5" l="1"/>
  <c r="VY36" i="5"/>
  <c r="VY43" i="5"/>
  <c r="VY48" i="5"/>
  <c r="VY61" i="5" l="1"/>
  <c r="VX43" i="5"/>
  <c r="VX48" i="5"/>
  <c r="VX61" i="5" l="1"/>
  <c r="VW43" i="5"/>
  <c r="VW48" i="5"/>
  <c r="VW61" i="5" l="1"/>
  <c r="VV43" i="5"/>
  <c r="VV48" i="5"/>
  <c r="VV61" i="5" l="1"/>
  <c r="VU43" i="5"/>
  <c r="VU48" i="5"/>
  <c r="VU61" i="5" l="1"/>
  <c r="VT43" i="5"/>
  <c r="VT48" i="5"/>
  <c r="VT61" i="5" l="1"/>
  <c r="VS43" i="5"/>
  <c r="VS48" i="5"/>
  <c r="VS61" i="5" l="1"/>
  <c r="VR43" i="5"/>
  <c r="VR48" i="5"/>
  <c r="VR61" i="5" l="1"/>
  <c r="VQ43" i="5"/>
  <c r="VQ48" i="5"/>
  <c r="VQ61" i="5" l="1"/>
  <c r="VP43" i="5"/>
  <c r="VP48" i="5"/>
  <c r="VP61" i="5" l="1"/>
  <c r="VO43" i="5"/>
  <c r="VO48" i="5"/>
  <c r="VO61" i="5" l="1"/>
  <c r="VN43" i="5"/>
  <c r="VN48" i="5"/>
  <c r="VN61" i="5" l="1"/>
  <c r="VM43" i="5"/>
  <c r="VM48" i="5"/>
  <c r="VM61" i="5" l="1"/>
  <c r="VL43" i="5"/>
  <c r="VL48" i="5"/>
  <c r="VL61" i="5" l="1"/>
  <c r="VK43" i="5"/>
  <c r="VK48" i="5"/>
  <c r="VK61" i="5" l="1"/>
  <c r="VJ43" i="5"/>
  <c r="VJ48" i="5"/>
  <c r="VJ61" i="5" l="1"/>
  <c r="VI43" i="5"/>
  <c r="VI48" i="5"/>
  <c r="VI61" i="5" l="1"/>
  <c r="VH43" i="5"/>
  <c r="VH48" i="5"/>
  <c r="VH61" i="5" l="1"/>
  <c r="VG43" i="5"/>
  <c r="VG48" i="5"/>
  <c r="VG61" i="5" l="1"/>
  <c r="VF43" i="5"/>
  <c r="VF48" i="5"/>
  <c r="VF61" i="5" l="1"/>
  <c r="VE43" i="5"/>
  <c r="VE48" i="5"/>
  <c r="VE61" i="5" l="1"/>
  <c r="VD43" i="5"/>
  <c r="VD48" i="5"/>
  <c r="VD61" i="5" l="1"/>
  <c r="VC43" i="5"/>
  <c r="VC48" i="5"/>
  <c r="VC61" i="5" l="1"/>
  <c r="VB43" i="5"/>
  <c r="VB48" i="5"/>
  <c r="VB61" i="5" l="1"/>
  <c r="VA43" i="5"/>
  <c r="VA48" i="5"/>
  <c r="VA61" i="5" l="1"/>
  <c r="UZ43" i="5"/>
  <c r="UZ48" i="5"/>
  <c r="UZ61" i="5" l="1"/>
  <c r="UY43" i="5"/>
  <c r="UY48" i="5"/>
  <c r="UY61" i="5" l="1"/>
  <c r="UX43" i="5"/>
  <c r="UX48" i="5"/>
  <c r="UX61" i="5" l="1"/>
  <c r="UW43" i="5"/>
  <c r="UW48" i="5"/>
  <c r="UW61" i="5" l="1"/>
  <c r="UV43" i="5"/>
  <c r="UV48" i="5"/>
  <c r="UV61" i="5" l="1"/>
  <c r="UU43" i="5"/>
  <c r="UU48" i="5"/>
  <c r="UU61" i="5" l="1"/>
  <c r="UT43" i="5"/>
  <c r="UT48" i="5"/>
  <c r="UT61" i="5" l="1"/>
  <c r="US48" i="5"/>
  <c r="US61" i="5" s="1"/>
  <c r="UR35" i="5" l="1"/>
  <c r="UR48" i="5" l="1"/>
  <c r="UR61" i="5" s="1"/>
  <c r="UQ48" i="5" l="1"/>
  <c r="UQ61" i="5" s="1"/>
  <c r="UP48" i="5" l="1"/>
  <c r="UP61" i="5" s="1"/>
  <c r="UO48" i="5" l="1"/>
  <c r="UO61" i="5" s="1"/>
  <c r="TX36" i="5"/>
  <c r="TW36" i="5"/>
  <c r="UN48" i="5" l="1"/>
  <c r="UN61" i="5" s="1"/>
  <c r="UM48" i="5" l="1"/>
  <c r="UM61" i="5" s="1"/>
  <c r="UL48" i="5" l="1"/>
  <c r="UL61" i="5" s="1"/>
  <c r="UK48" i="5" l="1"/>
  <c r="UK61" i="5" s="1"/>
  <c r="UJ34" i="5" l="1"/>
  <c r="UJ48" i="5"/>
  <c r="UJ61" i="5" l="1"/>
  <c r="UI48" i="5"/>
  <c r="UI61" i="5" s="1"/>
  <c r="UH48" i="5" l="1"/>
  <c r="UH61" i="5" s="1"/>
  <c r="UG45" i="5" l="1"/>
  <c r="UG48" i="5" s="1"/>
  <c r="UG61" i="5" s="1"/>
  <c r="UF48" i="5" l="1"/>
  <c r="UF61" i="5" s="1"/>
  <c r="UE48" i="5" l="1"/>
  <c r="UE61" i="5" s="1"/>
  <c r="UC61" i="5" l="1"/>
  <c r="UB61" i="5" l="1"/>
  <c r="UD48" i="5"/>
  <c r="UD61" i="5" s="1"/>
  <c r="TX48" i="5"/>
  <c r="TQ48" i="5"/>
  <c r="TP48" i="5"/>
  <c r="TO48" i="5"/>
  <c r="TM48" i="5"/>
  <c r="TL48" i="5"/>
  <c r="SP48" i="5"/>
  <c r="SO48" i="5"/>
  <c r="SN48" i="5"/>
  <c r="SM48" i="5"/>
  <c r="SL48" i="5"/>
  <c r="SK48" i="5"/>
  <c r="SJ48" i="5"/>
  <c r="SI48" i="5"/>
  <c r="SD48" i="5"/>
  <c r="SC48" i="5"/>
  <c r="SB48" i="5"/>
  <c r="SA48" i="5"/>
  <c r="RZ48" i="5"/>
  <c r="RY48" i="5"/>
  <c r="RX48" i="5"/>
  <c r="RW48" i="5"/>
  <c r="RV48" i="5"/>
  <c r="RO48" i="5"/>
  <c r="RN48" i="5"/>
  <c r="RM48" i="5"/>
  <c r="QW48" i="5"/>
  <c r="QV48" i="5"/>
  <c r="QU48" i="5"/>
  <c r="QT48" i="5"/>
  <c r="QS48" i="5"/>
  <c r="QR48" i="5"/>
  <c r="QQ48" i="5"/>
  <c r="QP48" i="5"/>
  <c r="QO48" i="5"/>
  <c r="QN48" i="5"/>
  <c r="QM48" i="5"/>
  <c r="QL48" i="5"/>
  <c r="QK48" i="5"/>
  <c r="QJ48" i="5"/>
  <c r="QI48" i="5"/>
  <c r="QH48" i="5"/>
  <c r="QG48" i="5"/>
  <c r="QF48" i="5"/>
  <c r="PB48" i="5"/>
  <c r="NQ48" i="5"/>
  <c r="NP48" i="5"/>
  <c r="NO48" i="5"/>
  <c r="NN48" i="5"/>
  <c r="NM48" i="5"/>
  <c r="NL48" i="5"/>
  <c r="NK48" i="5"/>
  <c r="MZ48" i="5"/>
  <c r="MY48" i="5"/>
  <c r="MX48" i="5"/>
  <c r="MW48" i="5"/>
  <c r="MH48" i="5"/>
  <c r="MG48" i="5"/>
  <c r="MF48" i="5"/>
  <c r="ME48" i="5"/>
  <c r="MD48" i="5"/>
  <c r="MC48" i="5"/>
  <c r="MB48" i="5"/>
  <c r="LJ48" i="5"/>
  <c r="LI48" i="5"/>
  <c r="KN48" i="5"/>
  <c r="KA48" i="5"/>
  <c r="JZ48" i="5"/>
  <c r="JY48" i="5"/>
  <c r="JX48" i="5"/>
  <c r="JW48" i="5"/>
  <c r="JM48" i="5"/>
  <c r="JL48" i="5"/>
  <c r="JK48" i="5"/>
  <c r="JJ48" i="5"/>
  <c r="UA61" i="5" l="1"/>
  <c r="TZ61" i="5" l="1"/>
  <c r="TY61" i="5" l="1"/>
  <c r="TX43" i="5" l="1"/>
  <c r="TX35" i="5" l="1"/>
  <c r="TX32" i="5"/>
  <c r="TX61" i="5" l="1"/>
  <c r="TW35" i="5"/>
  <c r="TW61" i="5" l="1"/>
  <c r="TV61" i="5"/>
  <c r="TU61" i="5" l="1"/>
  <c r="E5" i="14" l="1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Z8" i="14"/>
  <c r="AZ7" i="14"/>
  <c r="AZ6" i="14"/>
  <c r="AZ5" i="14"/>
  <c r="AY8" i="14"/>
  <c r="AY7" i="14"/>
  <c r="AY6" i="14"/>
  <c r="AY5" i="14"/>
  <c r="AX8" i="14"/>
  <c r="AX7" i="14"/>
  <c r="AX6" i="14"/>
  <c r="AX5" i="14"/>
  <c r="AW8" i="14"/>
  <c r="AW7" i="14"/>
  <c r="AW6" i="14"/>
  <c r="AW5" i="14"/>
  <c r="AV8" i="14"/>
  <c r="AV7" i="14"/>
  <c r="AV6" i="14"/>
  <c r="AV5" i="14"/>
  <c r="AU8" i="14"/>
  <c r="AU7" i="14"/>
  <c r="AU6" i="14"/>
  <c r="AU5" i="14"/>
  <c r="TT61" i="5"/>
  <c r="J111" i="16" l="1"/>
  <c r="I111" i="16"/>
  <c r="H111" i="16"/>
  <c r="K110" i="16"/>
  <c r="K109" i="16"/>
  <c r="K108" i="16"/>
  <c r="K107" i="16"/>
  <c r="K104" i="16"/>
  <c r="F98" i="16"/>
  <c r="F95" i="16"/>
  <c r="D95" i="16"/>
  <c r="J95" i="16"/>
  <c r="F84" i="16"/>
  <c r="J84" i="16" s="1"/>
  <c r="C84" i="16"/>
  <c r="F83" i="16"/>
  <c r="C83" i="16"/>
  <c r="F81" i="16"/>
  <c r="J20" i="16"/>
  <c r="F15" i="16"/>
  <c r="J13" i="16"/>
  <c r="J6" i="16"/>
  <c r="J27" i="16" s="1"/>
  <c r="J18" i="16"/>
  <c r="J17" i="16" l="1"/>
  <c r="J30" i="16"/>
  <c r="J34" i="16" s="1"/>
  <c r="D34" i="16" s="1"/>
  <c r="J85" i="16"/>
  <c r="K111" i="16"/>
  <c r="J19" i="16"/>
  <c r="J81" i="16"/>
  <c r="D81" i="16" s="1"/>
  <c r="F92" i="16"/>
  <c r="J16" i="16"/>
  <c r="J100" i="16"/>
  <c r="J83" i="16"/>
  <c r="J98" i="16"/>
  <c r="J101" i="16"/>
  <c r="J68" i="16"/>
  <c r="TS61" i="5"/>
  <c r="K33" i="16" l="1"/>
  <c r="J21" i="16"/>
  <c r="J35" i="16" s="1"/>
  <c r="J92" i="16"/>
  <c r="K30" i="16"/>
  <c r="J60" i="16"/>
  <c r="J65" i="16" s="1"/>
  <c r="J69" i="16" s="1"/>
  <c r="TR61" i="5"/>
  <c r="TQ43" i="5" l="1"/>
  <c r="TQ61" i="5" s="1"/>
  <c r="TP43" i="5" l="1"/>
  <c r="TP61" i="5" s="1"/>
  <c r="TO43" i="5" l="1"/>
  <c r="TO61" i="5" s="1"/>
  <c r="TN61" i="5" l="1"/>
  <c r="TM43" i="5" l="1"/>
  <c r="TM61" i="5" s="1"/>
  <c r="TL43" i="5" l="1"/>
  <c r="TL61" i="5" s="1"/>
  <c r="AS5" i="14"/>
  <c r="AT8" i="14"/>
  <c r="CS8" i="14" s="1"/>
  <c r="AT7" i="14"/>
  <c r="CS7" i="14" s="1"/>
  <c r="AT6" i="14"/>
  <c r="CS6" i="14" s="1"/>
  <c r="AT5" i="14"/>
  <c r="AS8" i="14"/>
  <c r="AS7" i="14"/>
  <c r="CR7" i="14" s="1"/>
  <c r="AS6" i="14"/>
  <c r="CR6" i="14" s="1"/>
  <c r="TK61" i="5" l="1"/>
  <c r="TJ61" i="5" l="1"/>
  <c r="TI61" i="5" l="1"/>
  <c r="TH61" i="5" l="1"/>
  <c r="TG61" i="5" l="1"/>
  <c r="TF56" i="5" l="1"/>
  <c r="TF61" i="5" s="1"/>
  <c r="TE61" i="5"/>
  <c r="TD61" i="5" l="1"/>
  <c r="TC61" i="5" l="1"/>
  <c r="TB61" i="5" l="1"/>
  <c r="F60" i="13" l="1"/>
  <c r="TA61" i="5" l="1"/>
  <c r="SZ61" i="5" l="1"/>
  <c r="SY61" i="5" l="1"/>
  <c r="AR6" i="14" l="1"/>
  <c r="AQ6" i="14"/>
  <c r="AP6" i="14"/>
  <c r="SX61" i="5"/>
  <c r="SW61" i="5" l="1"/>
  <c r="SV61" i="5" l="1"/>
  <c r="SU61" i="5" l="1"/>
  <c r="SQ61" i="5" l="1"/>
  <c r="SP43" i="5" l="1"/>
  <c r="SP61" i="5" s="1"/>
  <c r="SO43" i="5" l="1"/>
  <c r="SO61" i="5" s="1"/>
  <c r="SN43" i="5" l="1"/>
  <c r="SN61" i="5" s="1"/>
  <c r="SM43" i="5" l="1"/>
  <c r="SM61" i="5" l="1"/>
  <c r="SL43" i="5"/>
  <c r="SL61" i="5" s="1"/>
  <c r="AR8" i="14" l="1"/>
  <c r="AR7" i="14"/>
  <c r="AR5" i="14"/>
  <c r="CQ5" i="14" s="1"/>
  <c r="AQ8" i="14"/>
  <c r="AQ7" i="14"/>
  <c r="AQ5" i="14"/>
  <c r="AP8" i="14"/>
  <c r="AP7" i="14"/>
  <c r="AP5" i="14"/>
  <c r="BC4" i="14"/>
  <c r="BD4" i="14"/>
  <c r="CP5" i="14" l="1"/>
  <c r="SK43" i="5"/>
  <c r="SK61" i="5" s="1"/>
  <c r="SJ43" i="5" l="1"/>
  <c r="SI43" i="5" l="1"/>
  <c r="SH61" i="5" l="1"/>
  <c r="SG61" i="5" l="1"/>
  <c r="SF61" i="5" l="1"/>
  <c r="ST58" i="5" l="1"/>
  <c r="ST61" i="5" s="1"/>
  <c r="SS58" i="5" l="1"/>
  <c r="SS61" i="5" s="1"/>
  <c r="SR58" i="5"/>
  <c r="SE61" i="5"/>
  <c r="SD43" i="5"/>
  <c r="SD61" i="5" s="1"/>
  <c r="SC43" i="5" l="1"/>
  <c r="SC61" i="5" s="1"/>
  <c r="SB43" i="5" l="1"/>
  <c r="SA43" i="5"/>
  <c r="SA61" i="5" l="1"/>
  <c r="RZ43" i="5"/>
  <c r="RY43" i="5"/>
  <c r="RZ61" i="5" l="1"/>
  <c r="RY61" i="5"/>
  <c r="RX43" i="5" l="1"/>
  <c r="RX61" i="5" s="1"/>
  <c r="RW43" i="5" l="1"/>
  <c r="RW61" i="5" s="1"/>
  <c r="RV43" i="5" l="1"/>
  <c r="RV61" i="5" s="1"/>
  <c r="RU61" i="5" l="1"/>
  <c r="RT61" i="5" l="1"/>
  <c r="RS61" i="5"/>
  <c r="RR61" i="5" l="1"/>
  <c r="RQ61" i="5"/>
  <c r="RP61" i="5"/>
  <c r="RN32" i="5"/>
  <c r="RO43" i="5"/>
  <c r="RO61" i="5" s="1"/>
  <c r="RN43" i="5"/>
  <c r="RM43" i="5"/>
  <c r="RM61" i="5" s="1"/>
  <c r="RL61" i="5"/>
  <c r="RK61" i="5"/>
  <c r="RJ61" i="5"/>
  <c r="RI61" i="5"/>
  <c r="RH61" i="5"/>
  <c r="RG61" i="5"/>
  <c r="RF61" i="5"/>
  <c r="RE61" i="5"/>
  <c r="RD61" i="5"/>
  <c r="RC61" i="5"/>
  <c r="RB61" i="5"/>
  <c r="RA32" i="5"/>
  <c r="RA61" i="5" s="1"/>
  <c r="QZ61" i="5"/>
  <c r="QY32" i="5"/>
  <c r="QY61" i="5" s="1"/>
  <c r="QX32" i="5"/>
  <c r="QX61" i="5" s="1"/>
  <c r="QW43" i="5"/>
  <c r="QW32" i="5"/>
  <c r="QV32" i="5"/>
  <c r="QV43" i="5"/>
  <c r="QU32" i="5"/>
  <c r="QU43" i="5"/>
  <c r="QT43" i="5"/>
  <c r="QT61" i="5" s="1"/>
  <c r="ML56" i="5"/>
  <c r="ML61" i="5" s="1"/>
  <c r="QS43" i="5"/>
  <c r="QS61" i="5" s="1"/>
  <c r="QQ43" i="5"/>
  <c r="QQ32" i="5"/>
  <c r="QR43" i="5"/>
  <c r="QR61" i="5" s="1"/>
  <c r="QP32" i="5"/>
  <c r="QO32" i="5"/>
  <c r="QP43" i="5"/>
  <c r="QN32" i="5"/>
  <c r="QO43" i="5"/>
  <c r="QN43" i="5"/>
  <c r="QM32" i="5"/>
  <c r="QL32" i="5"/>
  <c r="QM43" i="5"/>
  <c r="QL43" i="5"/>
  <c r="QK32" i="5"/>
  <c r="QK43" i="5"/>
  <c r="QJ32" i="5"/>
  <c r="QJ43" i="5"/>
  <c r="QI32" i="5"/>
  <c r="QI43" i="5"/>
  <c r="QH32" i="5"/>
  <c r="QG32" i="5"/>
  <c r="GD61" i="5"/>
  <c r="GX61" i="5"/>
  <c r="GY61" i="5"/>
  <c r="GZ61" i="5"/>
  <c r="HF61" i="5"/>
  <c r="HI61" i="5"/>
  <c r="HL61" i="5"/>
  <c r="HV61" i="5"/>
  <c r="LP61" i="5"/>
  <c r="LQ61" i="5"/>
  <c r="LR61" i="5"/>
  <c r="NR61" i="5"/>
  <c r="NS61" i="5"/>
  <c r="NT61" i="5"/>
  <c r="NU61" i="5"/>
  <c r="NV61" i="5"/>
  <c r="NW61" i="5"/>
  <c r="NX61" i="5"/>
  <c r="NY61" i="5"/>
  <c r="OL61" i="5"/>
  <c r="PG61" i="5"/>
  <c r="QH43" i="5"/>
  <c r="QG43" i="5"/>
  <c r="QF32" i="5"/>
  <c r="QE32" i="5"/>
  <c r="QE61" i="5" s="1"/>
  <c r="QF43" i="5"/>
  <c r="QD32" i="5"/>
  <c r="QD61" i="5" s="1"/>
  <c r="QC32" i="5"/>
  <c r="QC61" i="5" s="1"/>
  <c r="QB32" i="5"/>
  <c r="QB61" i="5" s="1"/>
  <c r="QA32" i="5"/>
  <c r="QA61" i="5" s="1"/>
  <c r="PZ32" i="5"/>
  <c r="PZ61" i="5" s="1"/>
  <c r="PY32" i="5"/>
  <c r="PY61" i="5" s="1"/>
  <c r="PX32" i="5"/>
  <c r="PX61" i="5" s="1"/>
  <c r="PW32" i="5"/>
  <c r="PW61" i="5" s="1"/>
  <c r="PV32" i="5"/>
  <c r="PV61" i="5" s="1"/>
  <c r="PU32" i="5"/>
  <c r="PU61" i="5" s="1"/>
  <c r="PT32" i="5"/>
  <c r="PT61" i="5" s="1"/>
  <c r="PS32" i="5"/>
  <c r="PS61" i="5" s="1"/>
  <c r="PR32" i="5"/>
  <c r="PR61" i="5" s="1"/>
  <c r="PQ32" i="5"/>
  <c r="PQ61" i="5" s="1"/>
  <c r="CC3" i="14"/>
  <c r="CB3" i="14"/>
  <c r="CA3" i="14"/>
  <c r="BZ3" i="14"/>
  <c r="BY3" i="14"/>
  <c r="PP32" i="5"/>
  <c r="PP61" i="5" s="1"/>
  <c r="PO32" i="5"/>
  <c r="PO61" i="5" s="1"/>
  <c r="PN32" i="5"/>
  <c r="PN61" i="5" s="1"/>
  <c r="PM32" i="5"/>
  <c r="PM61" i="5" s="1"/>
  <c r="PL32" i="5"/>
  <c r="PL61" i="5" s="1"/>
  <c r="PK32" i="5"/>
  <c r="PK61" i="5" s="1"/>
  <c r="PJ32" i="5"/>
  <c r="PJ61" i="5" s="1"/>
  <c r="PI32" i="5"/>
  <c r="PI61" i="5" s="1"/>
  <c r="PH32" i="5"/>
  <c r="PH61" i="5" s="1"/>
  <c r="PF32" i="5"/>
  <c r="PF61" i="5" s="1"/>
  <c r="PE32" i="5"/>
  <c r="PE61" i="5" s="1"/>
  <c r="PD32" i="5"/>
  <c r="PD61" i="5" s="1"/>
  <c r="PC32" i="5"/>
  <c r="PC61" i="5" s="1"/>
  <c r="PB32" i="5"/>
  <c r="PA32" i="5"/>
  <c r="PA61" i="5" s="1"/>
  <c r="PB43" i="5"/>
  <c r="OZ32" i="5"/>
  <c r="OZ61" i="5" s="1"/>
  <c r="OY32" i="5"/>
  <c r="OY61" i="5" s="1"/>
  <c r="OX32" i="5"/>
  <c r="OX61" i="5" s="1"/>
  <c r="OW32" i="5"/>
  <c r="OW61" i="5" s="1"/>
  <c r="OV32" i="5"/>
  <c r="OV61" i="5" s="1"/>
  <c r="OU32" i="5"/>
  <c r="OU61" i="5" s="1"/>
  <c r="OT32" i="5"/>
  <c r="OT61" i="5" s="1"/>
  <c r="OS32" i="5"/>
  <c r="OS61" i="5" s="1"/>
  <c r="OR32" i="5"/>
  <c r="OR61" i="5" s="1"/>
  <c r="OQ32" i="5"/>
  <c r="OQ61" i="5" s="1"/>
  <c r="OP32" i="5"/>
  <c r="OP61" i="5" s="1"/>
  <c r="OO32" i="5"/>
  <c r="OO61" i="5" s="1"/>
  <c r="ON32" i="5"/>
  <c r="ON61" i="5" s="1"/>
  <c r="OM32" i="5"/>
  <c r="OM61" i="5" s="1"/>
  <c r="OK32" i="5"/>
  <c r="OK61" i="5" s="1"/>
  <c r="OJ32" i="5"/>
  <c r="OJ61" i="5" s="1"/>
  <c r="OI32" i="5"/>
  <c r="OI61" i="5" s="1"/>
  <c r="OG32" i="5"/>
  <c r="OG61" i="5" s="1"/>
  <c r="OH32" i="5"/>
  <c r="OH61" i="5" s="1"/>
  <c r="OF32" i="5"/>
  <c r="OF61" i="5" s="1"/>
  <c r="OE32" i="5"/>
  <c r="OE61" i="5" s="1"/>
  <c r="OD32" i="5"/>
  <c r="OD61" i="5" s="1"/>
  <c r="OC32" i="5"/>
  <c r="OC61" i="5" s="1"/>
  <c r="OB32" i="5"/>
  <c r="OB61" i="5" s="1"/>
  <c r="OA32" i="5"/>
  <c r="OA61" i="5" s="1"/>
  <c r="NZ32" i="5"/>
  <c r="NZ61" i="5" s="1"/>
  <c r="NN32" i="5"/>
  <c r="NQ43" i="5"/>
  <c r="NQ61" i="5" s="1"/>
  <c r="NP43" i="5"/>
  <c r="NP61" i="5" s="1"/>
  <c r="NO32" i="5"/>
  <c r="NO43" i="5"/>
  <c r="NM32" i="5"/>
  <c r="NN43" i="5"/>
  <c r="NL32" i="5"/>
  <c r="NM43" i="5"/>
  <c r="NK32" i="5"/>
  <c r="NL43" i="5"/>
  <c r="NK43" i="5"/>
  <c r="NJ32" i="5"/>
  <c r="NJ61" i="5" s="1"/>
  <c r="NH32" i="5"/>
  <c r="NH61" i="5" s="1"/>
  <c r="NI32" i="5"/>
  <c r="NI61" i="5" s="1"/>
  <c r="NG32" i="5"/>
  <c r="NG61" i="5" s="1"/>
  <c r="NF32" i="5"/>
  <c r="NF61" i="5" s="1"/>
  <c r="NE32" i="5"/>
  <c r="NE61" i="5" s="1"/>
  <c r="ND32" i="5"/>
  <c r="ND61" i="5" s="1"/>
  <c r="NC32" i="5"/>
  <c r="NC65" i="5" s="1"/>
  <c r="NB32" i="5"/>
  <c r="NB61" i="5" s="1"/>
  <c r="NA32" i="5"/>
  <c r="NA61" i="5" s="1"/>
  <c r="MZ32" i="5"/>
  <c r="MZ43" i="5"/>
  <c r="MY32" i="5"/>
  <c r="MY43" i="5"/>
  <c r="MX32" i="5"/>
  <c r="MW32" i="5"/>
  <c r="MX43" i="5"/>
  <c r="MW43" i="5"/>
  <c r="MV32" i="5"/>
  <c r="MV61" i="5" s="1"/>
  <c r="MU32" i="5"/>
  <c r="MU61" i="5" s="1"/>
  <c r="MT32" i="5"/>
  <c r="MT61" i="5" s="1"/>
  <c r="MS32" i="5"/>
  <c r="MS61" i="5" s="1"/>
  <c r="MR32" i="5"/>
  <c r="MR61" i="5" s="1"/>
  <c r="MQ32" i="5"/>
  <c r="MQ61" i="5" s="1"/>
  <c r="MP32" i="5"/>
  <c r="MP61" i="5" s="1"/>
  <c r="MO32" i="5"/>
  <c r="MO61" i="5" s="1"/>
  <c r="MN32" i="5"/>
  <c r="MN61" i="5" s="1"/>
  <c r="MM32" i="5"/>
  <c r="MM61" i="5" s="1"/>
  <c r="MK32" i="5"/>
  <c r="MK61" i="5" s="1"/>
  <c r="MJ32" i="5"/>
  <c r="MJ61" i="5" s="1"/>
  <c r="MI32" i="5"/>
  <c r="MI61" i="5" s="1"/>
  <c r="MH32" i="5"/>
  <c r="MH43" i="5"/>
  <c r="MG32" i="5"/>
  <c r="MF32" i="5"/>
  <c r="MG43" i="5"/>
  <c r="ME32" i="5"/>
  <c r="MF43" i="5"/>
  <c r="MD32" i="5"/>
  <c r="ME43" i="5"/>
  <c r="MD43" i="5"/>
  <c r="MC32" i="5"/>
  <c r="MB32" i="5"/>
  <c r="MC43" i="5"/>
  <c r="MB43" i="5"/>
  <c r="MA32" i="5"/>
  <c r="MA61" i="5" s="1"/>
  <c r="LY32" i="5"/>
  <c r="LY61" i="5" s="1"/>
  <c r="LZ32" i="5"/>
  <c r="LZ61" i="5" s="1"/>
  <c r="LX32" i="5"/>
  <c r="LX61" i="5" s="1"/>
  <c r="LW32" i="5"/>
  <c r="LW61" i="5" s="1"/>
  <c r="LV32" i="5"/>
  <c r="LV61" i="5" s="1"/>
  <c r="LU32" i="5"/>
  <c r="LU61" i="5" s="1"/>
  <c r="LT32" i="5"/>
  <c r="LT61" i="5" s="1"/>
  <c r="LS32" i="5"/>
  <c r="LS61" i="5" s="1"/>
  <c r="LO32" i="5"/>
  <c r="LO61" i="5" s="1"/>
  <c r="LN32" i="5"/>
  <c r="LN61" i="5" s="1"/>
  <c r="LM32" i="5"/>
  <c r="LM61" i="5" s="1"/>
  <c r="LL32" i="5"/>
  <c r="LL61" i="5" s="1"/>
  <c r="LK32" i="5"/>
  <c r="LK61" i="5" s="1"/>
  <c r="LJ32" i="5"/>
  <c r="LI32" i="5"/>
  <c r="LJ43" i="5"/>
  <c r="LI43" i="5"/>
  <c r="LH32" i="5"/>
  <c r="LH61" i="5" s="1"/>
  <c r="LG32" i="5"/>
  <c r="LG61" i="5" s="1"/>
  <c r="LF32" i="5"/>
  <c r="LF61" i="5" s="1"/>
  <c r="LE32" i="5"/>
  <c r="LE61" i="5" s="1"/>
  <c r="LD32" i="5"/>
  <c r="LD61" i="5" s="1"/>
  <c r="LC32" i="5"/>
  <c r="LC61" i="5" s="1"/>
  <c r="LB32" i="5"/>
  <c r="LB61" i="5" s="1"/>
  <c r="LA32" i="5"/>
  <c r="LA61" i="5" s="1"/>
  <c r="KZ32" i="5"/>
  <c r="KZ61" i="5" s="1"/>
  <c r="KY32" i="5"/>
  <c r="KY61" i="5" s="1"/>
  <c r="KX32" i="5"/>
  <c r="KX61" i="5" s="1"/>
  <c r="KW32" i="5"/>
  <c r="KW61" i="5" s="1"/>
  <c r="KV32" i="5"/>
  <c r="KV61" i="5" s="1"/>
  <c r="KU32" i="5"/>
  <c r="KU61" i="5" s="1"/>
  <c r="KT32" i="5"/>
  <c r="KT61" i="5" s="1"/>
  <c r="KR32" i="5"/>
  <c r="KR61" i="5" s="1"/>
  <c r="KS32" i="5"/>
  <c r="KS61" i="5" s="1"/>
  <c r="KQ32" i="5"/>
  <c r="KQ61" i="5" s="1"/>
  <c r="KP32" i="5"/>
  <c r="KP61" i="5" s="1"/>
  <c r="KO32" i="5"/>
  <c r="KO61" i="5" s="1"/>
  <c r="KN32" i="5"/>
  <c r="KM32" i="5"/>
  <c r="KM61" i="5" s="1"/>
  <c r="KN43" i="5"/>
  <c r="KL32" i="5"/>
  <c r="KL61" i="5" s="1"/>
  <c r="KK32" i="5"/>
  <c r="KK61" i="5" s="1"/>
  <c r="KJ32" i="5"/>
  <c r="KJ61" i="5" s="1"/>
  <c r="KI32" i="5"/>
  <c r="KI61" i="5" s="1"/>
  <c r="KH32" i="5"/>
  <c r="KH35" i="5"/>
  <c r="KG32" i="5"/>
  <c r="KG61" i="5" s="1"/>
  <c r="KF32" i="5"/>
  <c r="KF61" i="5" s="1"/>
  <c r="KE32" i="5"/>
  <c r="KE61" i="5" s="1"/>
  <c r="KD32" i="5"/>
  <c r="KD61" i="5" s="1"/>
  <c r="KC32" i="5"/>
  <c r="KC61" i="5" s="1"/>
  <c r="KB32" i="5"/>
  <c r="KB61" i="5" s="1"/>
  <c r="KA32" i="5"/>
  <c r="KA43" i="5"/>
  <c r="JY32" i="5"/>
  <c r="JZ43" i="5"/>
  <c r="JZ61" i="5" s="1"/>
  <c r="JX32" i="5"/>
  <c r="JY43" i="5"/>
  <c r="JX43" i="5"/>
  <c r="JW32" i="5"/>
  <c r="JW43" i="5"/>
  <c r="JV32" i="5"/>
  <c r="JV61" i="5" s="1"/>
  <c r="JU32" i="5"/>
  <c r="JU61" i="5" s="1"/>
  <c r="JT32" i="5"/>
  <c r="JT61" i="5" s="1"/>
  <c r="JS32" i="5"/>
  <c r="JS61" i="5" s="1"/>
  <c r="JR32" i="5"/>
  <c r="JR61" i="5" s="1"/>
  <c r="JQ32" i="5"/>
  <c r="JQ61" i="5" s="1"/>
  <c r="JP32" i="5"/>
  <c r="JP61" i="5" s="1"/>
  <c r="JO32" i="5"/>
  <c r="JO61" i="5" s="1"/>
  <c r="JN32" i="5"/>
  <c r="JN61" i="5" s="1"/>
  <c r="JM32" i="5"/>
  <c r="JM43" i="5"/>
  <c r="JL32" i="5"/>
  <c r="JL43" i="5"/>
  <c r="JK32" i="5"/>
  <c r="JK43" i="5"/>
  <c r="JJ43" i="5"/>
  <c r="JJ32" i="5"/>
  <c r="JI32" i="5"/>
  <c r="JI61" i="5" s="1"/>
  <c r="JH32" i="5"/>
  <c r="JH61" i="5" s="1"/>
  <c r="JG32" i="5"/>
  <c r="JG61" i="5" s="1"/>
  <c r="JF32" i="5"/>
  <c r="JF61" i="5" s="1"/>
  <c r="JE32" i="5"/>
  <c r="JE61" i="5" s="1"/>
  <c r="JD32" i="5"/>
  <c r="JD61" i="5" s="1"/>
  <c r="JC32" i="5"/>
  <c r="JC61" i="5" s="1"/>
  <c r="JB32" i="5"/>
  <c r="JB61" i="5" s="1"/>
  <c r="JA32" i="5"/>
  <c r="JA61" i="5" s="1"/>
  <c r="IZ32" i="5"/>
  <c r="IZ35" i="5"/>
  <c r="IY32" i="5"/>
  <c r="IY61" i="5" s="1"/>
  <c r="IX32" i="5"/>
  <c r="IX61" i="5" s="1"/>
  <c r="IW32" i="5"/>
  <c r="IW61" i="5" s="1"/>
  <c r="IV32" i="5"/>
  <c r="IV61" i="5" s="1"/>
  <c r="IU32" i="5"/>
  <c r="IU61" i="5" s="1"/>
  <c r="IT32" i="5"/>
  <c r="IT61" i="5" s="1"/>
  <c r="IS32" i="5"/>
  <c r="IS61" i="5" s="1"/>
  <c r="IR32" i="5"/>
  <c r="IR61" i="5" s="1"/>
  <c r="IQ32" i="5"/>
  <c r="IQ61" i="5" s="1"/>
  <c r="IP32" i="5"/>
  <c r="IP61" i="5" s="1"/>
  <c r="IN32" i="5"/>
  <c r="IN61" i="5" s="1"/>
  <c r="IO32" i="5"/>
  <c r="IO61" i="5" s="1"/>
  <c r="IM32" i="5"/>
  <c r="IM61" i="5" s="1"/>
  <c r="IL32" i="5"/>
  <c r="IL61" i="5" s="1"/>
  <c r="IK32" i="5"/>
  <c r="IK61" i="5" s="1"/>
  <c r="IJ32" i="5"/>
  <c r="IJ35" i="5"/>
  <c r="II32" i="5"/>
  <c r="II61" i="5" s="1"/>
  <c r="IH32" i="5"/>
  <c r="IH61" i="5" s="1"/>
  <c r="IG32" i="5"/>
  <c r="IG61" i="5" s="1"/>
  <c r="IF32" i="5"/>
  <c r="IF61" i="5" s="1"/>
  <c r="IE32" i="5"/>
  <c r="IE61" i="5" s="1"/>
  <c r="ID32" i="5"/>
  <c r="ID61" i="5" s="1"/>
  <c r="IC32" i="5"/>
  <c r="IC61" i="5" s="1"/>
  <c r="IB32" i="5"/>
  <c r="IB61" i="5" s="1"/>
  <c r="IA32" i="5"/>
  <c r="IA61" i="5" s="1"/>
  <c r="HZ32" i="5"/>
  <c r="HZ61" i="5" s="1"/>
  <c r="HY32" i="5"/>
  <c r="HY61" i="5" s="1"/>
  <c r="HX32" i="5"/>
  <c r="HX61" i="5" s="1"/>
  <c r="HW32" i="5"/>
  <c r="HW61" i="5" s="1"/>
  <c r="HU32" i="5"/>
  <c r="HT32" i="5"/>
  <c r="HT61" i="5" s="1"/>
  <c r="HU35" i="5"/>
  <c r="HS32" i="5"/>
  <c r="HS61" i="5" s="1"/>
  <c r="HR32" i="5"/>
  <c r="HR61" i="5" s="1"/>
  <c r="HQ32" i="5"/>
  <c r="HQ61" i="5" s="1"/>
  <c r="HP32" i="5"/>
  <c r="HP61" i="5" s="1"/>
  <c r="HO32" i="5"/>
  <c r="HO61" i="5" s="1"/>
  <c r="HN32" i="5"/>
  <c r="HN61" i="5" s="1"/>
  <c r="HM32" i="5"/>
  <c r="HM61" i="5" s="1"/>
  <c r="HK32" i="5"/>
  <c r="HK61" i="5" s="1"/>
  <c r="HJ32" i="5"/>
  <c r="HJ61" i="5" s="1"/>
  <c r="HH32" i="5"/>
  <c r="HH61" i="5" s="1"/>
  <c r="HG32" i="5"/>
  <c r="HG61" i="5" s="1"/>
  <c r="HE32" i="5"/>
  <c r="HE61" i="5" s="1"/>
  <c r="HD32" i="5"/>
  <c r="HD61" i="5" s="1"/>
  <c r="HC32" i="5"/>
  <c r="HC61" i="5" s="1"/>
  <c r="HB32" i="5"/>
  <c r="HB61" i="5" s="1"/>
  <c r="HA32" i="5"/>
  <c r="HA61" i="5" s="1"/>
  <c r="GW32" i="5"/>
  <c r="GW61" i="5" s="1"/>
  <c r="GV32" i="5"/>
  <c r="GV61" i="5" s="1"/>
  <c r="GU32" i="5"/>
  <c r="GU61" i="5" s="1"/>
  <c r="GT32" i="5"/>
  <c r="GT61" i="5" s="1"/>
  <c r="GS32" i="5"/>
  <c r="GS61" i="5" s="1"/>
  <c r="GR32" i="5"/>
  <c r="GR61" i="5" s="1"/>
  <c r="GQ32" i="5"/>
  <c r="GQ61" i="5" s="1"/>
  <c r="GP32" i="5"/>
  <c r="GP61" i="5" s="1"/>
  <c r="GO32" i="5"/>
  <c r="GO61" i="5" s="1"/>
  <c r="GN32" i="5"/>
  <c r="GN61" i="5" s="1"/>
  <c r="GM32" i="5"/>
  <c r="GM61" i="5" s="1"/>
  <c r="GL32" i="5"/>
  <c r="GL61" i="5" s="1"/>
  <c r="GK32" i="5"/>
  <c r="GK61" i="5" s="1"/>
  <c r="GJ32" i="5"/>
  <c r="GJ61" i="5" s="1"/>
  <c r="GI32" i="5"/>
  <c r="GI61" i="5" s="1"/>
  <c r="GH32" i="5"/>
  <c r="GH61" i="5" s="1"/>
  <c r="GG32" i="5"/>
  <c r="GG61" i="5" s="1"/>
  <c r="GF32" i="5"/>
  <c r="GF61" i="5" s="1"/>
  <c r="GE32" i="5"/>
  <c r="GE61" i="5" s="1"/>
  <c r="GC32" i="5"/>
  <c r="GC61" i="5" s="1"/>
  <c r="GB32" i="5"/>
  <c r="GA32" i="5"/>
  <c r="GA61" i="5" s="1"/>
  <c r="GB56" i="5"/>
  <c r="FZ35" i="5"/>
  <c r="FZ32" i="5"/>
  <c r="FY32" i="5"/>
  <c r="FY61" i="5" s="1"/>
  <c r="FX32" i="5"/>
  <c r="FX61" i="5" s="1"/>
  <c r="FW32" i="5"/>
  <c r="FW61" i="5" s="1"/>
  <c r="FV32" i="5"/>
  <c r="FV61" i="5" s="1"/>
  <c r="FU32" i="5"/>
  <c r="FU61" i="5" s="1"/>
  <c r="FT32" i="5"/>
  <c r="FT61" i="5" s="1"/>
  <c r="FS32" i="5"/>
  <c r="FS61" i="5" s="1"/>
  <c r="FR32" i="5"/>
  <c r="FR61" i="5" s="1"/>
  <c r="FQ32" i="5"/>
  <c r="FQ61" i="5" s="1"/>
  <c r="F2" i="13"/>
  <c r="FP32" i="5"/>
  <c r="FP61" i="5" s="1"/>
  <c r="FO32" i="5"/>
  <c r="FO61" i="5" s="1"/>
  <c r="FN32" i="5"/>
  <c r="FN61" i="5" s="1"/>
  <c r="FM32" i="5"/>
  <c r="FM61" i="5" s="1"/>
  <c r="FL32" i="5"/>
  <c r="FL61" i="5" s="1"/>
  <c r="FK32" i="5"/>
  <c r="FK61" i="5" s="1"/>
  <c r="FJ32" i="5"/>
  <c r="FJ61" i="5" s="1"/>
  <c r="FI32" i="5"/>
  <c r="FI61" i="5" s="1"/>
  <c r="FH32" i="5"/>
  <c r="FH61" i="5" s="1"/>
  <c r="FG32" i="5"/>
  <c r="FF32" i="5"/>
  <c r="FG56" i="5"/>
  <c r="FE32" i="5"/>
  <c r="FE56" i="5"/>
  <c r="FF56" i="5"/>
  <c r="FF61" i="5" s="1"/>
  <c r="FD32" i="5"/>
  <c r="FD56" i="5"/>
  <c r="FC32" i="5"/>
  <c r="FB32" i="5"/>
  <c r="FC56" i="5"/>
  <c r="FA32" i="5"/>
  <c r="FB56" i="5"/>
  <c r="EZ32" i="5"/>
  <c r="FA56" i="5"/>
  <c r="EZ56" i="5"/>
  <c r="EY32" i="5"/>
  <c r="EX32" i="5"/>
  <c r="EY56" i="5"/>
  <c r="EW32" i="5"/>
  <c r="EX56" i="5"/>
  <c r="EW56" i="5"/>
  <c r="EV32" i="5"/>
  <c r="EV56" i="5"/>
  <c r="EU56" i="5"/>
  <c r="EU32" i="5"/>
  <c r="ET32" i="5"/>
  <c r="ES32" i="5"/>
  <c r="ER32" i="5"/>
  <c r="EQ32" i="5"/>
  <c r="EP32" i="5"/>
  <c r="EO32" i="5"/>
  <c r="EO35" i="5"/>
  <c r="EN32" i="5"/>
  <c r="EM32" i="5"/>
  <c r="DZ35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H35" i="5"/>
  <c r="DG32" i="5"/>
  <c r="DG35" i="5"/>
  <c r="DF32" i="5"/>
  <c r="DF35" i="5"/>
  <c r="DE32" i="5"/>
  <c r="DD32" i="5"/>
  <c r="DE35" i="5"/>
  <c r="DD35" i="5"/>
  <c r="DC32" i="5"/>
  <c r="DB32" i="5"/>
  <c r="DA32" i="5"/>
  <c r="CZ32" i="5"/>
  <c r="CZ35" i="5"/>
  <c r="CY32" i="5"/>
  <c r="CY35" i="5"/>
  <c r="CW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L35" i="5"/>
  <c r="BK32" i="5"/>
  <c r="BJ32" i="5"/>
  <c r="BK35" i="5"/>
  <c r="BJ35" i="5"/>
  <c r="BI32" i="5"/>
  <c r="BH32" i="5"/>
  <c r="BG32" i="5"/>
  <c r="BF32" i="5"/>
  <c r="BE32" i="5"/>
  <c r="BD35" i="5"/>
  <c r="BD32" i="5"/>
  <c r="BC32" i="5"/>
  <c r="BB35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Q35" i="5"/>
  <c r="P32" i="5"/>
  <c r="P35" i="5"/>
  <c r="O32" i="5"/>
  <c r="N32" i="5"/>
  <c r="O35" i="5"/>
  <c r="N35" i="5"/>
  <c r="M32" i="5"/>
  <c r="L32" i="5"/>
  <c r="K32" i="5"/>
  <c r="J32" i="5"/>
  <c r="I32" i="5"/>
  <c r="H32" i="5"/>
  <c r="G32" i="5"/>
  <c r="F32" i="5"/>
  <c r="E32" i="5"/>
  <c r="D32" i="5"/>
  <c r="C32" i="5"/>
  <c r="F2" i="4"/>
  <c r="D1" i="11" s="1"/>
  <c r="C29" i="11" s="1"/>
  <c r="J4" i="4"/>
  <c r="F1" i="11" s="1"/>
  <c r="D32" i="11"/>
  <c r="D24" i="11"/>
  <c r="E36" i="11"/>
  <c r="E35" i="11"/>
  <c r="E34" i="11"/>
  <c r="F78" i="4"/>
  <c r="F74" i="4"/>
  <c r="F60" i="4"/>
  <c r="J6" i="4"/>
  <c r="J67" i="4" s="1"/>
  <c r="J7" i="4"/>
  <c r="J7" i="13" s="1"/>
  <c r="F6" i="4"/>
  <c r="F6" i="13" s="1"/>
  <c r="F7" i="4"/>
  <c r="F7" i="13" s="1"/>
  <c r="K98" i="4"/>
  <c r="K75" i="13" s="1"/>
  <c r="K82" i="13"/>
  <c r="J82" i="13"/>
  <c r="I82" i="13"/>
  <c r="H82" i="13"/>
  <c r="G82" i="13"/>
  <c r="F82" i="13"/>
  <c r="E82" i="13"/>
  <c r="D82" i="13"/>
  <c r="C82" i="13"/>
  <c r="K81" i="13"/>
  <c r="J81" i="13"/>
  <c r="I81" i="13"/>
  <c r="H81" i="13"/>
  <c r="G81" i="13"/>
  <c r="F81" i="13"/>
  <c r="E81" i="13"/>
  <c r="D81" i="13"/>
  <c r="C81" i="13"/>
  <c r="K80" i="13"/>
  <c r="J80" i="13"/>
  <c r="I80" i="13"/>
  <c r="H80" i="13"/>
  <c r="G80" i="13"/>
  <c r="F80" i="13"/>
  <c r="E80" i="13"/>
  <c r="D80" i="13"/>
  <c r="C80" i="13"/>
  <c r="K79" i="13"/>
  <c r="J79" i="13"/>
  <c r="I79" i="13"/>
  <c r="K76" i="13"/>
  <c r="J76" i="13"/>
  <c r="I76" i="13"/>
  <c r="H76" i="13"/>
  <c r="J75" i="13"/>
  <c r="I75" i="13"/>
  <c r="H75" i="13"/>
  <c r="J74" i="13"/>
  <c r="I74" i="13"/>
  <c r="H74" i="13"/>
  <c r="J73" i="13"/>
  <c r="I73" i="13"/>
  <c r="H73" i="13"/>
  <c r="K70" i="13"/>
  <c r="J70" i="13"/>
  <c r="I70" i="13"/>
  <c r="H70" i="13"/>
  <c r="F53" i="13"/>
  <c r="F47" i="13"/>
  <c r="F42" i="13"/>
  <c r="F37" i="13"/>
  <c r="F34" i="13"/>
  <c r="J11" i="13"/>
  <c r="J10" i="13"/>
  <c r="K97" i="4"/>
  <c r="K74" i="13" s="1"/>
  <c r="K96" i="4"/>
  <c r="E21" i="11"/>
  <c r="E12" i="11"/>
  <c r="E11" i="11"/>
  <c r="J5" i="4"/>
  <c r="J5" i="13" s="1"/>
  <c r="E5" i="11"/>
  <c r="E26" i="11"/>
  <c r="E15" i="11"/>
  <c r="E17" i="11"/>
  <c r="E19" i="11"/>
  <c r="E8" i="11"/>
  <c r="E9" i="11"/>
  <c r="E3" i="11"/>
  <c r="D22" i="11"/>
  <c r="E4" i="11"/>
  <c r="E20" i="11"/>
  <c r="E16" i="11"/>
  <c r="E14" i="11"/>
  <c r="E6" i="11"/>
  <c r="J30" i="4"/>
  <c r="F56" i="4"/>
  <c r="F50" i="4"/>
  <c r="J50" i="4" s="1"/>
  <c r="J49" i="4"/>
  <c r="F45" i="4"/>
  <c r="F40" i="4"/>
  <c r="J40" i="4" s="1"/>
  <c r="J39" i="4"/>
  <c r="F37" i="4"/>
  <c r="J37" i="4" s="1"/>
  <c r="J36" i="4"/>
  <c r="J29" i="4"/>
  <c r="K28" i="13"/>
  <c r="K26" i="13"/>
  <c r="C21" i="14" l="1"/>
  <c r="ACU61" i="5"/>
  <c r="ACT61" i="5"/>
  <c r="ACS61" i="5"/>
  <c r="ACR61" i="5"/>
  <c r="ACQ61" i="5"/>
  <c r="SR56" i="5"/>
  <c r="SR61" i="5" s="1"/>
  <c r="J77" i="4"/>
  <c r="K100" i="4"/>
  <c r="J73" i="4"/>
  <c r="J76" i="4"/>
  <c r="J6" i="13"/>
  <c r="J17" i="13" s="1"/>
  <c r="J27" i="4"/>
  <c r="J61" i="4"/>
  <c r="J74" i="4"/>
  <c r="K73" i="13"/>
  <c r="K77" i="13" s="1"/>
  <c r="J4" i="13"/>
  <c r="I77" i="13"/>
  <c r="D27" i="11"/>
  <c r="D37" i="11"/>
  <c r="J75" i="4"/>
  <c r="J31" i="4"/>
  <c r="J22" i="4"/>
  <c r="C18" i="11"/>
  <c r="C22" i="11" s="1"/>
  <c r="J60" i="4"/>
  <c r="F8" i="4"/>
  <c r="J53" i="4" s="1"/>
  <c r="J85" i="4"/>
  <c r="J18" i="13"/>
  <c r="J84" i="4"/>
  <c r="C25" i="11"/>
  <c r="E25" i="11" s="1"/>
  <c r="E27" i="11" s="1"/>
  <c r="J80" i="4"/>
  <c r="J89" i="4"/>
  <c r="J26" i="4"/>
  <c r="H77" i="13"/>
  <c r="J18" i="4"/>
  <c r="J78" i="4"/>
  <c r="D30" i="11"/>
  <c r="E30" i="11" s="1"/>
  <c r="J17" i="4"/>
  <c r="J64" i="4"/>
  <c r="J66" i="4"/>
  <c r="F2" i="11"/>
  <c r="C31" i="11" s="1"/>
  <c r="J77" i="13"/>
  <c r="J8" i="4"/>
  <c r="J55" i="4" s="1"/>
  <c r="D10" i="11"/>
  <c r="BV6" i="14"/>
  <c r="BX6" i="14"/>
  <c r="CE6" i="14"/>
  <c r="QL61" i="5"/>
  <c r="QN61" i="5"/>
  <c r="CF6" i="14"/>
  <c r="BT6" i="14"/>
  <c r="CD6" i="14"/>
  <c r="BU6" i="14"/>
  <c r="SJ61" i="5"/>
  <c r="SB61" i="5"/>
  <c r="F12" i="13"/>
  <c r="F14" i="13" s="1"/>
  <c r="D38" i="11"/>
  <c r="J79" i="4"/>
  <c r="C33" i="11"/>
  <c r="E33" i="11" s="1"/>
  <c r="D29" i="11"/>
  <c r="D28" i="11" s="1"/>
  <c r="F15" i="13" s="1"/>
  <c r="J81" i="4"/>
  <c r="J69" i="4"/>
  <c r="J71" i="4"/>
  <c r="C7" i="11"/>
  <c r="C13" i="11" s="1"/>
  <c r="J62" i="4"/>
  <c r="J43" i="4"/>
  <c r="J23" i="4"/>
  <c r="J72" i="4"/>
  <c r="C10" i="11"/>
  <c r="E10" i="11" s="1"/>
  <c r="J25" i="4"/>
  <c r="J90" i="4"/>
  <c r="J52" i="4"/>
  <c r="J24" i="4"/>
  <c r="J83" i="4"/>
  <c r="J70" i="4"/>
  <c r="D7" i="11"/>
  <c r="D13" i="11" s="1"/>
  <c r="D23" i="11" s="1"/>
  <c r="F19" i="13" s="1"/>
  <c r="J82" i="4"/>
  <c r="J65" i="4"/>
  <c r="J68" i="4"/>
  <c r="J63" i="4"/>
  <c r="QH61" i="5"/>
  <c r="LJ61" i="5"/>
  <c r="QG61" i="5"/>
  <c r="FZ61" i="5"/>
  <c r="QF61" i="5"/>
  <c r="QM61" i="5"/>
  <c r="QO61" i="5"/>
  <c r="QQ61" i="5"/>
  <c r="JW61" i="5"/>
  <c r="FB61" i="5"/>
  <c r="RN61" i="5"/>
  <c r="ME61" i="5"/>
  <c r="MG61" i="5"/>
  <c r="NM61" i="5"/>
  <c r="LI61" i="5"/>
  <c r="NK61" i="5"/>
  <c r="MZ61" i="5"/>
  <c r="JY61" i="5"/>
  <c r="FD61" i="5"/>
  <c r="IZ61" i="5"/>
  <c r="MB61" i="5"/>
  <c r="MW61" i="5"/>
  <c r="NN61" i="5"/>
  <c r="JM61" i="5"/>
  <c r="MX61" i="5"/>
  <c r="MY61" i="5"/>
  <c r="QK61" i="5"/>
  <c r="MH61" i="5"/>
  <c r="GB61" i="5"/>
  <c r="HU61" i="5"/>
  <c r="KN61" i="5"/>
  <c r="MD61" i="5"/>
  <c r="MF61" i="5"/>
  <c r="NL61" i="5"/>
  <c r="MC61" i="5"/>
  <c r="QP61" i="5"/>
  <c r="QJ61" i="5"/>
  <c r="QV61" i="5"/>
  <c r="KH61" i="5"/>
  <c r="FC61" i="5"/>
  <c r="FG61" i="5"/>
  <c r="IJ61" i="5"/>
  <c r="JJ61" i="5"/>
  <c r="JL61" i="5"/>
  <c r="NC61" i="5"/>
  <c r="NO61" i="5"/>
  <c r="KA61" i="5"/>
  <c r="QI61" i="5"/>
  <c r="QW61" i="5"/>
  <c r="FE61" i="5"/>
  <c r="JK61" i="5"/>
  <c r="JX61" i="5"/>
  <c r="PB61" i="5"/>
  <c r="QU61" i="5"/>
  <c r="E29" i="11"/>
  <c r="C28" i="11"/>
  <c r="F15" i="4" s="1"/>
  <c r="J15" i="4" s="1"/>
  <c r="ADA61" i="5" l="1"/>
  <c r="ACZ61" i="5"/>
  <c r="ACY61" i="5"/>
  <c r="ACX61" i="5"/>
  <c r="ACW61" i="5"/>
  <c r="ACV61" i="5"/>
  <c r="J19" i="13"/>
  <c r="J66" i="13"/>
  <c r="J67" i="13"/>
  <c r="J28" i="4"/>
  <c r="J32" i="4" s="1"/>
  <c r="K31" i="4" s="1"/>
  <c r="E18" i="11"/>
  <c r="E22" i="11" s="1"/>
  <c r="C23" i="11"/>
  <c r="F19" i="4" s="1"/>
  <c r="J19" i="4" s="1"/>
  <c r="C27" i="11"/>
  <c r="C24" i="11"/>
  <c r="E24" i="11" s="1"/>
  <c r="C41" i="11"/>
  <c r="E31" i="11"/>
  <c r="E41" i="11" s="1"/>
  <c r="J87" i="4"/>
  <c r="J8" i="13"/>
  <c r="J16" i="13" s="1"/>
  <c r="J16" i="4"/>
  <c r="J45" i="4"/>
  <c r="J46" i="4"/>
  <c r="J56" i="4"/>
  <c r="J42" i="4"/>
  <c r="F8" i="13"/>
  <c r="J15" i="13" s="1"/>
  <c r="D39" i="11"/>
  <c r="SI61" i="5"/>
  <c r="E7" i="11"/>
  <c r="E13" i="11" s="1"/>
  <c r="J12" i="13"/>
  <c r="D31" i="11"/>
  <c r="D41" i="11" s="1"/>
  <c r="D42" i="11" s="1"/>
  <c r="D40" i="11"/>
  <c r="C32" i="11"/>
  <c r="E32" i="11" s="1"/>
  <c r="C37" i="11"/>
  <c r="E37" i="11" s="1"/>
  <c r="E39" i="11" s="1"/>
  <c r="E28" i="11"/>
  <c r="E40" i="11" s="1"/>
  <c r="C40" i="11"/>
  <c r="J58" i="4" l="1"/>
  <c r="E23" i="11"/>
  <c r="E42" i="11" s="1"/>
  <c r="J20" i="13"/>
  <c r="L16" i="13"/>
  <c r="F12" i="4"/>
  <c r="J12" i="4" s="1"/>
  <c r="J20" i="4" s="1"/>
  <c r="J33" i="4" s="1"/>
  <c r="C38" i="11"/>
  <c r="E38" i="11"/>
  <c r="C39" i="11"/>
  <c r="C42" i="11" s="1"/>
  <c r="K28" i="4"/>
  <c r="D32" i="4"/>
  <c r="F14" i="4" l="1"/>
</calcChain>
</file>

<file path=xl/sharedStrings.xml><?xml version="1.0" encoding="utf-8"?>
<sst xmlns="http://schemas.openxmlformats.org/spreadsheetml/2006/main" count="891" uniqueCount="201">
  <si>
    <t xml:space="preserve"> </t>
  </si>
  <si>
    <t>EURO</t>
  </si>
  <si>
    <t>GBP</t>
  </si>
  <si>
    <t xml:space="preserve"> %</t>
  </si>
  <si>
    <t>USD</t>
  </si>
  <si>
    <t>A)</t>
  </si>
  <si>
    <t>B)</t>
  </si>
  <si>
    <t>C)</t>
  </si>
  <si>
    <t>D)</t>
  </si>
  <si>
    <t>E)</t>
  </si>
  <si>
    <t>Finance Department</t>
  </si>
  <si>
    <t>Interbank Cross Rate (Parity)</t>
  </si>
  <si>
    <t xml:space="preserve">USD Deposit </t>
  </si>
  <si>
    <t>USD Free to use</t>
  </si>
  <si>
    <t xml:space="preserve">EURO Deposit </t>
  </si>
  <si>
    <t xml:space="preserve">GBP Deposit </t>
  </si>
  <si>
    <t xml:space="preserve">Cheque in transit </t>
  </si>
  <si>
    <t xml:space="preserve">Total Deposit Account </t>
  </si>
  <si>
    <t>Total Loan Account</t>
  </si>
  <si>
    <t>Shortage ( - ) or Surplus</t>
  </si>
  <si>
    <t xml:space="preserve">              </t>
  </si>
  <si>
    <t>Import &amp; Local payment due within 1 month</t>
  </si>
  <si>
    <t>Realized demand</t>
  </si>
  <si>
    <t>Demand on the way</t>
  </si>
  <si>
    <t>Expected demand</t>
  </si>
  <si>
    <t xml:space="preserve">ADVANCE PHARMA Overnight Deposit </t>
  </si>
  <si>
    <t>ADVANCE PHARMA Short Term Loan</t>
  </si>
  <si>
    <t>Overnight Deposit</t>
  </si>
  <si>
    <t xml:space="preserve">Buying </t>
  </si>
  <si>
    <t>Selling</t>
  </si>
  <si>
    <t>F)</t>
  </si>
  <si>
    <t>G)</t>
  </si>
  <si>
    <t>6M</t>
  </si>
  <si>
    <t>12M</t>
  </si>
  <si>
    <t>CPI</t>
  </si>
  <si>
    <t>PPI</t>
  </si>
  <si>
    <t>1M</t>
  </si>
  <si>
    <t>3M</t>
  </si>
  <si>
    <t>annual</t>
  </si>
  <si>
    <r>
      <t xml:space="preserve">Import &amp; Local payment </t>
    </r>
    <r>
      <rPr>
        <b/>
        <sz val="11"/>
        <rFont val="Calibri"/>
        <family val="2"/>
        <charset val="162"/>
      </rPr>
      <t>after 1 month</t>
    </r>
  </si>
  <si>
    <r>
      <t>Realized payment request</t>
    </r>
    <r>
      <rPr>
        <b/>
        <sz val="11"/>
        <rFont val="Calibri"/>
        <family val="2"/>
        <charset val="162"/>
      </rPr>
      <t xml:space="preserve"> in fortnight</t>
    </r>
  </si>
  <si>
    <r>
      <t xml:space="preserve">Demand on the way </t>
    </r>
    <r>
      <rPr>
        <b/>
        <sz val="11"/>
        <rFont val="Calibri"/>
        <family val="2"/>
        <charset val="162"/>
      </rPr>
      <t>in fortnight</t>
    </r>
  </si>
  <si>
    <r>
      <t xml:space="preserve">Demand on the way </t>
    </r>
    <r>
      <rPr>
        <b/>
        <sz val="11"/>
        <rFont val="Calibri"/>
        <family val="2"/>
        <charset val="162"/>
      </rPr>
      <t>in one month</t>
    </r>
  </si>
  <si>
    <t>Compulsory Deposit</t>
  </si>
  <si>
    <t>Interbank Rates  USD</t>
  </si>
  <si>
    <t>Interbank Rates  EURO</t>
  </si>
  <si>
    <t>Hard currency Short Term Loan total</t>
  </si>
  <si>
    <r>
      <t>Remaining payment request</t>
    </r>
    <r>
      <rPr>
        <b/>
        <sz val="11"/>
        <rFont val="Calibri"/>
        <family val="2"/>
        <charset val="162"/>
      </rPr>
      <t xml:space="preserve"> in one month </t>
    </r>
  </si>
  <si>
    <t>and</t>
  </si>
  <si>
    <t>Total import &amp; local hard currency payments</t>
  </si>
  <si>
    <t>I)</t>
  </si>
  <si>
    <t>Inflation</t>
  </si>
  <si>
    <r>
      <t xml:space="preserve"> </t>
    </r>
    <r>
      <rPr>
        <b/>
        <sz val="11"/>
        <color indexed="62"/>
        <rFont val="Calibri"/>
        <family val="2"/>
        <charset val="162"/>
      </rPr>
      <t xml:space="preserve"> H)</t>
    </r>
    <r>
      <rPr>
        <b/>
        <sz val="11"/>
        <rFont val="Calibri"/>
        <family val="2"/>
      </rPr>
      <t xml:space="preserve"> Exchange Rates</t>
    </r>
  </si>
  <si>
    <t>Reservation for the salary and commitments</t>
  </si>
  <si>
    <t>Eur/Usd parity</t>
  </si>
  <si>
    <t>average</t>
  </si>
  <si>
    <r>
      <t xml:space="preserve">CURRENCIES                                                                 </t>
    </r>
    <r>
      <rPr>
        <b/>
        <sz val="11"/>
        <rFont val="Calibri"/>
        <family val="2"/>
        <charset val="162"/>
      </rPr>
      <t xml:space="preserve"> 2M</t>
    </r>
  </si>
  <si>
    <t xml:space="preserve">USD    </t>
  </si>
  <si>
    <t xml:space="preserve">EURO </t>
  </si>
  <si>
    <t xml:space="preserve">GPB    </t>
  </si>
  <si>
    <t>TOTAL F/X LOAN SHARE IN TOTAL</t>
  </si>
  <si>
    <t>CBR (Central Bank of Russia)</t>
  </si>
  <si>
    <t>RUR</t>
  </si>
  <si>
    <t>Exchange Rate</t>
  </si>
  <si>
    <t>CBR Lending Rates Overnight</t>
  </si>
  <si>
    <t>CBR Borrowing Loan Rates Overnight</t>
  </si>
  <si>
    <t>Short/Long Term Loan RUR</t>
  </si>
  <si>
    <t>JPY</t>
  </si>
  <si>
    <t>CPF Russia   - Daily Financial Memorandum</t>
  </si>
  <si>
    <t xml:space="preserve">RUR                                                                             </t>
  </si>
  <si>
    <t>Libor Rates / MosPrime</t>
  </si>
  <si>
    <t>-</t>
  </si>
  <si>
    <t>V-Bank</t>
  </si>
  <si>
    <t>SMBC</t>
  </si>
  <si>
    <t>RSHB</t>
  </si>
  <si>
    <t>SB RF</t>
  </si>
  <si>
    <t>CITIBANK</t>
  </si>
  <si>
    <t>HSBC</t>
  </si>
  <si>
    <t>BANK</t>
  </si>
  <si>
    <t>current account</t>
  </si>
  <si>
    <t>deposit account</t>
  </si>
  <si>
    <t>TOTAL</t>
  </si>
  <si>
    <t>TOTAL W/O G.Deposit</t>
  </si>
  <si>
    <t>Bank of Moscow</t>
  </si>
  <si>
    <t>TOTAL RUB LOAN SHARE IN TOTAL</t>
  </si>
  <si>
    <t>amount</t>
  </si>
  <si>
    <t>Total on current deposit accounts</t>
  </si>
  <si>
    <t>days to
due date</t>
  </si>
  <si>
    <t>%% accrued</t>
  </si>
  <si>
    <t>i.r.</t>
  </si>
  <si>
    <t>close</t>
  </si>
  <si>
    <t>open</t>
  </si>
  <si>
    <t>Bank name</t>
  </si>
  <si>
    <t>Company</t>
  </si>
  <si>
    <t>Deposits of CPF Rus</t>
  </si>
  <si>
    <t>Reserved for</t>
  </si>
  <si>
    <t>check</t>
  </si>
  <si>
    <t>Cash in bank Report</t>
  </si>
  <si>
    <t>RUB / USD</t>
  </si>
  <si>
    <t>Total</t>
  </si>
  <si>
    <t>…</t>
  </si>
  <si>
    <t>SUM Current</t>
  </si>
  <si>
    <t>SUM Deposit</t>
  </si>
  <si>
    <t>SUM Ruble</t>
  </si>
  <si>
    <t>USD - Current</t>
  </si>
  <si>
    <t>Exchange USD to RUB</t>
  </si>
  <si>
    <t>USD - Deposit</t>
  </si>
  <si>
    <t>SUM USD</t>
  </si>
  <si>
    <t>SUM Exchange RUB</t>
  </si>
  <si>
    <t>Total Cash in Bank</t>
  </si>
  <si>
    <t>USD c/a</t>
  </si>
  <si>
    <t>in rub</t>
  </si>
  <si>
    <t>USD deposit</t>
  </si>
  <si>
    <t xml:space="preserve"> Short term Loan repayment due</t>
  </si>
  <si>
    <t>-0.00314 %</t>
  </si>
  <si>
    <t>-0.13600 %</t>
  </si>
  <si>
    <t>0.02264 %</t>
  </si>
  <si>
    <t>0.43850 %</t>
  </si>
  <si>
    <t>0.62660 %</t>
  </si>
  <si>
    <t>0.89190 %</t>
  </si>
  <si>
    <t>1.20530 %</t>
  </si>
  <si>
    <t>-0.33357 %</t>
  </si>
  <si>
    <t>-0.25143 %</t>
  </si>
  <si>
    <t>-0.01757 %</t>
  </si>
  <si>
    <t>0.51006 %</t>
  </si>
  <si>
    <t>0.58938 %</t>
  </si>
  <si>
    <t>0.74075 %</t>
  </si>
  <si>
    <t>0.99963 %</t>
  </si>
  <si>
    <t>-0.05357 %</t>
  </si>
  <si>
    <t>0.10557 %</t>
  </si>
  <si>
    <t>VTB</t>
  </si>
  <si>
    <t>Jun</t>
  </si>
  <si>
    <t>Severnaya</t>
  </si>
  <si>
    <t>STL (Sberbank)</t>
  </si>
  <si>
    <t>LTL (Sberbank)</t>
  </si>
  <si>
    <t>Woyskovitsy</t>
  </si>
  <si>
    <t>EURO c/a</t>
  </si>
  <si>
    <t>EURO - Current</t>
  </si>
  <si>
    <t>Exchange EURO to RUB</t>
  </si>
  <si>
    <t>RUB / EURO</t>
  </si>
  <si>
    <t>SUM EURO</t>
  </si>
  <si>
    <t xml:space="preserve"> 1 EURO</t>
  </si>
  <si>
    <t xml:space="preserve"> 1 GBP</t>
  </si>
  <si>
    <t>DATE</t>
  </si>
  <si>
    <t>THB</t>
  </si>
  <si>
    <t>CNY</t>
  </si>
  <si>
    <t>Buying</t>
  </si>
  <si>
    <t>CBR</t>
  </si>
  <si>
    <t>Middle Rate</t>
  </si>
  <si>
    <t>0.47785 %</t>
  </si>
  <si>
    <t>0.66910 %</t>
  </si>
  <si>
    <t>0.95140 %</t>
  </si>
  <si>
    <t>1.26950 %</t>
  </si>
  <si>
    <t>-0.36357 %</t>
  </si>
  <si>
    <t>-0.30157 %</t>
  </si>
  <si>
    <t>-0.19271 %</t>
  </si>
  <si>
    <t>-0.07171 %</t>
  </si>
  <si>
    <t>0.45600 %</t>
  </si>
  <si>
    <t>0.50219 %</t>
  </si>
  <si>
    <t>0.58875 %</t>
  </si>
  <si>
    <t>0.81931 %</t>
  </si>
  <si>
    <t>-0.06643 %</t>
  </si>
  <si>
    <t>-0.03421 %</t>
  </si>
  <si>
    <t>-0.03200 %</t>
  </si>
  <si>
    <t>0.05036 %</t>
  </si>
  <si>
    <t>July 2016</t>
  </si>
  <si>
    <t>Total RUR</t>
  </si>
  <si>
    <t>.</t>
  </si>
  <si>
    <t>LC</t>
  </si>
  <si>
    <t>STL (Rosselhozbank)</t>
  </si>
  <si>
    <t>Rosselhozbank</t>
  </si>
  <si>
    <t xml:space="preserve">CNY Deposit </t>
  </si>
  <si>
    <t xml:space="preserve">Loan </t>
  </si>
  <si>
    <t>TOTAL STL</t>
  </si>
  <si>
    <t>TOTAL LTL</t>
  </si>
  <si>
    <t xml:space="preserve"> Long term Loan repayment due</t>
  </si>
  <si>
    <t>Hard currency Long Term Loan total</t>
  </si>
  <si>
    <t xml:space="preserve">Short-term Loan Receivable </t>
  </si>
  <si>
    <t>Total Loan Receivable Account</t>
  </si>
  <si>
    <t>Loan repayment date</t>
  </si>
  <si>
    <t>Total amount</t>
  </si>
  <si>
    <t>H)</t>
  </si>
  <si>
    <t>Promissory notes</t>
  </si>
  <si>
    <t>Promissory notes repayment date</t>
  </si>
  <si>
    <r>
      <rPr>
        <b/>
        <sz val="11"/>
        <rFont val="Calibri"/>
        <family val="2"/>
        <charset val="204"/>
        <scheme val="minor"/>
      </rPr>
      <t xml:space="preserve"> </t>
    </r>
    <r>
      <rPr>
        <b/>
        <sz val="11"/>
        <color indexed="62"/>
        <rFont val="Calibri"/>
        <family val="2"/>
        <charset val="204"/>
      </rPr>
      <t xml:space="preserve"> J)</t>
    </r>
    <r>
      <rPr>
        <b/>
        <sz val="11"/>
        <rFont val="Calibri"/>
        <family val="2"/>
      </rPr>
      <t xml:space="preserve"> Exchange Rates</t>
    </r>
  </si>
  <si>
    <t xml:space="preserve">CURRENCIES                                                               </t>
  </si>
  <si>
    <t>K)</t>
  </si>
  <si>
    <t>December</t>
  </si>
  <si>
    <t>Credit Europa Bank</t>
  </si>
  <si>
    <t>Raiffazenbank</t>
  </si>
  <si>
    <t>ICBC Bank</t>
  </si>
  <si>
    <t>LTL (Sberbank) dd 02/08/22</t>
  </si>
  <si>
    <t>CNY c/a</t>
  </si>
  <si>
    <t>Total CNY</t>
  </si>
  <si>
    <t>\</t>
  </si>
  <si>
    <t>OTP Bank</t>
  </si>
  <si>
    <t>Rosselhozbank dd 29/11/24</t>
  </si>
  <si>
    <t>OTP</t>
  </si>
  <si>
    <t>Rosselhozbank dd 14/05/25</t>
  </si>
  <si>
    <t>SB RF dd 15/07/25</t>
  </si>
  <si>
    <t>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</si>
</sst>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1" formatCode="_-* #,##0\ _₽_-;\-* #,##0\ _₽_-;_-* &quot;-&quot;\ _₽_-;_-@_-"/>
    <numFmt numFmtId="43" formatCode="_-* #,##0.00\ _₽_-;\-* #,##0.00\ _₽_-;_-* &quot;-&quot;??\ _₽_-;_-@_-"/>
    <numFmt numFmtId="164" formatCode="_-* #,##0.00_р_._-;\-* #,##0.00_р_._-;_-* &quot;-&quot;??_р_._-;_-@_-"/>
    <numFmt numFmtId="165" formatCode="_-* #,##0.00\ _р_._-;\-* #,##0.00\ _р_._-;_-* &quot;-&quot;??\ _р_._-;_-@_-"/>
    <numFmt numFmtId="166" formatCode="0.0000"/>
    <numFmt numFmtId="167" formatCode="#,##0\ "/>
    <numFmt numFmtId="168" formatCode="#,##0.0000"/>
    <numFmt numFmtId="169" formatCode="0.0000%"/>
    <numFmt numFmtId="170" formatCode="[$-409]dd\-mmm\-yy;@"/>
    <numFmt numFmtId="171" formatCode="_(* #,##0.00_);_(* \(#,##0.00\);_(* &quot;-&quot;??_);_(@_)"/>
    <numFmt numFmtId="172" formatCode="_-* #,##0\ _р_._-;\-* #,##0\ _р_._-;_-* &quot;-&quot;??\ _р_._-;_-@_-"/>
    <numFmt numFmtId="173" formatCode="[$-409]mmm\-yy;@"/>
    <numFmt numFmtId="174" formatCode="0.000%"/>
    <numFmt numFmtId="175" formatCode="#,##0_ ;\-#,##0\ "/>
    <numFmt numFmtId="176" formatCode="[$-409]mmmm\-yy;@"/>
    <numFmt numFmtId="177" formatCode="0.0%"/>
    <numFmt numFmtId="178" formatCode="0.00;[Red]\-0.00"/>
    <numFmt numFmtId="179" formatCode="0;[Red]\-0"/>
    <numFmt numFmtId="180" formatCode="0.0;[Red]\-0.0"/>
  </numFmts>
  <fonts count="303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</font>
    <font>
      <sz val="9"/>
      <name val="Arial"/>
      <family val="2"/>
    </font>
    <font>
      <sz val="11"/>
      <color indexed="9"/>
      <name val="Calibri"/>
      <family val="2"/>
      <charset val="162"/>
    </font>
    <font>
      <b/>
      <sz val="14"/>
      <color indexed="56"/>
      <name val="Calibri"/>
      <family val="2"/>
      <charset val="162"/>
    </font>
    <font>
      <sz val="12"/>
      <name val="Calibri"/>
      <family val="2"/>
    </font>
    <font>
      <sz val="11"/>
      <name val="Calibri"/>
      <family val="2"/>
    </font>
    <font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</font>
    <font>
      <b/>
      <sz val="11"/>
      <color indexed="62"/>
      <name val="Calibri"/>
      <family val="2"/>
      <charset val="162"/>
    </font>
    <font>
      <b/>
      <sz val="12"/>
      <name val="Arial"/>
      <family val="2"/>
      <charset val="162"/>
    </font>
    <font>
      <b/>
      <sz val="14"/>
      <name val="Calibri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sz val="11"/>
      <color rgb="FF7F7F7F"/>
      <name val="Calibri"/>
      <family val="2"/>
      <scheme val="minor"/>
    </font>
    <font>
      <b/>
      <sz val="14"/>
      <color theme="3"/>
      <name val="Calibri"/>
      <family val="2"/>
      <charset val="162"/>
      <scheme val="minor"/>
    </font>
    <font>
      <b/>
      <sz val="11"/>
      <color theme="3"/>
      <name val="Cambria"/>
      <family val="2"/>
      <charset val="162"/>
      <scheme val="maj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Calibri"/>
      <family val="2"/>
      <scheme val="minor"/>
    </font>
    <font>
      <b/>
      <sz val="10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0"/>
      <name val="Arial"/>
      <family val="2"/>
      <charset val="162"/>
    </font>
    <font>
      <i/>
      <sz val="11"/>
      <color rgb="FF7F7F7F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  <charset val="204"/>
    </font>
    <font>
      <sz val="11"/>
      <name val="Arial"/>
      <family val="2"/>
      <charset val="162"/>
    </font>
    <font>
      <sz val="11"/>
      <color indexed="8"/>
      <name val="Calibri"/>
      <family val="2"/>
      <charset val="204"/>
    </font>
    <font>
      <b/>
      <sz val="10"/>
      <name val="Arial"/>
      <family val="2"/>
      <charset val="204"/>
    </font>
    <font>
      <b/>
      <sz val="6"/>
      <name val="Arial"/>
      <family val="2"/>
      <charset val="204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0070C0"/>
      <name val="Arial"/>
      <family val="2"/>
      <charset val="204"/>
    </font>
    <font>
      <b/>
      <sz val="14"/>
      <color theme="3"/>
      <name val="Calibri"/>
      <family val="2"/>
      <charset val="204"/>
      <scheme val="minor"/>
    </font>
    <font>
      <b/>
      <i/>
      <sz val="14"/>
      <color theme="3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color rgb="FFFFC000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i/>
      <sz val="14"/>
      <color rgb="FF3333FF"/>
      <name val="Calibri"/>
      <family val="2"/>
      <charset val="204"/>
      <scheme val="minor"/>
    </font>
    <font>
      <b/>
      <u/>
      <sz val="10"/>
      <name val="Arial"/>
      <family val="2"/>
      <charset val="204"/>
    </font>
    <font>
      <sz val="10"/>
      <color theme="3"/>
      <name val="Arial"/>
      <family val="2"/>
      <charset val="204"/>
    </font>
    <font>
      <b/>
      <sz val="10"/>
      <color theme="3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color theme="4" tint="-0.249977111117893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10"/>
      <color rgb="FF0000FF"/>
      <name val="Arial"/>
      <family val="2"/>
      <charset val="204"/>
    </font>
    <font>
      <sz val="11"/>
      <color rgb="FF0000FF"/>
      <name val="Calibri"/>
      <family val="2"/>
      <charset val="204"/>
      <scheme val="minor"/>
    </font>
    <font>
      <b/>
      <sz val="11"/>
      <color rgb="FF0000FF"/>
      <name val="Cambria"/>
      <family val="2"/>
      <charset val="162"/>
      <scheme val="major"/>
    </font>
    <font>
      <sz val="11"/>
      <color rgb="FF0000FF"/>
      <name val="Calibri"/>
      <family val="2"/>
    </font>
    <font>
      <i/>
      <sz val="12"/>
      <color rgb="FF7F7F7F"/>
      <name val="Calibri"/>
      <family val="2"/>
      <charset val="162"/>
      <scheme val="minor"/>
    </font>
    <font>
      <b/>
      <sz val="12"/>
      <name val="Calibri"/>
      <family val="2"/>
    </font>
    <font>
      <sz val="12"/>
      <name val="Arial"/>
      <family val="2"/>
      <charset val="204"/>
    </font>
    <font>
      <sz val="12"/>
      <color indexed="8"/>
      <name val="Arial"/>
      <family val="2"/>
    </font>
    <font>
      <b/>
      <sz val="12"/>
      <color rgb="FF0000FF"/>
      <name val="Calibri"/>
      <family val="2"/>
      <charset val="162"/>
      <scheme val="minor"/>
    </font>
    <font>
      <b/>
      <sz val="11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2"/>
      <name val="Calibri"/>
      <family val="2"/>
      <charset val="162"/>
    </font>
    <font>
      <b/>
      <sz val="11"/>
      <color indexed="62"/>
      <name val="Calibri"/>
      <family val="2"/>
      <charset val="204"/>
    </font>
    <font>
      <sz val="11"/>
      <color rgb="FF0000FF"/>
      <name val="Arial"/>
      <family val="2"/>
      <charset val="162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FF0000"/>
      <name val="Calibri"/>
      <family val="2"/>
      <charset val="16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sz val="11"/>
      <color rgb="FFFF0000"/>
      <name val="Arial"/>
      <family val="2"/>
    </font>
    <font>
      <sz val="10"/>
      <color theme="1"/>
      <name val="Arial"/>
      <family val="2"/>
      <charset val="204"/>
    </font>
    <font>
      <sz val="8"/>
      <name val="Arial"/>
      <family val="2"/>
    </font>
    <font>
      <sz val="9"/>
      <name val="Arial"/>
      <family val="2"/>
      <charset val="204"/>
    </font>
    <font>
      <sz val="11"/>
      <color indexed="8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tted">
        <color indexed="8"/>
      </bottom>
      <diagonal/>
    </border>
    <border>
      <left/>
      <right style="thin">
        <color indexed="64"/>
      </right>
      <top/>
      <bottom style="dotted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64125">
    <xf numFmtId="0" fontId="0" fillId="0" borderId="0"/>
    <xf numFmtId="0" fontId="225" fillId="2" borderId="0" applyNumberFormat="0" applyBorder="0" applyAlignment="0" applyProtection="0"/>
    <xf numFmtId="0" fontId="226" fillId="3" borderId="0" applyNumberFormat="0" applyBorder="0" applyAlignment="0" applyProtection="0"/>
    <xf numFmtId="0" fontId="226" fillId="4" borderId="0" applyNumberFormat="0" applyBorder="0" applyAlignment="0" applyProtection="0"/>
    <xf numFmtId="0" fontId="227" fillId="0" borderId="0" applyNumberFormat="0" applyFill="0" applyBorder="0" applyAlignment="0" applyProtection="0"/>
    <xf numFmtId="0" fontId="228" fillId="0" borderId="38" applyNumberFormat="0" applyFill="0" applyAlignment="0" applyProtection="0"/>
    <xf numFmtId="0" fontId="229" fillId="0" borderId="39" applyNumberFormat="0" applyFill="0" applyAlignment="0" applyProtection="0"/>
    <xf numFmtId="0" fontId="230" fillId="0" borderId="40" applyNumberFormat="0" applyFill="0" applyAlignment="0" applyProtection="0"/>
    <xf numFmtId="0" fontId="230" fillId="0" borderId="0" applyNumberFormat="0" applyFill="0" applyBorder="0" applyAlignment="0" applyProtection="0"/>
    <xf numFmtId="0" fontId="231" fillId="0" borderId="0" applyNumberFormat="0" applyFill="0" applyBorder="0" applyAlignment="0" applyProtection="0"/>
    <xf numFmtId="171" fontId="245" fillId="0" borderId="0" applyFont="0" applyFill="0" applyBorder="0" applyAlignment="0" applyProtection="0"/>
    <xf numFmtId="0" fontId="246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9" fontId="245" fillId="0" borderId="0" applyFont="0" applyFill="0" applyBorder="0" applyAlignment="0" applyProtection="0"/>
    <xf numFmtId="0" fontId="248" fillId="0" borderId="0"/>
    <xf numFmtId="0" fontId="225" fillId="2" borderId="0" applyNumberFormat="0" applyBorder="0" applyAlignment="0" applyProtection="0"/>
    <xf numFmtId="0" fontId="226" fillId="3" borderId="0" applyNumberFormat="0" applyBorder="0" applyAlignment="0" applyProtection="0"/>
    <xf numFmtId="0" fontId="226" fillId="4" borderId="0" applyNumberFormat="0" applyBorder="0" applyAlignment="0" applyProtection="0"/>
    <xf numFmtId="0" fontId="227" fillId="0" borderId="0" applyNumberFormat="0" applyFill="0" applyBorder="0" applyAlignment="0" applyProtection="0"/>
    <xf numFmtId="0" fontId="228" fillId="0" borderId="38" applyNumberFormat="0" applyFill="0" applyAlignment="0" applyProtection="0"/>
    <xf numFmtId="0" fontId="229" fillId="0" borderId="39" applyNumberFormat="0" applyFill="0" applyAlignment="0" applyProtection="0"/>
    <xf numFmtId="0" fontId="230" fillId="0" borderId="40" applyNumberFormat="0" applyFill="0" applyAlignment="0" applyProtection="0"/>
    <xf numFmtId="0" fontId="230" fillId="0" borderId="0" applyNumberFormat="0" applyFill="0" applyBorder="0" applyAlignment="0" applyProtection="0"/>
    <xf numFmtId="0" fontId="231" fillId="0" borderId="0" applyNumberFormat="0" applyFill="0" applyBorder="0" applyAlignment="0" applyProtection="0"/>
    <xf numFmtId="0" fontId="212" fillId="0" borderId="0"/>
    <xf numFmtId="9" fontId="250" fillId="0" borderId="0" applyFont="0" applyFill="0" applyBorder="0" applyAlignment="0" applyProtection="0"/>
    <xf numFmtId="164" fontId="250" fillId="0" borderId="0" applyFont="0" applyFill="0" applyBorder="0" applyAlignment="0" applyProtection="0"/>
    <xf numFmtId="0" fontId="211" fillId="0" borderId="0"/>
    <xf numFmtId="9" fontId="211" fillId="0" borderId="0" applyFont="0" applyFill="0" applyBorder="0" applyAlignment="0" applyProtection="0"/>
    <xf numFmtId="0" fontId="248" fillId="0" borderId="0"/>
    <xf numFmtId="171" fontId="245" fillId="0" borderId="0" applyFont="0" applyFill="0" applyBorder="0" applyAlignment="0" applyProtection="0"/>
    <xf numFmtId="0" fontId="246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9" fontId="245" fillId="0" borderId="0" applyFont="0" applyFill="0" applyBorder="0" applyAlignment="0" applyProtection="0"/>
    <xf numFmtId="0" fontId="210" fillId="0" borderId="0"/>
    <xf numFmtId="9" fontId="210" fillId="0" borderId="0" applyFont="0" applyFill="0" applyBorder="0" applyAlignment="0" applyProtection="0"/>
    <xf numFmtId="0" fontId="209" fillId="0" borderId="0"/>
    <xf numFmtId="9" fontId="209" fillId="0" borderId="0" applyFont="0" applyFill="0" applyBorder="0" applyAlignment="0" applyProtection="0"/>
    <xf numFmtId="0" fontId="208" fillId="0" borderId="0"/>
    <xf numFmtId="9" fontId="208" fillId="0" borderId="0" applyFont="0" applyFill="0" applyBorder="0" applyAlignment="0" applyProtection="0"/>
    <xf numFmtId="0" fontId="207" fillId="0" borderId="0"/>
    <xf numFmtId="9" fontId="207" fillId="0" borderId="0" applyFont="0" applyFill="0" applyBorder="0" applyAlignment="0" applyProtection="0"/>
    <xf numFmtId="0" fontId="206" fillId="0" borderId="0"/>
    <xf numFmtId="9" fontId="206" fillId="0" borderId="0" applyFont="0" applyFill="0" applyBorder="0" applyAlignment="0" applyProtection="0"/>
    <xf numFmtId="0" fontId="205" fillId="0" borderId="0"/>
    <xf numFmtId="9" fontId="205" fillId="0" borderId="0" applyFont="0" applyFill="0" applyBorder="0" applyAlignment="0" applyProtection="0"/>
    <xf numFmtId="0" fontId="204" fillId="0" borderId="0"/>
    <xf numFmtId="9" fontId="204" fillId="0" borderId="0" applyFont="0" applyFill="0" applyBorder="0" applyAlignment="0" applyProtection="0"/>
    <xf numFmtId="0" fontId="203" fillId="0" borderId="0"/>
    <xf numFmtId="9" fontId="203" fillId="0" borderId="0" applyFont="0" applyFill="0" applyBorder="0" applyAlignment="0" applyProtection="0"/>
    <xf numFmtId="0" fontId="202" fillId="0" borderId="0"/>
    <xf numFmtId="9" fontId="202" fillId="0" borderId="0" applyFont="0" applyFill="0" applyBorder="0" applyAlignment="0" applyProtection="0"/>
    <xf numFmtId="0" fontId="202" fillId="0" borderId="0"/>
    <xf numFmtId="9" fontId="202" fillId="0" borderId="0" applyFont="0" applyFill="0" applyBorder="0" applyAlignment="0" applyProtection="0"/>
    <xf numFmtId="0" fontId="201" fillId="0" borderId="0"/>
    <xf numFmtId="9" fontId="201" fillId="0" borderId="0" applyFont="0" applyFill="0" applyBorder="0" applyAlignment="0" applyProtection="0"/>
    <xf numFmtId="0" fontId="201" fillId="0" borderId="0"/>
    <xf numFmtId="9" fontId="201" fillId="0" borderId="0" applyFont="0" applyFill="0" applyBorder="0" applyAlignment="0" applyProtection="0"/>
    <xf numFmtId="0" fontId="200" fillId="0" borderId="0"/>
    <xf numFmtId="9" fontId="200" fillId="0" borderId="0" applyFont="0" applyFill="0" applyBorder="0" applyAlignment="0" applyProtection="0"/>
    <xf numFmtId="0" fontId="200" fillId="0" borderId="0"/>
    <xf numFmtId="9" fontId="200" fillId="0" borderId="0" applyFont="0" applyFill="0" applyBorder="0" applyAlignment="0" applyProtection="0"/>
    <xf numFmtId="0" fontId="199" fillId="0" borderId="0"/>
    <xf numFmtId="9" fontId="199" fillId="0" borderId="0" applyFont="0" applyFill="0" applyBorder="0" applyAlignment="0" applyProtection="0"/>
    <xf numFmtId="0" fontId="199" fillId="0" borderId="0"/>
    <xf numFmtId="9" fontId="199" fillId="0" borderId="0" applyFont="0" applyFill="0" applyBorder="0" applyAlignment="0" applyProtection="0"/>
    <xf numFmtId="0" fontId="198" fillId="0" borderId="0"/>
    <xf numFmtId="9" fontId="198" fillId="0" borderId="0" applyFont="0" applyFill="0" applyBorder="0" applyAlignment="0" applyProtection="0"/>
    <xf numFmtId="0" fontId="198" fillId="0" borderId="0"/>
    <xf numFmtId="9" fontId="198" fillId="0" borderId="0" applyFont="0" applyFill="0" applyBorder="0" applyAlignment="0" applyProtection="0"/>
    <xf numFmtId="0" fontId="197" fillId="0" borderId="0"/>
    <xf numFmtId="9" fontId="197" fillId="0" borderId="0" applyFont="0" applyFill="0" applyBorder="0" applyAlignment="0" applyProtection="0"/>
    <xf numFmtId="0" fontId="197" fillId="0" borderId="0"/>
    <xf numFmtId="9" fontId="197" fillId="0" borderId="0" applyFont="0" applyFill="0" applyBorder="0" applyAlignment="0" applyProtection="0"/>
    <xf numFmtId="0" fontId="196" fillId="0" borderId="0"/>
    <xf numFmtId="9" fontId="196" fillId="0" borderId="0" applyFont="0" applyFill="0" applyBorder="0" applyAlignment="0" applyProtection="0"/>
    <xf numFmtId="0" fontId="196" fillId="0" borderId="0"/>
    <xf numFmtId="9" fontId="196" fillId="0" borderId="0" applyFont="0" applyFill="0" applyBorder="0" applyAlignment="0" applyProtection="0"/>
    <xf numFmtId="0" fontId="196" fillId="0" borderId="0"/>
    <xf numFmtId="9" fontId="196" fillId="0" borderId="0" applyFont="0" applyFill="0" applyBorder="0" applyAlignment="0" applyProtection="0"/>
    <xf numFmtId="0" fontId="196" fillId="0" borderId="0"/>
    <xf numFmtId="9" fontId="196" fillId="0" borderId="0" applyFont="0" applyFill="0" applyBorder="0" applyAlignment="0" applyProtection="0"/>
    <xf numFmtId="0" fontId="195" fillId="0" borderId="0"/>
    <xf numFmtId="9" fontId="195" fillId="0" borderId="0" applyFont="0" applyFill="0" applyBorder="0" applyAlignment="0" applyProtection="0"/>
    <xf numFmtId="0" fontId="195" fillId="0" borderId="0"/>
    <xf numFmtId="9" fontId="195" fillId="0" borderId="0" applyFont="0" applyFill="0" applyBorder="0" applyAlignment="0" applyProtection="0"/>
    <xf numFmtId="0" fontId="195" fillId="0" borderId="0"/>
    <xf numFmtId="9" fontId="195" fillId="0" borderId="0" applyFont="0" applyFill="0" applyBorder="0" applyAlignment="0" applyProtection="0"/>
    <xf numFmtId="0" fontId="195" fillId="0" borderId="0"/>
    <xf numFmtId="9" fontId="195" fillId="0" borderId="0" applyFont="0" applyFill="0" applyBorder="0" applyAlignment="0" applyProtection="0"/>
    <xf numFmtId="0" fontId="194" fillId="0" borderId="0"/>
    <xf numFmtId="9" fontId="194" fillId="0" borderId="0" applyFont="0" applyFill="0" applyBorder="0" applyAlignment="0" applyProtection="0"/>
    <xf numFmtId="0" fontId="194" fillId="0" borderId="0"/>
    <xf numFmtId="9" fontId="194" fillId="0" borderId="0" applyFont="0" applyFill="0" applyBorder="0" applyAlignment="0" applyProtection="0"/>
    <xf numFmtId="0" fontId="194" fillId="0" borderId="0"/>
    <xf numFmtId="9" fontId="194" fillId="0" borderId="0" applyFont="0" applyFill="0" applyBorder="0" applyAlignment="0" applyProtection="0"/>
    <xf numFmtId="0" fontId="194" fillId="0" borderId="0"/>
    <xf numFmtId="9" fontId="194" fillId="0" borderId="0" applyFont="0" applyFill="0" applyBorder="0" applyAlignment="0" applyProtection="0"/>
    <xf numFmtId="0" fontId="194" fillId="0" borderId="0"/>
    <xf numFmtId="9" fontId="194" fillId="0" borderId="0" applyFont="0" applyFill="0" applyBorder="0" applyAlignment="0" applyProtection="0"/>
    <xf numFmtId="0" fontId="193" fillId="0" borderId="0"/>
    <xf numFmtId="9" fontId="193" fillId="0" borderId="0" applyFont="0" applyFill="0" applyBorder="0" applyAlignment="0" applyProtection="0"/>
    <xf numFmtId="0" fontId="193" fillId="0" borderId="0"/>
    <xf numFmtId="9" fontId="193" fillId="0" borderId="0" applyFont="0" applyFill="0" applyBorder="0" applyAlignment="0" applyProtection="0"/>
    <xf numFmtId="0" fontId="193" fillId="0" borderId="0"/>
    <xf numFmtId="9" fontId="193" fillId="0" borderId="0" applyFont="0" applyFill="0" applyBorder="0" applyAlignment="0" applyProtection="0"/>
    <xf numFmtId="0" fontId="193" fillId="0" borderId="0"/>
    <xf numFmtId="9" fontId="193" fillId="0" borderId="0" applyFont="0" applyFill="0" applyBorder="0" applyAlignment="0" applyProtection="0"/>
    <xf numFmtId="0" fontId="193" fillId="0" borderId="0"/>
    <xf numFmtId="9" fontId="193" fillId="0" borderId="0" applyFont="0" applyFill="0" applyBorder="0" applyAlignment="0" applyProtection="0"/>
    <xf numFmtId="0" fontId="192" fillId="0" borderId="0"/>
    <xf numFmtId="9" fontId="192" fillId="0" borderId="0" applyFont="0" applyFill="0" applyBorder="0" applyAlignment="0" applyProtection="0"/>
    <xf numFmtId="0" fontId="192" fillId="0" borderId="0"/>
    <xf numFmtId="9" fontId="192" fillId="0" borderId="0" applyFont="0" applyFill="0" applyBorder="0" applyAlignment="0" applyProtection="0"/>
    <xf numFmtId="0" fontId="192" fillId="0" borderId="0"/>
    <xf numFmtId="9" fontId="192" fillId="0" borderId="0" applyFont="0" applyFill="0" applyBorder="0" applyAlignment="0" applyProtection="0"/>
    <xf numFmtId="0" fontId="192" fillId="0" borderId="0"/>
    <xf numFmtId="9" fontId="192" fillId="0" borderId="0" applyFont="0" applyFill="0" applyBorder="0" applyAlignment="0" applyProtection="0"/>
    <xf numFmtId="0" fontId="192" fillId="0" borderId="0"/>
    <xf numFmtId="9" fontId="192" fillId="0" borderId="0" applyFont="0" applyFill="0" applyBorder="0" applyAlignment="0" applyProtection="0"/>
    <xf numFmtId="0" fontId="191" fillId="0" borderId="0"/>
    <xf numFmtId="9" fontId="191" fillId="0" borderId="0" applyFont="0" applyFill="0" applyBorder="0" applyAlignment="0" applyProtection="0"/>
    <xf numFmtId="0" fontId="191" fillId="0" borderId="0"/>
    <xf numFmtId="9" fontId="191" fillId="0" borderId="0" applyFont="0" applyFill="0" applyBorder="0" applyAlignment="0" applyProtection="0"/>
    <xf numFmtId="0" fontId="191" fillId="0" borderId="0"/>
    <xf numFmtId="9" fontId="191" fillId="0" borderId="0" applyFont="0" applyFill="0" applyBorder="0" applyAlignment="0" applyProtection="0"/>
    <xf numFmtId="0" fontId="191" fillId="0" borderId="0"/>
    <xf numFmtId="9" fontId="191" fillId="0" borderId="0" applyFont="0" applyFill="0" applyBorder="0" applyAlignment="0" applyProtection="0"/>
    <xf numFmtId="0" fontId="191" fillId="0" borderId="0"/>
    <xf numFmtId="9" fontId="191" fillId="0" borderId="0" applyFont="0" applyFill="0" applyBorder="0" applyAlignment="0" applyProtection="0"/>
    <xf numFmtId="0" fontId="190" fillId="0" borderId="0"/>
    <xf numFmtId="9" fontId="190" fillId="0" borderId="0" applyFont="0" applyFill="0" applyBorder="0" applyAlignment="0" applyProtection="0"/>
    <xf numFmtId="0" fontId="190" fillId="0" borderId="0"/>
    <xf numFmtId="9" fontId="190" fillId="0" borderId="0" applyFont="0" applyFill="0" applyBorder="0" applyAlignment="0" applyProtection="0"/>
    <xf numFmtId="0" fontId="190" fillId="0" borderId="0"/>
    <xf numFmtId="9" fontId="190" fillId="0" borderId="0" applyFont="0" applyFill="0" applyBorder="0" applyAlignment="0" applyProtection="0"/>
    <xf numFmtId="0" fontId="190" fillId="0" borderId="0"/>
    <xf numFmtId="9" fontId="190" fillId="0" borderId="0" applyFont="0" applyFill="0" applyBorder="0" applyAlignment="0" applyProtection="0"/>
    <xf numFmtId="0" fontId="190" fillId="0" borderId="0"/>
    <xf numFmtId="9" fontId="190" fillId="0" borderId="0" applyFont="0" applyFill="0" applyBorder="0" applyAlignment="0" applyProtection="0"/>
    <xf numFmtId="0" fontId="189" fillId="0" borderId="0"/>
    <xf numFmtId="9" fontId="189" fillId="0" borderId="0" applyFont="0" applyFill="0" applyBorder="0" applyAlignment="0" applyProtection="0"/>
    <xf numFmtId="0" fontId="189" fillId="0" borderId="0"/>
    <xf numFmtId="9" fontId="189" fillId="0" borderId="0" applyFont="0" applyFill="0" applyBorder="0" applyAlignment="0" applyProtection="0"/>
    <xf numFmtId="0" fontId="189" fillId="0" borderId="0"/>
    <xf numFmtId="9" fontId="189" fillId="0" borderId="0" applyFont="0" applyFill="0" applyBorder="0" applyAlignment="0" applyProtection="0"/>
    <xf numFmtId="0" fontId="189" fillId="0" borderId="0"/>
    <xf numFmtId="9" fontId="189" fillId="0" borderId="0" applyFont="0" applyFill="0" applyBorder="0" applyAlignment="0" applyProtection="0"/>
    <xf numFmtId="0" fontId="189" fillId="0" borderId="0"/>
    <xf numFmtId="9" fontId="189" fillId="0" borderId="0" applyFont="0" applyFill="0" applyBorder="0" applyAlignment="0" applyProtection="0"/>
    <xf numFmtId="0" fontId="188" fillId="0" borderId="0"/>
    <xf numFmtId="9" fontId="188" fillId="0" borderId="0" applyFont="0" applyFill="0" applyBorder="0" applyAlignment="0" applyProtection="0"/>
    <xf numFmtId="0" fontId="188" fillId="0" borderId="0"/>
    <xf numFmtId="9" fontId="188" fillId="0" borderId="0" applyFont="0" applyFill="0" applyBorder="0" applyAlignment="0" applyProtection="0"/>
    <xf numFmtId="0" fontId="188" fillId="0" borderId="0"/>
    <xf numFmtId="9" fontId="188" fillId="0" borderId="0" applyFont="0" applyFill="0" applyBorder="0" applyAlignment="0" applyProtection="0"/>
    <xf numFmtId="0" fontId="188" fillId="0" borderId="0"/>
    <xf numFmtId="9" fontId="188" fillId="0" borderId="0" applyFont="0" applyFill="0" applyBorder="0" applyAlignment="0" applyProtection="0"/>
    <xf numFmtId="0" fontId="188" fillId="0" borderId="0"/>
    <xf numFmtId="9" fontId="188" fillId="0" borderId="0" applyFont="0" applyFill="0" applyBorder="0" applyAlignment="0" applyProtection="0"/>
    <xf numFmtId="0" fontId="187" fillId="0" borderId="0"/>
    <xf numFmtId="9" fontId="187" fillId="0" borderId="0" applyFont="0" applyFill="0" applyBorder="0" applyAlignment="0" applyProtection="0"/>
    <xf numFmtId="0" fontId="187" fillId="0" borderId="0"/>
    <xf numFmtId="9" fontId="187" fillId="0" borderId="0" applyFont="0" applyFill="0" applyBorder="0" applyAlignment="0" applyProtection="0"/>
    <xf numFmtId="0" fontId="187" fillId="0" borderId="0"/>
    <xf numFmtId="9" fontId="187" fillId="0" borderId="0" applyFont="0" applyFill="0" applyBorder="0" applyAlignment="0" applyProtection="0"/>
    <xf numFmtId="0" fontId="187" fillId="0" borderId="0"/>
    <xf numFmtId="9" fontId="187" fillId="0" borderId="0" applyFont="0" applyFill="0" applyBorder="0" applyAlignment="0" applyProtection="0"/>
    <xf numFmtId="0" fontId="187" fillId="0" borderId="0"/>
    <xf numFmtId="9" fontId="187" fillId="0" borderId="0" applyFont="0" applyFill="0" applyBorder="0" applyAlignment="0" applyProtection="0"/>
    <xf numFmtId="0" fontId="186" fillId="0" borderId="0"/>
    <xf numFmtId="9" fontId="186" fillId="0" borderId="0" applyFont="0" applyFill="0" applyBorder="0" applyAlignment="0" applyProtection="0"/>
    <xf numFmtId="0" fontId="186" fillId="0" borderId="0"/>
    <xf numFmtId="9" fontId="186" fillId="0" borderId="0" applyFont="0" applyFill="0" applyBorder="0" applyAlignment="0" applyProtection="0"/>
    <xf numFmtId="0" fontId="186" fillId="0" borderId="0"/>
    <xf numFmtId="9" fontId="186" fillId="0" borderId="0" applyFont="0" applyFill="0" applyBorder="0" applyAlignment="0" applyProtection="0"/>
    <xf numFmtId="0" fontId="186" fillId="0" borderId="0"/>
    <xf numFmtId="9" fontId="186" fillId="0" borderId="0" applyFont="0" applyFill="0" applyBorder="0" applyAlignment="0" applyProtection="0"/>
    <xf numFmtId="0" fontId="186" fillId="0" borderId="0"/>
    <xf numFmtId="9" fontId="186" fillId="0" borderId="0" applyFont="0" applyFill="0" applyBorder="0" applyAlignment="0" applyProtection="0"/>
    <xf numFmtId="0" fontId="185" fillId="0" borderId="0"/>
    <xf numFmtId="9" fontId="185" fillId="0" borderId="0" applyFont="0" applyFill="0" applyBorder="0" applyAlignment="0" applyProtection="0"/>
    <xf numFmtId="0" fontId="185" fillId="0" borderId="0"/>
    <xf numFmtId="9" fontId="185" fillId="0" borderId="0" applyFont="0" applyFill="0" applyBorder="0" applyAlignment="0" applyProtection="0"/>
    <xf numFmtId="0" fontId="185" fillId="0" borderId="0"/>
    <xf numFmtId="9" fontId="185" fillId="0" borderId="0" applyFont="0" applyFill="0" applyBorder="0" applyAlignment="0" applyProtection="0"/>
    <xf numFmtId="0" fontId="185" fillId="0" borderId="0"/>
    <xf numFmtId="9" fontId="185" fillId="0" borderId="0" applyFont="0" applyFill="0" applyBorder="0" applyAlignment="0" applyProtection="0"/>
    <xf numFmtId="0" fontId="185" fillId="0" borderId="0"/>
    <xf numFmtId="9" fontId="185" fillId="0" borderId="0" applyFont="0" applyFill="0" applyBorder="0" applyAlignment="0" applyProtection="0"/>
    <xf numFmtId="0" fontId="184" fillId="0" borderId="0"/>
    <xf numFmtId="9" fontId="184" fillId="0" borderId="0" applyFont="0" applyFill="0" applyBorder="0" applyAlignment="0" applyProtection="0"/>
    <xf numFmtId="0" fontId="184" fillId="0" borderId="0"/>
    <xf numFmtId="9" fontId="184" fillId="0" borderId="0" applyFont="0" applyFill="0" applyBorder="0" applyAlignment="0" applyProtection="0"/>
    <xf numFmtId="0" fontId="184" fillId="0" borderId="0"/>
    <xf numFmtId="9" fontId="184" fillId="0" borderId="0" applyFont="0" applyFill="0" applyBorder="0" applyAlignment="0" applyProtection="0"/>
    <xf numFmtId="0" fontId="184" fillId="0" borderId="0"/>
    <xf numFmtId="9" fontId="184" fillId="0" borderId="0" applyFont="0" applyFill="0" applyBorder="0" applyAlignment="0" applyProtection="0"/>
    <xf numFmtId="0" fontId="184" fillId="0" borderId="0"/>
    <xf numFmtId="9" fontId="184" fillId="0" borderId="0" applyFont="0" applyFill="0" applyBorder="0" applyAlignment="0" applyProtection="0"/>
    <xf numFmtId="0" fontId="183" fillId="0" borderId="0"/>
    <xf numFmtId="9" fontId="183" fillId="0" borderId="0" applyFont="0" applyFill="0" applyBorder="0" applyAlignment="0" applyProtection="0"/>
    <xf numFmtId="0" fontId="183" fillId="0" borderId="0"/>
    <xf numFmtId="9" fontId="183" fillId="0" borderId="0" applyFont="0" applyFill="0" applyBorder="0" applyAlignment="0" applyProtection="0"/>
    <xf numFmtId="0" fontId="183" fillId="0" borderId="0"/>
    <xf numFmtId="9" fontId="183" fillId="0" borderId="0" applyFont="0" applyFill="0" applyBorder="0" applyAlignment="0" applyProtection="0"/>
    <xf numFmtId="0" fontId="183" fillId="0" borderId="0"/>
    <xf numFmtId="9" fontId="183" fillId="0" borderId="0" applyFont="0" applyFill="0" applyBorder="0" applyAlignment="0" applyProtection="0"/>
    <xf numFmtId="0" fontId="183" fillId="0" borderId="0"/>
    <xf numFmtId="9" fontId="183" fillId="0" borderId="0" applyFont="0" applyFill="0" applyBorder="0" applyAlignment="0" applyProtection="0"/>
    <xf numFmtId="0" fontId="182" fillId="0" borderId="0"/>
    <xf numFmtId="9" fontId="182" fillId="0" borderId="0" applyFont="0" applyFill="0" applyBorder="0" applyAlignment="0" applyProtection="0"/>
    <xf numFmtId="0" fontId="182" fillId="0" borderId="0"/>
    <xf numFmtId="9" fontId="182" fillId="0" borderId="0" applyFont="0" applyFill="0" applyBorder="0" applyAlignment="0" applyProtection="0"/>
    <xf numFmtId="0" fontId="182" fillId="0" borderId="0"/>
    <xf numFmtId="9" fontId="182" fillId="0" borderId="0" applyFont="0" applyFill="0" applyBorder="0" applyAlignment="0" applyProtection="0"/>
    <xf numFmtId="0" fontId="182" fillId="0" borderId="0"/>
    <xf numFmtId="9" fontId="182" fillId="0" borderId="0" applyFont="0" applyFill="0" applyBorder="0" applyAlignment="0" applyProtection="0"/>
    <xf numFmtId="0" fontId="182" fillId="0" borderId="0"/>
    <xf numFmtId="9" fontId="182" fillId="0" borderId="0" applyFont="0" applyFill="0" applyBorder="0" applyAlignment="0" applyProtection="0"/>
    <xf numFmtId="0" fontId="181" fillId="0" borderId="0"/>
    <xf numFmtId="9" fontId="181" fillId="0" borderId="0" applyFont="0" applyFill="0" applyBorder="0" applyAlignment="0" applyProtection="0"/>
    <xf numFmtId="0" fontId="181" fillId="0" borderId="0"/>
    <xf numFmtId="9" fontId="181" fillId="0" borderId="0" applyFont="0" applyFill="0" applyBorder="0" applyAlignment="0" applyProtection="0"/>
    <xf numFmtId="0" fontId="181" fillId="0" borderId="0"/>
    <xf numFmtId="9" fontId="181" fillId="0" borderId="0" applyFont="0" applyFill="0" applyBorder="0" applyAlignment="0" applyProtection="0"/>
    <xf numFmtId="0" fontId="181" fillId="0" borderId="0"/>
    <xf numFmtId="9" fontId="181" fillId="0" borderId="0" applyFont="0" applyFill="0" applyBorder="0" applyAlignment="0" applyProtection="0"/>
    <xf numFmtId="0" fontId="181" fillId="0" borderId="0"/>
    <xf numFmtId="9" fontId="181" fillId="0" borderId="0" applyFont="0" applyFill="0" applyBorder="0" applyAlignment="0" applyProtection="0"/>
    <xf numFmtId="0" fontId="180" fillId="0" borderId="0"/>
    <xf numFmtId="9" fontId="180" fillId="0" borderId="0" applyFont="0" applyFill="0" applyBorder="0" applyAlignment="0" applyProtection="0"/>
    <xf numFmtId="0" fontId="180" fillId="0" borderId="0"/>
    <xf numFmtId="9" fontId="180" fillId="0" borderId="0" applyFont="0" applyFill="0" applyBorder="0" applyAlignment="0" applyProtection="0"/>
    <xf numFmtId="0" fontId="180" fillId="0" borderId="0"/>
    <xf numFmtId="9" fontId="180" fillId="0" borderId="0" applyFont="0" applyFill="0" applyBorder="0" applyAlignment="0" applyProtection="0"/>
    <xf numFmtId="0" fontId="180" fillId="0" borderId="0"/>
    <xf numFmtId="9" fontId="180" fillId="0" borderId="0" applyFont="0" applyFill="0" applyBorder="0" applyAlignment="0" applyProtection="0"/>
    <xf numFmtId="0" fontId="180" fillId="0" borderId="0"/>
    <xf numFmtId="9" fontId="180" fillId="0" borderId="0" applyFont="0" applyFill="0" applyBorder="0" applyAlignment="0" applyProtection="0"/>
    <xf numFmtId="0" fontId="179" fillId="0" borderId="0"/>
    <xf numFmtId="9" fontId="179" fillId="0" borderId="0" applyFont="0" applyFill="0" applyBorder="0" applyAlignment="0" applyProtection="0"/>
    <xf numFmtId="0" fontId="179" fillId="0" borderId="0"/>
    <xf numFmtId="9" fontId="179" fillId="0" borderId="0" applyFont="0" applyFill="0" applyBorder="0" applyAlignment="0" applyProtection="0"/>
    <xf numFmtId="0" fontId="179" fillId="0" borderId="0"/>
    <xf numFmtId="9" fontId="179" fillId="0" borderId="0" applyFont="0" applyFill="0" applyBorder="0" applyAlignment="0" applyProtection="0"/>
    <xf numFmtId="0" fontId="179" fillId="0" borderId="0"/>
    <xf numFmtId="9" fontId="179" fillId="0" borderId="0" applyFont="0" applyFill="0" applyBorder="0" applyAlignment="0" applyProtection="0"/>
    <xf numFmtId="0" fontId="179" fillId="0" borderId="0"/>
    <xf numFmtId="9" fontId="179" fillId="0" borderId="0" applyFont="0" applyFill="0" applyBorder="0" applyAlignment="0" applyProtection="0"/>
    <xf numFmtId="0" fontId="178" fillId="0" borderId="0"/>
    <xf numFmtId="9" fontId="178" fillId="0" borderId="0" applyFont="0" applyFill="0" applyBorder="0" applyAlignment="0" applyProtection="0"/>
    <xf numFmtId="0" fontId="178" fillId="0" borderId="0"/>
    <xf numFmtId="9" fontId="178" fillId="0" borderId="0" applyFont="0" applyFill="0" applyBorder="0" applyAlignment="0" applyProtection="0"/>
    <xf numFmtId="0" fontId="178" fillId="0" borderId="0"/>
    <xf numFmtId="9" fontId="178" fillId="0" borderId="0" applyFont="0" applyFill="0" applyBorder="0" applyAlignment="0" applyProtection="0"/>
    <xf numFmtId="0" fontId="178" fillId="0" borderId="0"/>
    <xf numFmtId="9" fontId="178" fillId="0" borderId="0" applyFont="0" applyFill="0" applyBorder="0" applyAlignment="0" applyProtection="0"/>
    <xf numFmtId="0" fontId="178" fillId="0" borderId="0"/>
    <xf numFmtId="9" fontId="178" fillId="0" borderId="0" applyFont="0" applyFill="0" applyBorder="0" applyAlignment="0" applyProtection="0"/>
    <xf numFmtId="0" fontId="177" fillId="0" borderId="0"/>
    <xf numFmtId="9" fontId="177" fillId="0" borderId="0" applyFont="0" applyFill="0" applyBorder="0" applyAlignment="0" applyProtection="0"/>
    <xf numFmtId="0" fontId="177" fillId="0" borderId="0"/>
    <xf numFmtId="9" fontId="177" fillId="0" borderId="0" applyFont="0" applyFill="0" applyBorder="0" applyAlignment="0" applyProtection="0"/>
    <xf numFmtId="0" fontId="177" fillId="0" borderId="0"/>
    <xf numFmtId="9" fontId="177" fillId="0" borderId="0" applyFont="0" applyFill="0" applyBorder="0" applyAlignment="0" applyProtection="0"/>
    <xf numFmtId="0" fontId="177" fillId="0" borderId="0"/>
    <xf numFmtId="9" fontId="177" fillId="0" borderId="0" applyFont="0" applyFill="0" applyBorder="0" applyAlignment="0" applyProtection="0"/>
    <xf numFmtId="0" fontId="177" fillId="0" borderId="0"/>
    <xf numFmtId="9" fontId="177" fillId="0" borderId="0" applyFont="0" applyFill="0" applyBorder="0" applyAlignment="0" applyProtection="0"/>
    <xf numFmtId="0" fontId="176" fillId="0" borderId="0"/>
    <xf numFmtId="9" fontId="176" fillId="0" borderId="0" applyFont="0" applyFill="0" applyBorder="0" applyAlignment="0" applyProtection="0"/>
    <xf numFmtId="0" fontId="176" fillId="0" borderId="0"/>
    <xf numFmtId="9" fontId="176" fillId="0" borderId="0" applyFont="0" applyFill="0" applyBorder="0" applyAlignment="0" applyProtection="0"/>
    <xf numFmtId="0" fontId="176" fillId="0" borderId="0"/>
    <xf numFmtId="9" fontId="176" fillId="0" borderId="0" applyFont="0" applyFill="0" applyBorder="0" applyAlignment="0" applyProtection="0"/>
    <xf numFmtId="0" fontId="176" fillId="0" borderId="0"/>
    <xf numFmtId="9" fontId="176" fillId="0" borderId="0" applyFont="0" applyFill="0" applyBorder="0" applyAlignment="0" applyProtection="0"/>
    <xf numFmtId="0" fontId="176" fillId="0" borderId="0"/>
    <xf numFmtId="9" fontId="176" fillId="0" borderId="0" applyFont="0" applyFill="0" applyBorder="0" applyAlignment="0" applyProtection="0"/>
    <xf numFmtId="0" fontId="175" fillId="0" borderId="0"/>
    <xf numFmtId="9" fontId="175" fillId="0" borderId="0" applyFont="0" applyFill="0" applyBorder="0" applyAlignment="0" applyProtection="0"/>
    <xf numFmtId="0" fontId="175" fillId="0" borderId="0"/>
    <xf numFmtId="9" fontId="175" fillId="0" borderId="0" applyFont="0" applyFill="0" applyBorder="0" applyAlignment="0" applyProtection="0"/>
    <xf numFmtId="0" fontId="175" fillId="0" borderId="0"/>
    <xf numFmtId="9" fontId="175" fillId="0" borderId="0" applyFont="0" applyFill="0" applyBorder="0" applyAlignment="0" applyProtection="0"/>
    <xf numFmtId="0" fontId="175" fillId="0" borderId="0"/>
    <xf numFmtId="9" fontId="175" fillId="0" borderId="0" applyFont="0" applyFill="0" applyBorder="0" applyAlignment="0" applyProtection="0"/>
    <xf numFmtId="0" fontId="175" fillId="0" borderId="0"/>
    <xf numFmtId="9" fontId="175" fillId="0" borderId="0" applyFont="0" applyFill="0" applyBorder="0" applyAlignment="0" applyProtection="0"/>
    <xf numFmtId="0" fontId="174" fillId="0" borderId="0"/>
    <xf numFmtId="9" fontId="174" fillId="0" borderId="0" applyFont="0" applyFill="0" applyBorder="0" applyAlignment="0" applyProtection="0"/>
    <xf numFmtId="0" fontId="174" fillId="0" borderId="0"/>
    <xf numFmtId="9" fontId="174" fillId="0" borderId="0" applyFont="0" applyFill="0" applyBorder="0" applyAlignment="0" applyProtection="0"/>
    <xf numFmtId="0" fontId="174" fillId="0" borderId="0"/>
    <xf numFmtId="9" fontId="174" fillId="0" borderId="0" applyFont="0" applyFill="0" applyBorder="0" applyAlignment="0" applyProtection="0"/>
    <xf numFmtId="0" fontId="174" fillId="0" borderId="0"/>
    <xf numFmtId="9" fontId="174" fillId="0" borderId="0" applyFont="0" applyFill="0" applyBorder="0" applyAlignment="0" applyProtection="0"/>
    <xf numFmtId="0" fontId="174" fillId="0" borderId="0"/>
    <xf numFmtId="9" fontId="174" fillId="0" borderId="0" applyFont="0" applyFill="0" applyBorder="0" applyAlignment="0" applyProtection="0"/>
    <xf numFmtId="0" fontId="173" fillId="0" borderId="0"/>
    <xf numFmtId="9" fontId="173" fillId="0" borderId="0" applyFont="0" applyFill="0" applyBorder="0" applyAlignment="0" applyProtection="0"/>
    <xf numFmtId="0" fontId="173" fillId="0" borderId="0"/>
    <xf numFmtId="9" fontId="173" fillId="0" borderId="0" applyFont="0" applyFill="0" applyBorder="0" applyAlignment="0" applyProtection="0"/>
    <xf numFmtId="0" fontId="173" fillId="0" borderId="0"/>
    <xf numFmtId="9" fontId="173" fillId="0" borderId="0" applyFont="0" applyFill="0" applyBorder="0" applyAlignment="0" applyProtection="0"/>
    <xf numFmtId="0" fontId="173" fillId="0" borderId="0"/>
    <xf numFmtId="9" fontId="173" fillId="0" borderId="0" applyFont="0" applyFill="0" applyBorder="0" applyAlignment="0" applyProtection="0"/>
    <xf numFmtId="0" fontId="173" fillId="0" borderId="0"/>
    <xf numFmtId="9" fontId="173" fillId="0" borderId="0" applyFont="0" applyFill="0" applyBorder="0" applyAlignment="0" applyProtection="0"/>
    <xf numFmtId="0" fontId="172" fillId="0" borderId="0"/>
    <xf numFmtId="9" fontId="172" fillId="0" borderId="0" applyFont="0" applyFill="0" applyBorder="0" applyAlignment="0" applyProtection="0"/>
    <xf numFmtId="0" fontId="172" fillId="0" borderId="0"/>
    <xf numFmtId="9" fontId="172" fillId="0" borderId="0" applyFont="0" applyFill="0" applyBorder="0" applyAlignment="0" applyProtection="0"/>
    <xf numFmtId="0" fontId="172" fillId="0" borderId="0"/>
    <xf numFmtId="9" fontId="172" fillId="0" borderId="0" applyFont="0" applyFill="0" applyBorder="0" applyAlignment="0" applyProtection="0"/>
    <xf numFmtId="0" fontId="172" fillId="0" borderId="0"/>
    <xf numFmtId="9" fontId="172" fillId="0" borderId="0" applyFont="0" applyFill="0" applyBorder="0" applyAlignment="0" applyProtection="0"/>
    <xf numFmtId="0" fontId="172" fillId="0" borderId="0"/>
    <xf numFmtId="9" fontId="172" fillId="0" borderId="0" applyFont="0" applyFill="0" applyBorder="0" applyAlignment="0" applyProtection="0"/>
    <xf numFmtId="0" fontId="171" fillId="0" borderId="0"/>
    <xf numFmtId="9" fontId="171" fillId="0" borderId="0" applyFont="0" applyFill="0" applyBorder="0" applyAlignment="0" applyProtection="0"/>
    <xf numFmtId="0" fontId="171" fillId="0" borderId="0"/>
    <xf numFmtId="9" fontId="171" fillId="0" borderId="0" applyFont="0" applyFill="0" applyBorder="0" applyAlignment="0" applyProtection="0"/>
    <xf numFmtId="0" fontId="171" fillId="0" borderId="0"/>
    <xf numFmtId="9" fontId="171" fillId="0" borderId="0" applyFont="0" applyFill="0" applyBorder="0" applyAlignment="0" applyProtection="0"/>
    <xf numFmtId="0" fontId="171" fillId="0" borderId="0"/>
    <xf numFmtId="9" fontId="171" fillId="0" borderId="0" applyFont="0" applyFill="0" applyBorder="0" applyAlignment="0" applyProtection="0"/>
    <xf numFmtId="0" fontId="171" fillId="0" borderId="0"/>
    <xf numFmtId="9" fontId="171" fillId="0" borderId="0" applyFont="0" applyFill="0" applyBorder="0" applyAlignment="0" applyProtection="0"/>
    <xf numFmtId="0" fontId="170" fillId="0" borderId="0"/>
    <xf numFmtId="9" fontId="170" fillId="0" borderId="0" applyFont="0" applyFill="0" applyBorder="0" applyAlignment="0" applyProtection="0"/>
    <xf numFmtId="0" fontId="170" fillId="0" borderId="0"/>
    <xf numFmtId="9" fontId="170" fillId="0" borderId="0" applyFont="0" applyFill="0" applyBorder="0" applyAlignment="0" applyProtection="0"/>
    <xf numFmtId="0" fontId="170" fillId="0" borderId="0"/>
    <xf numFmtId="9" fontId="170" fillId="0" borderId="0" applyFont="0" applyFill="0" applyBorder="0" applyAlignment="0" applyProtection="0"/>
    <xf numFmtId="0" fontId="170" fillId="0" borderId="0"/>
    <xf numFmtId="9" fontId="170" fillId="0" borderId="0" applyFont="0" applyFill="0" applyBorder="0" applyAlignment="0" applyProtection="0"/>
    <xf numFmtId="0" fontId="170" fillId="0" borderId="0"/>
    <xf numFmtId="9" fontId="170" fillId="0" borderId="0" applyFont="0" applyFill="0" applyBorder="0" applyAlignment="0" applyProtection="0"/>
    <xf numFmtId="0" fontId="169" fillId="0" borderId="0"/>
    <xf numFmtId="9" fontId="169" fillId="0" borderId="0" applyFont="0" applyFill="0" applyBorder="0" applyAlignment="0" applyProtection="0"/>
    <xf numFmtId="0" fontId="169" fillId="0" borderId="0"/>
    <xf numFmtId="9" fontId="169" fillId="0" borderId="0" applyFont="0" applyFill="0" applyBorder="0" applyAlignment="0" applyProtection="0"/>
    <xf numFmtId="0" fontId="169" fillId="0" borderId="0"/>
    <xf numFmtId="9" fontId="169" fillId="0" borderId="0" applyFont="0" applyFill="0" applyBorder="0" applyAlignment="0" applyProtection="0"/>
    <xf numFmtId="0" fontId="169" fillId="0" borderId="0"/>
    <xf numFmtId="9" fontId="169" fillId="0" borderId="0" applyFont="0" applyFill="0" applyBorder="0" applyAlignment="0" applyProtection="0"/>
    <xf numFmtId="0" fontId="169" fillId="0" borderId="0"/>
    <xf numFmtId="9" fontId="169" fillId="0" borderId="0" applyFont="0" applyFill="0" applyBorder="0" applyAlignment="0" applyProtection="0"/>
    <xf numFmtId="0" fontId="168" fillId="0" borderId="0"/>
    <xf numFmtId="9" fontId="168" fillId="0" borderId="0" applyFont="0" applyFill="0" applyBorder="0" applyAlignment="0" applyProtection="0"/>
    <xf numFmtId="0" fontId="168" fillId="0" borderId="0"/>
    <xf numFmtId="9" fontId="168" fillId="0" borderId="0" applyFont="0" applyFill="0" applyBorder="0" applyAlignment="0" applyProtection="0"/>
    <xf numFmtId="0" fontId="168" fillId="0" borderId="0"/>
    <xf numFmtId="9" fontId="168" fillId="0" borderId="0" applyFont="0" applyFill="0" applyBorder="0" applyAlignment="0" applyProtection="0"/>
    <xf numFmtId="0" fontId="168" fillId="0" borderId="0"/>
    <xf numFmtId="9" fontId="168" fillId="0" borderId="0" applyFont="0" applyFill="0" applyBorder="0" applyAlignment="0" applyProtection="0"/>
    <xf numFmtId="0" fontId="168" fillId="0" borderId="0"/>
    <xf numFmtId="9" fontId="168" fillId="0" borderId="0" applyFont="0" applyFill="0" applyBorder="0" applyAlignment="0" applyProtection="0"/>
    <xf numFmtId="0" fontId="167" fillId="0" borderId="0"/>
    <xf numFmtId="9" fontId="167" fillId="0" borderId="0" applyFont="0" applyFill="0" applyBorder="0" applyAlignment="0" applyProtection="0"/>
    <xf numFmtId="0" fontId="167" fillId="0" borderId="0"/>
    <xf numFmtId="9" fontId="167" fillId="0" borderId="0" applyFont="0" applyFill="0" applyBorder="0" applyAlignment="0" applyProtection="0"/>
    <xf numFmtId="0" fontId="167" fillId="0" borderId="0"/>
    <xf numFmtId="9" fontId="167" fillId="0" borderId="0" applyFont="0" applyFill="0" applyBorder="0" applyAlignment="0" applyProtection="0"/>
    <xf numFmtId="0" fontId="167" fillId="0" borderId="0"/>
    <xf numFmtId="9" fontId="167" fillId="0" borderId="0" applyFont="0" applyFill="0" applyBorder="0" applyAlignment="0" applyProtection="0"/>
    <xf numFmtId="0" fontId="167" fillId="0" borderId="0"/>
    <xf numFmtId="9" fontId="167" fillId="0" borderId="0" applyFont="0" applyFill="0" applyBorder="0" applyAlignment="0" applyProtection="0"/>
    <xf numFmtId="0" fontId="166" fillId="0" borderId="0"/>
    <xf numFmtId="9" fontId="166" fillId="0" borderId="0" applyFont="0" applyFill="0" applyBorder="0" applyAlignment="0" applyProtection="0"/>
    <xf numFmtId="0" fontId="166" fillId="0" borderId="0"/>
    <xf numFmtId="9" fontId="166" fillId="0" borderId="0" applyFont="0" applyFill="0" applyBorder="0" applyAlignment="0" applyProtection="0"/>
    <xf numFmtId="0" fontId="166" fillId="0" borderId="0"/>
    <xf numFmtId="9" fontId="166" fillId="0" borderId="0" applyFont="0" applyFill="0" applyBorder="0" applyAlignment="0" applyProtection="0"/>
    <xf numFmtId="0" fontId="166" fillId="0" borderId="0"/>
    <xf numFmtId="9" fontId="166" fillId="0" borderId="0" applyFont="0" applyFill="0" applyBorder="0" applyAlignment="0" applyProtection="0"/>
    <xf numFmtId="0" fontId="166" fillId="0" borderId="0"/>
    <xf numFmtId="9" fontId="166" fillId="0" borderId="0" applyFont="0" applyFill="0" applyBorder="0" applyAlignment="0" applyProtection="0"/>
    <xf numFmtId="0" fontId="165" fillId="0" borderId="0"/>
    <xf numFmtId="9" fontId="165" fillId="0" borderId="0" applyFont="0" applyFill="0" applyBorder="0" applyAlignment="0" applyProtection="0"/>
    <xf numFmtId="0" fontId="165" fillId="0" borderId="0"/>
    <xf numFmtId="9" fontId="165" fillId="0" borderId="0" applyFont="0" applyFill="0" applyBorder="0" applyAlignment="0" applyProtection="0"/>
    <xf numFmtId="0" fontId="165" fillId="0" borderId="0"/>
    <xf numFmtId="9" fontId="165" fillId="0" borderId="0" applyFont="0" applyFill="0" applyBorder="0" applyAlignment="0" applyProtection="0"/>
    <xf numFmtId="0" fontId="165" fillId="0" borderId="0"/>
    <xf numFmtId="9" fontId="165" fillId="0" borderId="0" applyFont="0" applyFill="0" applyBorder="0" applyAlignment="0" applyProtection="0"/>
    <xf numFmtId="0" fontId="165" fillId="0" borderId="0"/>
    <xf numFmtId="9" fontId="165" fillId="0" borderId="0" applyFont="0" applyFill="0" applyBorder="0" applyAlignment="0" applyProtection="0"/>
    <xf numFmtId="0" fontId="164" fillId="0" borderId="0"/>
    <xf numFmtId="9" fontId="164" fillId="0" borderId="0" applyFont="0" applyFill="0" applyBorder="0" applyAlignment="0" applyProtection="0"/>
    <xf numFmtId="0" fontId="164" fillId="0" borderId="0"/>
    <xf numFmtId="9" fontId="164" fillId="0" borderId="0" applyFont="0" applyFill="0" applyBorder="0" applyAlignment="0" applyProtection="0"/>
    <xf numFmtId="0" fontId="164" fillId="0" borderId="0"/>
    <xf numFmtId="9" fontId="164" fillId="0" borderId="0" applyFont="0" applyFill="0" applyBorder="0" applyAlignment="0" applyProtection="0"/>
    <xf numFmtId="0" fontId="164" fillId="0" borderId="0"/>
    <xf numFmtId="9" fontId="164" fillId="0" borderId="0" applyFont="0" applyFill="0" applyBorder="0" applyAlignment="0" applyProtection="0"/>
    <xf numFmtId="0" fontId="164" fillId="0" borderId="0"/>
    <xf numFmtId="9" fontId="164" fillId="0" borderId="0" applyFont="0" applyFill="0" applyBorder="0" applyAlignment="0" applyProtection="0"/>
    <xf numFmtId="0" fontId="164" fillId="0" borderId="0"/>
    <xf numFmtId="9" fontId="164" fillId="0" borderId="0" applyFont="0" applyFill="0" applyBorder="0" applyAlignment="0" applyProtection="0"/>
    <xf numFmtId="0" fontId="163" fillId="0" borderId="0"/>
    <xf numFmtId="9" fontId="163" fillId="0" borderId="0" applyFont="0" applyFill="0" applyBorder="0" applyAlignment="0" applyProtection="0"/>
    <xf numFmtId="0" fontId="163" fillId="0" borderId="0"/>
    <xf numFmtId="9" fontId="163" fillId="0" borderId="0" applyFont="0" applyFill="0" applyBorder="0" applyAlignment="0" applyProtection="0"/>
    <xf numFmtId="0" fontId="163" fillId="0" borderId="0"/>
    <xf numFmtId="9" fontId="163" fillId="0" borderId="0" applyFont="0" applyFill="0" applyBorder="0" applyAlignment="0" applyProtection="0"/>
    <xf numFmtId="0" fontId="163" fillId="0" borderId="0"/>
    <xf numFmtId="9" fontId="163" fillId="0" borderId="0" applyFont="0" applyFill="0" applyBorder="0" applyAlignment="0" applyProtection="0"/>
    <xf numFmtId="0" fontId="163" fillId="0" borderId="0"/>
    <xf numFmtId="9" fontId="163" fillId="0" borderId="0" applyFont="0" applyFill="0" applyBorder="0" applyAlignment="0" applyProtection="0"/>
    <xf numFmtId="0" fontId="163" fillId="0" borderId="0"/>
    <xf numFmtId="9" fontId="163" fillId="0" borderId="0" applyFont="0" applyFill="0" applyBorder="0" applyAlignment="0" applyProtection="0"/>
    <xf numFmtId="0" fontId="162" fillId="0" borderId="0"/>
    <xf numFmtId="9" fontId="162" fillId="0" borderId="0" applyFont="0" applyFill="0" applyBorder="0" applyAlignment="0" applyProtection="0"/>
    <xf numFmtId="0" fontId="162" fillId="0" borderId="0"/>
    <xf numFmtId="9" fontId="162" fillId="0" borderId="0" applyFont="0" applyFill="0" applyBorder="0" applyAlignment="0" applyProtection="0"/>
    <xf numFmtId="0" fontId="162" fillId="0" borderId="0"/>
    <xf numFmtId="9" fontId="162" fillId="0" borderId="0" applyFont="0" applyFill="0" applyBorder="0" applyAlignment="0" applyProtection="0"/>
    <xf numFmtId="0" fontId="162" fillId="0" borderId="0"/>
    <xf numFmtId="9" fontId="162" fillId="0" borderId="0" applyFont="0" applyFill="0" applyBorder="0" applyAlignment="0" applyProtection="0"/>
    <xf numFmtId="0" fontId="162" fillId="0" borderId="0"/>
    <xf numFmtId="9" fontId="162" fillId="0" borderId="0" applyFont="0" applyFill="0" applyBorder="0" applyAlignment="0" applyProtection="0"/>
    <xf numFmtId="0" fontId="162" fillId="0" borderId="0"/>
    <xf numFmtId="9" fontId="162" fillId="0" borderId="0" applyFont="0" applyFill="0" applyBorder="0" applyAlignment="0" applyProtection="0"/>
    <xf numFmtId="0" fontId="161" fillId="0" borderId="0"/>
    <xf numFmtId="9" fontId="161" fillId="0" borderId="0" applyFont="0" applyFill="0" applyBorder="0" applyAlignment="0" applyProtection="0"/>
    <xf numFmtId="0" fontId="161" fillId="0" borderId="0"/>
    <xf numFmtId="9" fontId="161" fillId="0" borderId="0" applyFont="0" applyFill="0" applyBorder="0" applyAlignment="0" applyProtection="0"/>
    <xf numFmtId="0" fontId="161" fillId="0" borderId="0"/>
    <xf numFmtId="9" fontId="161" fillId="0" borderId="0" applyFont="0" applyFill="0" applyBorder="0" applyAlignment="0" applyProtection="0"/>
    <xf numFmtId="0" fontId="161" fillId="0" borderId="0"/>
    <xf numFmtId="9" fontId="161" fillId="0" borderId="0" applyFont="0" applyFill="0" applyBorder="0" applyAlignment="0" applyProtection="0"/>
    <xf numFmtId="0" fontId="161" fillId="0" borderId="0"/>
    <xf numFmtId="9" fontId="161" fillId="0" borderId="0" applyFont="0" applyFill="0" applyBorder="0" applyAlignment="0" applyProtection="0"/>
    <xf numFmtId="0" fontId="161" fillId="0" borderId="0"/>
    <xf numFmtId="9" fontId="161" fillId="0" borderId="0" applyFont="0" applyFill="0" applyBorder="0" applyAlignment="0" applyProtection="0"/>
    <xf numFmtId="0" fontId="160" fillId="0" borderId="0"/>
    <xf numFmtId="9" fontId="160" fillId="0" borderId="0" applyFont="0" applyFill="0" applyBorder="0" applyAlignment="0" applyProtection="0"/>
    <xf numFmtId="0" fontId="160" fillId="0" borderId="0"/>
    <xf numFmtId="9" fontId="160" fillId="0" borderId="0" applyFont="0" applyFill="0" applyBorder="0" applyAlignment="0" applyProtection="0"/>
    <xf numFmtId="0" fontId="160" fillId="0" borderId="0"/>
    <xf numFmtId="9" fontId="160" fillId="0" borderId="0" applyFont="0" applyFill="0" applyBorder="0" applyAlignment="0" applyProtection="0"/>
    <xf numFmtId="0" fontId="160" fillId="0" borderId="0"/>
    <xf numFmtId="9" fontId="160" fillId="0" borderId="0" applyFont="0" applyFill="0" applyBorder="0" applyAlignment="0" applyProtection="0"/>
    <xf numFmtId="0" fontId="160" fillId="0" borderId="0"/>
    <xf numFmtId="9" fontId="160" fillId="0" borderId="0" applyFont="0" applyFill="0" applyBorder="0" applyAlignment="0" applyProtection="0"/>
    <xf numFmtId="0" fontId="160" fillId="0" borderId="0"/>
    <xf numFmtId="9" fontId="160" fillId="0" borderId="0" applyFont="0" applyFill="0" applyBorder="0" applyAlignment="0" applyProtection="0"/>
    <xf numFmtId="0" fontId="159" fillId="0" borderId="0"/>
    <xf numFmtId="9" fontId="159" fillId="0" borderId="0" applyFont="0" applyFill="0" applyBorder="0" applyAlignment="0" applyProtection="0"/>
    <xf numFmtId="0" fontId="159" fillId="0" borderId="0"/>
    <xf numFmtId="9" fontId="159" fillId="0" borderId="0" applyFont="0" applyFill="0" applyBorder="0" applyAlignment="0" applyProtection="0"/>
    <xf numFmtId="0" fontId="159" fillId="0" borderId="0"/>
    <xf numFmtId="9" fontId="159" fillId="0" borderId="0" applyFont="0" applyFill="0" applyBorder="0" applyAlignment="0" applyProtection="0"/>
    <xf numFmtId="0" fontId="159" fillId="0" borderId="0"/>
    <xf numFmtId="9" fontId="159" fillId="0" borderId="0" applyFont="0" applyFill="0" applyBorder="0" applyAlignment="0" applyProtection="0"/>
    <xf numFmtId="0" fontId="159" fillId="0" borderId="0"/>
    <xf numFmtId="9" fontId="159" fillId="0" borderId="0" applyFont="0" applyFill="0" applyBorder="0" applyAlignment="0" applyProtection="0"/>
    <xf numFmtId="0" fontId="159" fillId="0" borderId="0"/>
    <xf numFmtId="9" fontId="159" fillId="0" borderId="0" applyFont="0" applyFill="0" applyBorder="0" applyAlignment="0" applyProtection="0"/>
    <xf numFmtId="0" fontId="158" fillId="0" borderId="0"/>
    <xf numFmtId="9" fontId="158" fillId="0" borderId="0" applyFont="0" applyFill="0" applyBorder="0" applyAlignment="0" applyProtection="0"/>
    <xf numFmtId="0" fontId="158" fillId="0" borderId="0"/>
    <xf numFmtId="9" fontId="158" fillId="0" borderId="0" applyFont="0" applyFill="0" applyBorder="0" applyAlignment="0" applyProtection="0"/>
    <xf numFmtId="0" fontId="158" fillId="0" borderId="0"/>
    <xf numFmtId="9" fontId="158" fillId="0" borderId="0" applyFont="0" applyFill="0" applyBorder="0" applyAlignment="0" applyProtection="0"/>
    <xf numFmtId="0" fontId="158" fillId="0" borderId="0"/>
    <xf numFmtId="9" fontId="158" fillId="0" borderId="0" applyFont="0" applyFill="0" applyBorder="0" applyAlignment="0" applyProtection="0"/>
    <xf numFmtId="0" fontId="158" fillId="0" borderId="0"/>
    <xf numFmtId="9" fontId="158" fillId="0" borderId="0" applyFont="0" applyFill="0" applyBorder="0" applyAlignment="0" applyProtection="0"/>
    <xf numFmtId="0" fontId="158" fillId="0" borderId="0"/>
    <xf numFmtId="9" fontId="158" fillId="0" borderId="0" applyFont="0" applyFill="0" applyBorder="0" applyAlignment="0" applyProtection="0"/>
    <xf numFmtId="0" fontId="157" fillId="0" borderId="0"/>
    <xf numFmtId="9" fontId="157" fillId="0" borderId="0" applyFont="0" applyFill="0" applyBorder="0" applyAlignment="0" applyProtection="0"/>
    <xf numFmtId="0" fontId="157" fillId="0" borderId="0"/>
    <xf numFmtId="9" fontId="157" fillId="0" borderId="0" applyFont="0" applyFill="0" applyBorder="0" applyAlignment="0" applyProtection="0"/>
    <xf numFmtId="0" fontId="157" fillId="0" borderId="0"/>
    <xf numFmtId="9" fontId="157" fillId="0" borderId="0" applyFont="0" applyFill="0" applyBorder="0" applyAlignment="0" applyProtection="0"/>
    <xf numFmtId="0" fontId="157" fillId="0" borderId="0"/>
    <xf numFmtId="9" fontId="157" fillId="0" borderId="0" applyFont="0" applyFill="0" applyBorder="0" applyAlignment="0" applyProtection="0"/>
    <xf numFmtId="0" fontId="157" fillId="0" borderId="0"/>
    <xf numFmtId="9" fontId="157" fillId="0" borderId="0" applyFont="0" applyFill="0" applyBorder="0" applyAlignment="0" applyProtection="0"/>
    <xf numFmtId="0" fontId="157" fillId="0" borderId="0"/>
    <xf numFmtId="9" fontId="157" fillId="0" borderId="0" applyFont="0" applyFill="0" applyBorder="0" applyAlignment="0" applyProtection="0"/>
    <xf numFmtId="0" fontId="156" fillId="0" borderId="0"/>
    <xf numFmtId="9" fontId="156" fillId="0" borderId="0" applyFont="0" applyFill="0" applyBorder="0" applyAlignment="0" applyProtection="0"/>
    <xf numFmtId="0" fontId="156" fillId="0" borderId="0"/>
    <xf numFmtId="9" fontId="156" fillId="0" borderId="0" applyFont="0" applyFill="0" applyBorder="0" applyAlignment="0" applyProtection="0"/>
    <xf numFmtId="0" fontId="156" fillId="0" borderId="0"/>
    <xf numFmtId="9" fontId="156" fillId="0" borderId="0" applyFont="0" applyFill="0" applyBorder="0" applyAlignment="0" applyProtection="0"/>
    <xf numFmtId="0" fontId="156" fillId="0" borderId="0"/>
    <xf numFmtId="9" fontId="156" fillId="0" borderId="0" applyFont="0" applyFill="0" applyBorder="0" applyAlignment="0" applyProtection="0"/>
    <xf numFmtId="0" fontId="156" fillId="0" borderId="0"/>
    <xf numFmtId="9" fontId="156" fillId="0" borderId="0" applyFont="0" applyFill="0" applyBorder="0" applyAlignment="0" applyProtection="0"/>
    <xf numFmtId="0" fontId="156" fillId="0" borderId="0"/>
    <xf numFmtId="9" fontId="156" fillId="0" borderId="0" applyFont="0" applyFill="0" applyBorder="0" applyAlignment="0" applyProtection="0"/>
    <xf numFmtId="0" fontId="155" fillId="0" borderId="0"/>
    <xf numFmtId="165" fontId="248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5" fillId="0" borderId="0"/>
    <xf numFmtId="9" fontId="155" fillId="0" borderId="0" applyFont="0" applyFill="0" applyBorder="0" applyAlignment="0" applyProtection="0"/>
    <xf numFmtId="0" fontId="154" fillId="0" borderId="0"/>
    <xf numFmtId="9" fontId="154" fillId="0" borderId="0" applyFont="0" applyFill="0" applyBorder="0" applyAlignment="0" applyProtection="0"/>
    <xf numFmtId="0" fontId="154" fillId="0" borderId="0"/>
    <xf numFmtId="9" fontId="154" fillId="0" borderId="0" applyFont="0" applyFill="0" applyBorder="0" applyAlignment="0" applyProtection="0"/>
    <xf numFmtId="0" fontId="154" fillId="0" borderId="0"/>
    <xf numFmtId="9" fontId="154" fillId="0" borderId="0" applyFont="0" applyFill="0" applyBorder="0" applyAlignment="0" applyProtection="0"/>
    <xf numFmtId="0" fontId="154" fillId="0" borderId="0"/>
    <xf numFmtId="9" fontId="154" fillId="0" borderId="0" applyFont="0" applyFill="0" applyBorder="0" applyAlignment="0" applyProtection="0"/>
    <xf numFmtId="0" fontId="154" fillId="0" borderId="0"/>
    <xf numFmtId="9" fontId="154" fillId="0" borderId="0" applyFont="0" applyFill="0" applyBorder="0" applyAlignment="0" applyProtection="0"/>
    <xf numFmtId="0" fontId="154" fillId="0" borderId="0"/>
    <xf numFmtId="9" fontId="154" fillId="0" borderId="0" applyFont="0" applyFill="0" applyBorder="0" applyAlignment="0" applyProtection="0"/>
    <xf numFmtId="0" fontId="154" fillId="0" borderId="0"/>
    <xf numFmtId="9" fontId="154" fillId="0" borderId="0" applyFont="0" applyFill="0" applyBorder="0" applyAlignment="0" applyProtection="0"/>
    <xf numFmtId="0" fontId="154" fillId="0" borderId="0"/>
    <xf numFmtId="9" fontId="154" fillId="0" borderId="0" applyFont="0" applyFill="0" applyBorder="0" applyAlignment="0" applyProtection="0"/>
    <xf numFmtId="0" fontId="154" fillId="0" borderId="0"/>
    <xf numFmtId="9" fontId="154" fillId="0" borderId="0" applyFont="0" applyFill="0" applyBorder="0" applyAlignment="0" applyProtection="0"/>
    <xf numFmtId="0" fontId="154" fillId="0" borderId="0"/>
    <xf numFmtId="9" fontId="154" fillId="0" borderId="0" applyFont="0" applyFill="0" applyBorder="0" applyAlignment="0" applyProtection="0"/>
    <xf numFmtId="0" fontId="154" fillId="0" borderId="0"/>
    <xf numFmtId="9" fontId="154" fillId="0" borderId="0" applyFont="0" applyFill="0" applyBorder="0" applyAlignment="0" applyProtection="0"/>
    <xf numFmtId="0" fontId="154" fillId="0" borderId="0"/>
    <xf numFmtId="9" fontId="154" fillId="0" borderId="0" applyFont="0" applyFill="0" applyBorder="0" applyAlignment="0" applyProtection="0"/>
    <xf numFmtId="0" fontId="153" fillId="0" borderId="0"/>
    <xf numFmtId="9" fontId="153" fillId="0" borderId="0" applyFont="0" applyFill="0" applyBorder="0" applyAlignment="0" applyProtection="0"/>
    <xf numFmtId="0" fontId="153" fillId="0" borderId="0"/>
    <xf numFmtId="9" fontId="153" fillId="0" borderId="0" applyFont="0" applyFill="0" applyBorder="0" applyAlignment="0" applyProtection="0"/>
    <xf numFmtId="0" fontId="153" fillId="0" borderId="0"/>
    <xf numFmtId="9" fontId="153" fillId="0" borderId="0" applyFont="0" applyFill="0" applyBorder="0" applyAlignment="0" applyProtection="0"/>
    <xf numFmtId="0" fontId="153" fillId="0" borderId="0"/>
    <xf numFmtId="9" fontId="153" fillId="0" borderId="0" applyFont="0" applyFill="0" applyBorder="0" applyAlignment="0" applyProtection="0"/>
    <xf numFmtId="0" fontId="153" fillId="0" borderId="0"/>
    <xf numFmtId="9" fontId="153" fillId="0" borderId="0" applyFont="0" applyFill="0" applyBorder="0" applyAlignment="0" applyProtection="0"/>
    <xf numFmtId="0" fontId="153" fillId="0" borderId="0"/>
    <xf numFmtId="9" fontId="153" fillId="0" borderId="0" applyFont="0" applyFill="0" applyBorder="0" applyAlignment="0" applyProtection="0"/>
    <xf numFmtId="0" fontId="153" fillId="0" borderId="0"/>
    <xf numFmtId="9" fontId="153" fillId="0" borderId="0" applyFont="0" applyFill="0" applyBorder="0" applyAlignment="0" applyProtection="0"/>
    <xf numFmtId="0" fontId="153" fillId="0" borderId="0"/>
    <xf numFmtId="9" fontId="153" fillId="0" borderId="0" applyFont="0" applyFill="0" applyBorder="0" applyAlignment="0" applyProtection="0"/>
    <xf numFmtId="0" fontId="153" fillId="0" borderId="0"/>
    <xf numFmtId="9" fontId="153" fillId="0" borderId="0" applyFont="0" applyFill="0" applyBorder="0" applyAlignment="0" applyProtection="0"/>
    <xf numFmtId="0" fontId="153" fillId="0" borderId="0"/>
    <xf numFmtId="9" fontId="153" fillId="0" borderId="0" applyFont="0" applyFill="0" applyBorder="0" applyAlignment="0" applyProtection="0"/>
    <xf numFmtId="0" fontId="153" fillId="0" borderId="0"/>
    <xf numFmtId="9" fontId="153" fillId="0" borderId="0" applyFont="0" applyFill="0" applyBorder="0" applyAlignment="0" applyProtection="0"/>
    <xf numFmtId="0" fontId="153" fillId="0" borderId="0"/>
    <xf numFmtId="9" fontId="153" fillId="0" borderId="0" applyFont="0" applyFill="0" applyBorder="0" applyAlignment="0" applyProtection="0"/>
    <xf numFmtId="0" fontId="152" fillId="0" borderId="0"/>
    <xf numFmtId="9" fontId="152" fillId="0" borderId="0" applyFont="0" applyFill="0" applyBorder="0" applyAlignment="0" applyProtection="0"/>
    <xf numFmtId="0" fontId="152" fillId="0" borderId="0"/>
    <xf numFmtId="9" fontId="152" fillId="0" borderId="0" applyFont="0" applyFill="0" applyBorder="0" applyAlignment="0" applyProtection="0"/>
    <xf numFmtId="0" fontId="152" fillId="0" borderId="0"/>
    <xf numFmtId="9" fontId="152" fillId="0" borderId="0" applyFont="0" applyFill="0" applyBorder="0" applyAlignment="0" applyProtection="0"/>
    <xf numFmtId="0" fontId="152" fillId="0" borderId="0"/>
    <xf numFmtId="9" fontId="152" fillId="0" borderId="0" applyFont="0" applyFill="0" applyBorder="0" applyAlignment="0" applyProtection="0"/>
    <xf numFmtId="0" fontId="152" fillId="0" borderId="0"/>
    <xf numFmtId="9" fontId="152" fillId="0" borderId="0" applyFont="0" applyFill="0" applyBorder="0" applyAlignment="0" applyProtection="0"/>
    <xf numFmtId="0" fontId="152" fillId="0" borderId="0"/>
    <xf numFmtId="9" fontId="152" fillId="0" borderId="0" applyFont="0" applyFill="0" applyBorder="0" applyAlignment="0" applyProtection="0"/>
    <xf numFmtId="0" fontId="152" fillId="0" borderId="0"/>
    <xf numFmtId="9" fontId="152" fillId="0" borderId="0" applyFont="0" applyFill="0" applyBorder="0" applyAlignment="0" applyProtection="0"/>
    <xf numFmtId="0" fontId="152" fillId="0" borderId="0"/>
    <xf numFmtId="9" fontId="152" fillId="0" borderId="0" applyFont="0" applyFill="0" applyBorder="0" applyAlignment="0" applyProtection="0"/>
    <xf numFmtId="0" fontId="152" fillId="0" borderId="0"/>
    <xf numFmtId="9" fontId="152" fillId="0" borderId="0" applyFont="0" applyFill="0" applyBorder="0" applyAlignment="0" applyProtection="0"/>
    <xf numFmtId="0" fontId="152" fillId="0" borderId="0"/>
    <xf numFmtId="9" fontId="152" fillId="0" borderId="0" applyFont="0" applyFill="0" applyBorder="0" applyAlignment="0" applyProtection="0"/>
    <xf numFmtId="0" fontId="152" fillId="0" borderId="0"/>
    <xf numFmtId="9" fontId="152" fillId="0" borderId="0" applyFont="0" applyFill="0" applyBorder="0" applyAlignment="0" applyProtection="0"/>
    <xf numFmtId="0" fontId="152" fillId="0" borderId="0"/>
    <xf numFmtId="9" fontId="152" fillId="0" borderId="0" applyFont="0" applyFill="0" applyBorder="0" applyAlignment="0" applyProtection="0"/>
    <xf numFmtId="0" fontId="152" fillId="0" borderId="0"/>
    <xf numFmtId="9" fontId="152" fillId="0" borderId="0" applyFont="0" applyFill="0" applyBorder="0" applyAlignment="0" applyProtection="0"/>
    <xf numFmtId="0" fontId="151" fillId="0" borderId="0"/>
    <xf numFmtId="9" fontId="151" fillId="0" borderId="0" applyFont="0" applyFill="0" applyBorder="0" applyAlignment="0" applyProtection="0"/>
    <xf numFmtId="0" fontId="151" fillId="0" borderId="0"/>
    <xf numFmtId="9" fontId="151" fillId="0" borderId="0" applyFont="0" applyFill="0" applyBorder="0" applyAlignment="0" applyProtection="0"/>
    <xf numFmtId="0" fontId="151" fillId="0" borderId="0"/>
    <xf numFmtId="9" fontId="151" fillId="0" borderId="0" applyFont="0" applyFill="0" applyBorder="0" applyAlignment="0" applyProtection="0"/>
    <xf numFmtId="0" fontId="151" fillId="0" borderId="0"/>
    <xf numFmtId="9" fontId="151" fillId="0" borderId="0" applyFont="0" applyFill="0" applyBorder="0" applyAlignment="0" applyProtection="0"/>
    <xf numFmtId="0" fontId="151" fillId="0" borderId="0"/>
    <xf numFmtId="9" fontId="151" fillId="0" borderId="0" applyFont="0" applyFill="0" applyBorder="0" applyAlignment="0" applyProtection="0"/>
    <xf numFmtId="0" fontId="151" fillId="0" borderId="0"/>
    <xf numFmtId="9" fontId="151" fillId="0" borderId="0" applyFont="0" applyFill="0" applyBorder="0" applyAlignment="0" applyProtection="0"/>
    <xf numFmtId="0" fontId="151" fillId="0" borderId="0"/>
    <xf numFmtId="9" fontId="151" fillId="0" borderId="0" applyFont="0" applyFill="0" applyBorder="0" applyAlignment="0" applyProtection="0"/>
    <xf numFmtId="0" fontId="151" fillId="0" borderId="0"/>
    <xf numFmtId="9" fontId="151" fillId="0" borderId="0" applyFont="0" applyFill="0" applyBorder="0" applyAlignment="0" applyProtection="0"/>
    <xf numFmtId="0" fontId="151" fillId="0" borderId="0"/>
    <xf numFmtId="9" fontId="151" fillId="0" borderId="0" applyFont="0" applyFill="0" applyBorder="0" applyAlignment="0" applyProtection="0"/>
    <xf numFmtId="0" fontId="151" fillId="0" borderId="0"/>
    <xf numFmtId="9" fontId="151" fillId="0" borderId="0" applyFont="0" applyFill="0" applyBorder="0" applyAlignment="0" applyProtection="0"/>
    <xf numFmtId="0" fontId="151" fillId="0" borderId="0"/>
    <xf numFmtId="9" fontId="151" fillId="0" borderId="0" applyFont="0" applyFill="0" applyBorder="0" applyAlignment="0" applyProtection="0"/>
    <xf numFmtId="0" fontId="151" fillId="0" borderId="0"/>
    <xf numFmtId="9" fontId="151" fillId="0" borderId="0" applyFont="0" applyFill="0" applyBorder="0" applyAlignment="0" applyProtection="0"/>
    <xf numFmtId="0" fontId="151" fillId="0" borderId="0"/>
    <xf numFmtId="9" fontId="151" fillId="0" borderId="0" applyFont="0" applyFill="0" applyBorder="0" applyAlignment="0" applyProtection="0"/>
    <xf numFmtId="0" fontId="150" fillId="0" borderId="0"/>
    <xf numFmtId="9" fontId="150" fillId="0" borderId="0" applyFont="0" applyFill="0" applyBorder="0" applyAlignment="0" applyProtection="0"/>
    <xf numFmtId="0" fontId="150" fillId="0" borderId="0"/>
    <xf numFmtId="9" fontId="150" fillId="0" borderId="0" applyFont="0" applyFill="0" applyBorder="0" applyAlignment="0" applyProtection="0"/>
    <xf numFmtId="0" fontId="150" fillId="0" borderId="0"/>
    <xf numFmtId="9" fontId="150" fillId="0" borderId="0" applyFont="0" applyFill="0" applyBorder="0" applyAlignment="0" applyProtection="0"/>
    <xf numFmtId="0" fontId="150" fillId="0" borderId="0"/>
    <xf numFmtId="9" fontId="150" fillId="0" borderId="0" applyFont="0" applyFill="0" applyBorder="0" applyAlignment="0" applyProtection="0"/>
    <xf numFmtId="0" fontId="150" fillId="0" borderId="0"/>
    <xf numFmtId="9" fontId="150" fillId="0" borderId="0" applyFont="0" applyFill="0" applyBorder="0" applyAlignment="0" applyProtection="0"/>
    <xf numFmtId="0" fontId="150" fillId="0" borderId="0"/>
    <xf numFmtId="9" fontId="150" fillId="0" borderId="0" applyFont="0" applyFill="0" applyBorder="0" applyAlignment="0" applyProtection="0"/>
    <xf numFmtId="0" fontId="150" fillId="0" borderId="0"/>
    <xf numFmtId="9" fontId="150" fillId="0" borderId="0" applyFont="0" applyFill="0" applyBorder="0" applyAlignment="0" applyProtection="0"/>
    <xf numFmtId="0" fontId="150" fillId="0" borderId="0"/>
    <xf numFmtId="9" fontId="150" fillId="0" borderId="0" applyFont="0" applyFill="0" applyBorder="0" applyAlignment="0" applyProtection="0"/>
    <xf numFmtId="0" fontId="150" fillId="0" borderId="0"/>
    <xf numFmtId="9" fontId="150" fillId="0" borderId="0" applyFont="0" applyFill="0" applyBorder="0" applyAlignment="0" applyProtection="0"/>
    <xf numFmtId="0" fontId="150" fillId="0" borderId="0"/>
    <xf numFmtId="9" fontId="150" fillId="0" borderId="0" applyFont="0" applyFill="0" applyBorder="0" applyAlignment="0" applyProtection="0"/>
    <xf numFmtId="0" fontId="150" fillId="0" borderId="0"/>
    <xf numFmtId="9" fontId="150" fillId="0" borderId="0" applyFont="0" applyFill="0" applyBorder="0" applyAlignment="0" applyProtection="0"/>
    <xf numFmtId="0" fontId="150" fillId="0" borderId="0"/>
    <xf numFmtId="9" fontId="150" fillId="0" borderId="0" applyFont="0" applyFill="0" applyBorder="0" applyAlignment="0" applyProtection="0"/>
    <xf numFmtId="0" fontId="150" fillId="0" borderId="0"/>
    <xf numFmtId="9" fontId="150" fillId="0" borderId="0" applyFont="0" applyFill="0" applyBorder="0" applyAlignment="0" applyProtection="0"/>
    <xf numFmtId="0" fontId="149" fillId="0" borderId="0"/>
    <xf numFmtId="9" fontId="149" fillId="0" borderId="0" applyFont="0" applyFill="0" applyBorder="0" applyAlignment="0" applyProtection="0"/>
    <xf numFmtId="0" fontId="149" fillId="0" borderId="0"/>
    <xf numFmtId="9" fontId="149" fillId="0" borderId="0" applyFont="0" applyFill="0" applyBorder="0" applyAlignment="0" applyProtection="0"/>
    <xf numFmtId="0" fontId="149" fillId="0" borderId="0"/>
    <xf numFmtId="9" fontId="149" fillId="0" borderId="0" applyFont="0" applyFill="0" applyBorder="0" applyAlignment="0" applyProtection="0"/>
    <xf numFmtId="0" fontId="149" fillId="0" borderId="0"/>
    <xf numFmtId="9" fontId="149" fillId="0" borderId="0" applyFont="0" applyFill="0" applyBorder="0" applyAlignment="0" applyProtection="0"/>
    <xf numFmtId="0" fontId="149" fillId="0" borderId="0"/>
    <xf numFmtId="9" fontId="149" fillId="0" borderId="0" applyFont="0" applyFill="0" applyBorder="0" applyAlignment="0" applyProtection="0"/>
    <xf numFmtId="0" fontId="149" fillId="0" borderId="0"/>
    <xf numFmtId="9" fontId="149" fillId="0" borderId="0" applyFont="0" applyFill="0" applyBorder="0" applyAlignment="0" applyProtection="0"/>
    <xf numFmtId="0" fontId="149" fillId="0" borderId="0"/>
    <xf numFmtId="9" fontId="149" fillId="0" borderId="0" applyFont="0" applyFill="0" applyBorder="0" applyAlignment="0" applyProtection="0"/>
    <xf numFmtId="0" fontId="149" fillId="0" borderId="0"/>
    <xf numFmtId="9" fontId="149" fillId="0" borderId="0" applyFont="0" applyFill="0" applyBorder="0" applyAlignment="0" applyProtection="0"/>
    <xf numFmtId="0" fontId="149" fillId="0" borderId="0"/>
    <xf numFmtId="9" fontId="149" fillId="0" borderId="0" applyFont="0" applyFill="0" applyBorder="0" applyAlignment="0" applyProtection="0"/>
    <xf numFmtId="0" fontId="149" fillId="0" borderId="0"/>
    <xf numFmtId="9" fontId="149" fillId="0" borderId="0" applyFont="0" applyFill="0" applyBorder="0" applyAlignment="0" applyProtection="0"/>
    <xf numFmtId="0" fontId="149" fillId="0" borderId="0"/>
    <xf numFmtId="9" fontId="149" fillId="0" borderId="0" applyFont="0" applyFill="0" applyBorder="0" applyAlignment="0" applyProtection="0"/>
    <xf numFmtId="0" fontId="149" fillId="0" borderId="0"/>
    <xf numFmtId="9" fontId="149" fillId="0" borderId="0" applyFont="0" applyFill="0" applyBorder="0" applyAlignment="0" applyProtection="0"/>
    <xf numFmtId="0" fontId="149" fillId="0" borderId="0"/>
    <xf numFmtId="9" fontId="149" fillId="0" borderId="0" applyFont="0" applyFill="0" applyBorder="0" applyAlignment="0" applyProtection="0"/>
    <xf numFmtId="0" fontId="148" fillId="0" borderId="0"/>
    <xf numFmtId="9" fontId="148" fillId="0" borderId="0" applyFont="0" applyFill="0" applyBorder="0" applyAlignment="0" applyProtection="0"/>
    <xf numFmtId="0" fontId="148" fillId="0" borderId="0"/>
    <xf numFmtId="9" fontId="148" fillId="0" borderId="0" applyFont="0" applyFill="0" applyBorder="0" applyAlignment="0" applyProtection="0"/>
    <xf numFmtId="0" fontId="148" fillId="0" borderId="0"/>
    <xf numFmtId="9" fontId="148" fillId="0" borderId="0" applyFont="0" applyFill="0" applyBorder="0" applyAlignment="0" applyProtection="0"/>
    <xf numFmtId="0" fontId="148" fillId="0" borderId="0"/>
    <xf numFmtId="9" fontId="148" fillId="0" borderId="0" applyFont="0" applyFill="0" applyBorder="0" applyAlignment="0" applyProtection="0"/>
    <xf numFmtId="0" fontId="148" fillId="0" borderId="0"/>
    <xf numFmtId="9" fontId="148" fillId="0" borderId="0" applyFont="0" applyFill="0" applyBorder="0" applyAlignment="0" applyProtection="0"/>
    <xf numFmtId="0" fontId="148" fillId="0" borderId="0"/>
    <xf numFmtId="9" fontId="148" fillId="0" borderId="0" applyFont="0" applyFill="0" applyBorder="0" applyAlignment="0" applyProtection="0"/>
    <xf numFmtId="0" fontId="148" fillId="0" borderId="0"/>
    <xf numFmtId="9" fontId="148" fillId="0" borderId="0" applyFont="0" applyFill="0" applyBorder="0" applyAlignment="0" applyProtection="0"/>
    <xf numFmtId="0" fontId="148" fillId="0" borderId="0"/>
    <xf numFmtId="9" fontId="148" fillId="0" borderId="0" applyFont="0" applyFill="0" applyBorder="0" applyAlignment="0" applyProtection="0"/>
    <xf numFmtId="0" fontId="148" fillId="0" borderId="0"/>
    <xf numFmtId="9" fontId="148" fillId="0" borderId="0" applyFont="0" applyFill="0" applyBorder="0" applyAlignment="0" applyProtection="0"/>
    <xf numFmtId="0" fontId="148" fillId="0" borderId="0"/>
    <xf numFmtId="9" fontId="148" fillId="0" borderId="0" applyFont="0" applyFill="0" applyBorder="0" applyAlignment="0" applyProtection="0"/>
    <xf numFmtId="0" fontId="148" fillId="0" borderId="0"/>
    <xf numFmtId="9" fontId="148" fillId="0" borderId="0" applyFont="0" applyFill="0" applyBorder="0" applyAlignment="0" applyProtection="0"/>
    <xf numFmtId="0" fontId="148" fillId="0" borderId="0"/>
    <xf numFmtId="9" fontId="148" fillId="0" borderId="0" applyFont="0" applyFill="0" applyBorder="0" applyAlignment="0" applyProtection="0"/>
    <xf numFmtId="0" fontId="148" fillId="0" borderId="0"/>
    <xf numFmtId="9" fontId="148" fillId="0" borderId="0" applyFont="0" applyFill="0" applyBorder="0" applyAlignment="0" applyProtection="0"/>
    <xf numFmtId="0" fontId="147" fillId="0" borderId="0"/>
    <xf numFmtId="9" fontId="147" fillId="0" borderId="0" applyFont="0" applyFill="0" applyBorder="0" applyAlignment="0" applyProtection="0"/>
    <xf numFmtId="0" fontId="147" fillId="0" borderId="0"/>
    <xf numFmtId="9" fontId="147" fillId="0" borderId="0" applyFont="0" applyFill="0" applyBorder="0" applyAlignment="0" applyProtection="0"/>
    <xf numFmtId="0" fontId="147" fillId="0" borderId="0"/>
    <xf numFmtId="9" fontId="147" fillId="0" borderId="0" applyFont="0" applyFill="0" applyBorder="0" applyAlignment="0" applyProtection="0"/>
    <xf numFmtId="0" fontId="147" fillId="0" borderId="0"/>
    <xf numFmtId="9" fontId="147" fillId="0" borderId="0" applyFont="0" applyFill="0" applyBorder="0" applyAlignment="0" applyProtection="0"/>
    <xf numFmtId="0" fontId="147" fillId="0" borderId="0"/>
    <xf numFmtId="9" fontId="147" fillId="0" borderId="0" applyFont="0" applyFill="0" applyBorder="0" applyAlignment="0" applyProtection="0"/>
    <xf numFmtId="0" fontId="147" fillId="0" borderId="0"/>
    <xf numFmtId="9" fontId="147" fillId="0" borderId="0" applyFont="0" applyFill="0" applyBorder="0" applyAlignment="0" applyProtection="0"/>
    <xf numFmtId="0" fontId="147" fillId="0" borderId="0"/>
    <xf numFmtId="9" fontId="147" fillId="0" borderId="0" applyFont="0" applyFill="0" applyBorder="0" applyAlignment="0" applyProtection="0"/>
    <xf numFmtId="0" fontId="147" fillId="0" borderId="0"/>
    <xf numFmtId="9" fontId="147" fillId="0" borderId="0" applyFont="0" applyFill="0" applyBorder="0" applyAlignment="0" applyProtection="0"/>
    <xf numFmtId="0" fontId="147" fillId="0" borderId="0"/>
    <xf numFmtId="9" fontId="147" fillId="0" borderId="0" applyFont="0" applyFill="0" applyBorder="0" applyAlignment="0" applyProtection="0"/>
    <xf numFmtId="0" fontId="147" fillId="0" borderId="0"/>
    <xf numFmtId="9" fontId="147" fillId="0" borderId="0" applyFont="0" applyFill="0" applyBorder="0" applyAlignment="0" applyProtection="0"/>
    <xf numFmtId="0" fontId="147" fillId="0" borderId="0"/>
    <xf numFmtId="9" fontId="147" fillId="0" borderId="0" applyFont="0" applyFill="0" applyBorder="0" applyAlignment="0" applyProtection="0"/>
    <xf numFmtId="0" fontId="147" fillId="0" borderId="0"/>
    <xf numFmtId="9" fontId="147" fillId="0" borderId="0" applyFont="0" applyFill="0" applyBorder="0" applyAlignment="0" applyProtection="0"/>
    <xf numFmtId="0" fontId="147" fillId="0" borderId="0"/>
    <xf numFmtId="9" fontId="147" fillId="0" borderId="0" applyFont="0" applyFill="0" applyBorder="0" applyAlignment="0" applyProtection="0"/>
    <xf numFmtId="0" fontId="146" fillId="0" borderId="0"/>
    <xf numFmtId="9" fontId="146" fillId="0" borderId="0" applyFont="0" applyFill="0" applyBorder="0" applyAlignment="0" applyProtection="0"/>
    <xf numFmtId="0" fontId="146" fillId="0" borderId="0"/>
    <xf numFmtId="9" fontId="146" fillId="0" borderId="0" applyFont="0" applyFill="0" applyBorder="0" applyAlignment="0" applyProtection="0"/>
    <xf numFmtId="0" fontId="146" fillId="0" borderId="0"/>
    <xf numFmtId="9" fontId="146" fillId="0" borderId="0" applyFont="0" applyFill="0" applyBorder="0" applyAlignment="0" applyProtection="0"/>
    <xf numFmtId="0" fontId="146" fillId="0" borderId="0"/>
    <xf numFmtId="9" fontId="146" fillId="0" borderId="0" applyFont="0" applyFill="0" applyBorder="0" applyAlignment="0" applyProtection="0"/>
    <xf numFmtId="0" fontId="146" fillId="0" borderId="0"/>
    <xf numFmtId="9" fontId="146" fillId="0" borderId="0" applyFont="0" applyFill="0" applyBorder="0" applyAlignment="0" applyProtection="0"/>
    <xf numFmtId="0" fontId="146" fillId="0" borderId="0"/>
    <xf numFmtId="9" fontId="146" fillId="0" borderId="0" applyFont="0" applyFill="0" applyBorder="0" applyAlignment="0" applyProtection="0"/>
    <xf numFmtId="0" fontId="146" fillId="0" borderId="0"/>
    <xf numFmtId="9" fontId="146" fillId="0" borderId="0" applyFont="0" applyFill="0" applyBorder="0" applyAlignment="0" applyProtection="0"/>
    <xf numFmtId="0" fontId="146" fillId="0" borderId="0"/>
    <xf numFmtId="9" fontId="146" fillId="0" borderId="0" applyFont="0" applyFill="0" applyBorder="0" applyAlignment="0" applyProtection="0"/>
    <xf numFmtId="0" fontId="146" fillId="0" borderId="0"/>
    <xf numFmtId="9" fontId="146" fillId="0" borderId="0" applyFont="0" applyFill="0" applyBorder="0" applyAlignment="0" applyProtection="0"/>
    <xf numFmtId="0" fontId="146" fillId="0" borderId="0"/>
    <xf numFmtId="9" fontId="146" fillId="0" borderId="0" applyFont="0" applyFill="0" applyBorder="0" applyAlignment="0" applyProtection="0"/>
    <xf numFmtId="0" fontId="146" fillId="0" borderId="0"/>
    <xf numFmtId="9" fontId="146" fillId="0" borderId="0" applyFont="0" applyFill="0" applyBorder="0" applyAlignment="0" applyProtection="0"/>
    <xf numFmtId="0" fontId="146" fillId="0" borderId="0"/>
    <xf numFmtId="9" fontId="146" fillId="0" borderId="0" applyFont="0" applyFill="0" applyBorder="0" applyAlignment="0" applyProtection="0"/>
    <xf numFmtId="0" fontId="146" fillId="0" borderId="0"/>
    <xf numFmtId="9" fontId="146" fillId="0" borderId="0" applyFont="0" applyFill="0" applyBorder="0" applyAlignment="0" applyProtection="0"/>
    <xf numFmtId="0" fontId="145" fillId="0" borderId="0"/>
    <xf numFmtId="9" fontId="145" fillId="0" borderId="0" applyFont="0" applyFill="0" applyBorder="0" applyAlignment="0" applyProtection="0"/>
    <xf numFmtId="0" fontId="145" fillId="0" borderId="0"/>
    <xf numFmtId="9" fontId="145" fillId="0" borderId="0" applyFont="0" applyFill="0" applyBorder="0" applyAlignment="0" applyProtection="0"/>
    <xf numFmtId="0" fontId="145" fillId="0" borderId="0"/>
    <xf numFmtId="9" fontId="145" fillId="0" borderId="0" applyFont="0" applyFill="0" applyBorder="0" applyAlignment="0" applyProtection="0"/>
    <xf numFmtId="0" fontId="145" fillId="0" borderId="0"/>
    <xf numFmtId="9" fontId="145" fillId="0" borderId="0" applyFont="0" applyFill="0" applyBorder="0" applyAlignment="0" applyProtection="0"/>
    <xf numFmtId="0" fontId="145" fillId="0" borderId="0"/>
    <xf numFmtId="9" fontId="145" fillId="0" borderId="0" applyFont="0" applyFill="0" applyBorder="0" applyAlignment="0" applyProtection="0"/>
    <xf numFmtId="0" fontId="145" fillId="0" borderId="0"/>
    <xf numFmtId="9" fontId="145" fillId="0" borderId="0" applyFont="0" applyFill="0" applyBorder="0" applyAlignment="0" applyProtection="0"/>
    <xf numFmtId="0" fontId="145" fillId="0" borderId="0"/>
    <xf numFmtId="9" fontId="145" fillId="0" borderId="0" applyFont="0" applyFill="0" applyBorder="0" applyAlignment="0" applyProtection="0"/>
    <xf numFmtId="0" fontId="145" fillId="0" borderId="0"/>
    <xf numFmtId="9" fontId="145" fillId="0" borderId="0" applyFont="0" applyFill="0" applyBorder="0" applyAlignment="0" applyProtection="0"/>
    <xf numFmtId="0" fontId="145" fillId="0" borderId="0"/>
    <xf numFmtId="9" fontId="145" fillId="0" borderId="0" applyFont="0" applyFill="0" applyBorder="0" applyAlignment="0" applyProtection="0"/>
    <xf numFmtId="0" fontId="145" fillId="0" borderId="0"/>
    <xf numFmtId="9" fontId="145" fillId="0" borderId="0" applyFont="0" applyFill="0" applyBorder="0" applyAlignment="0" applyProtection="0"/>
    <xf numFmtId="0" fontId="145" fillId="0" borderId="0"/>
    <xf numFmtId="9" fontId="145" fillId="0" borderId="0" applyFont="0" applyFill="0" applyBorder="0" applyAlignment="0" applyProtection="0"/>
    <xf numFmtId="0" fontId="145" fillId="0" borderId="0"/>
    <xf numFmtId="9" fontId="145" fillId="0" borderId="0" applyFont="0" applyFill="0" applyBorder="0" applyAlignment="0" applyProtection="0"/>
    <xf numFmtId="0" fontId="145" fillId="0" borderId="0"/>
    <xf numFmtId="9" fontId="145" fillId="0" borderId="0" applyFont="0" applyFill="0" applyBorder="0" applyAlignment="0" applyProtection="0"/>
    <xf numFmtId="0" fontId="144" fillId="0" borderId="0"/>
    <xf numFmtId="9" fontId="144" fillId="0" borderId="0" applyFont="0" applyFill="0" applyBorder="0" applyAlignment="0" applyProtection="0"/>
    <xf numFmtId="0" fontId="144" fillId="0" borderId="0"/>
    <xf numFmtId="9" fontId="144" fillId="0" borderId="0" applyFont="0" applyFill="0" applyBorder="0" applyAlignment="0" applyProtection="0"/>
    <xf numFmtId="0" fontId="144" fillId="0" borderId="0"/>
    <xf numFmtId="9" fontId="144" fillId="0" borderId="0" applyFont="0" applyFill="0" applyBorder="0" applyAlignment="0" applyProtection="0"/>
    <xf numFmtId="0" fontId="144" fillId="0" borderId="0"/>
    <xf numFmtId="9" fontId="144" fillId="0" borderId="0" applyFont="0" applyFill="0" applyBorder="0" applyAlignment="0" applyProtection="0"/>
    <xf numFmtId="0" fontId="144" fillId="0" borderId="0"/>
    <xf numFmtId="9" fontId="144" fillId="0" borderId="0" applyFont="0" applyFill="0" applyBorder="0" applyAlignment="0" applyProtection="0"/>
    <xf numFmtId="0" fontId="144" fillId="0" borderId="0"/>
    <xf numFmtId="9" fontId="144" fillId="0" borderId="0" applyFont="0" applyFill="0" applyBorder="0" applyAlignment="0" applyProtection="0"/>
    <xf numFmtId="0" fontId="144" fillId="0" borderId="0"/>
    <xf numFmtId="9" fontId="144" fillId="0" borderId="0" applyFont="0" applyFill="0" applyBorder="0" applyAlignment="0" applyProtection="0"/>
    <xf numFmtId="0" fontId="144" fillId="0" borderId="0"/>
    <xf numFmtId="9" fontId="144" fillId="0" borderId="0" applyFont="0" applyFill="0" applyBorder="0" applyAlignment="0" applyProtection="0"/>
    <xf numFmtId="0" fontId="144" fillId="0" borderId="0"/>
    <xf numFmtId="9" fontId="144" fillId="0" borderId="0" applyFont="0" applyFill="0" applyBorder="0" applyAlignment="0" applyProtection="0"/>
    <xf numFmtId="0" fontId="144" fillId="0" borderId="0"/>
    <xf numFmtId="9" fontId="144" fillId="0" borderId="0" applyFont="0" applyFill="0" applyBorder="0" applyAlignment="0" applyProtection="0"/>
    <xf numFmtId="0" fontId="144" fillId="0" borderId="0"/>
    <xf numFmtId="9" fontId="144" fillId="0" borderId="0" applyFont="0" applyFill="0" applyBorder="0" applyAlignment="0" applyProtection="0"/>
    <xf numFmtId="0" fontId="144" fillId="0" borderId="0"/>
    <xf numFmtId="9" fontId="144" fillId="0" borderId="0" applyFont="0" applyFill="0" applyBorder="0" applyAlignment="0" applyProtection="0"/>
    <xf numFmtId="0" fontId="144" fillId="0" borderId="0"/>
    <xf numFmtId="9" fontId="144" fillId="0" borderId="0" applyFont="0" applyFill="0" applyBorder="0" applyAlignment="0" applyProtection="0"/>
    <xf numFmtId="0" fontId="143" fillId="0" borderId="0"/>
    <xf numFmtId="9" fontId="143" fillId="0" borderId="0" applyFont="0" applyFill="0" applyBorder="0" applyAlignment="0" applyProtection="0"/>
    <xf numFmtId="0" fontId="143" fillId="0" borderId="0"/>
    <xf numFmtId="9" fontId="143" fillId="0" borderId="0" applyFont="0" applyFill="0" applyBorder="0" applyAlignment="0" applyProtection="0"/>
    <xf numFmtId="0" fontId="143" fillId="0" borderId="0"/>
    <xf numFmtId="9" fontId="143" fillId="0" borderId="0" applyFont="0" applyFill="0" applyBorder="0" applyAlignment="0" applyProtection="0"/>
    <xf numFmtId="0" fontId="143" fillId="0" borderId="0"/>
    <xf numFmtId="9" fontId="143" fillId="0" borderId="0" applyFont="0" applyFill="0" applyBorder="0" applyAlignment="0" applyProtection="0"/>
    <xf numFmtId="0" fontId="143" fillId="0" borderId="0"/>
    <xf numFmtId="9" fontId="143" fillId="0" borderId="0" applyFont="0" applyFill="0" applyBorder="0" applyAlignment="0" applyProtection="0"/>
    <xf numFmtId="0" fontId="143" fillId="0" borderId="0"/>
    <xf numFmtId="9" fontId="143" fillId="0" borderId="0" applyFont="0" applyFill="0" applyBorder="0" applyAlignment="0" applyProtection="0"/>
    <xf numFmtId="0" fontId="143" fillId="0" borderId="0"/>
    <xf numFmtId="9" fontId="143" fillId="0" borderId="0" applyFont="0" applyFill="0" applyBorder="0" applyAlignment="0" applyProtection="0"/>
    <xf numFmtId="0" fontId="143" fillId="0" borderId="0"/>
    <xf numFmtId="9" fontId="143" fillId="0" borderId="0" applyFont="0" applyFill="0" applyBorder="0" applyAlignment="0" applyProtection="0"/>
    <xf numFmtId="0" fontId="143" fillId="0" borderId="0"/>
    <xf numFmtId="9" fontId="143" fillId="0" borderId="0" applyFont="0" applyFill="0" applyBorder="0" applyAlignment="0" applyProtection="0"/>
    <xf numFmtId="0" fontId="143" fillId="0" borderId="0"/>
    <xf numFmtId="9" fontId="143" fillId="0" borderId="0" applyFont="0" applyFill="0" applyBorder="0" applyAlignment="0" applyProtection="0"/>
    <xf numFmtId="0" fontId="143" fillId="0" borderId="0"/>
    <xf numFmtId="9" fontId="143" fillId="0" borderId="0" applyFont="0" applyFill="0" applyBorder="0" applyAlignment="0" applyProtection="0"/>
    <xf numFmtId="0" fontId="143" fillId="0" borderId="0"/>
    <xf numFmtId="9" fontId="143" fillId="0" borderId="0" applyFont="0" applyFill="0" applyBorder="0" applyAlignment="0" applyProtection="0"/>
    <xf numFmtId="0" fontId="143" fillId="0" borderId="0"/>
    <xf numFmtId="9" fontId="143" fillId="0" borderId="0" applyFont="0" applyFill="0" applyBorder="0" applyAlignment="0" applyProtection="0"/>
    <xf numFmtId="0" fontId="142" fillId="0" borderId="0"/>
    <xf numFmtId="9" fontId="142" fillId="0" borderId="0" applyFont="0" applyFill="0" applyBorder="0" applyAlignment="0" applyProtection="0"/>
    <xf numFmtId="0" fontId="142" fillId="0" borderId="0"/>
    <xf numFmtId="9" fontId="142" fillId="0" borderId="0" applyFont="0" applyFill="0" applyBorder="0" applyAlignment="0" applyProtection="0"/>
    <xf numFmtId="0" fontId="142" fillId="0" borderId="0"/>
    <xf numFmtId="9" fontId="142" fillId="0" borderId="0" applyFont="0" applyFill="0" applyBorder="0" applyAlignment="0" applyProtection="0"/>
    <xf numFmtId="0" fontId="142" fillId="0" borderId="0"/>
    <xf numFmtId="9" fontId="142" fillId="0" borderId="0" applyFont="0" applyFill="0" applyBorder="0" applyAlignment="0" applyProtection="0"/>
    <xf numFmtId="0" fontId="142" fillId="0" borderId="0"/>
    <xf numFmtId="9" fontId="142" fillId="0" borderId="0" applyFont="0" applyFill="0" applyBorder="0" applyAlignment="0" applyProtection="0"/>
    <xf numFmtId="0" fontId="142" fillId="0" borderId="0"/>
    <xf numFmtId="9" fontId="142" fillId="0" borderId="0" applyFont="0" applyFill="0" applyBorder="0" applyAlignment="0" applyProtection="0"/>
    <xf numFmtId="0" fontId="142" fillId="0" borderId="0"/>
    <xf numFmtId="9" fontId="142" fillId="0" borderId="0" applyFont="0" applyFill="0" applyBorder="0" applyAlignment="0" applyProtection="0"/>
    <xf numFmtId="0" fontId="142" fillId="0" borderId="0"/>
    <xf numFmtId="9" fontId="142" fillId="0" borderId="0" applyFont="0" applyFill="0" applyBorder="0" applyAlignment="0" applyProtection="0"/>
    <xf numFmtId="0" fontId="142" fillId="0" borderId="0"/>
    <xf numFmtId="9" fontId="142" fillId="0" borderId="0" applyFont="0" applyFill="0" applyBorder="0" applyAlignment="0" applyProtection="0"/>
    <xf numFmtId="0" fontId="142" fillId="0" borderId="0"/>
    <xf numFmtId="9" fontId="142" fillId="0" borderId="0" applyFont="0" applyFill="0" applyBorder="0" applyAlignment="0" applyProtection="0"/>
    <xf numFmtId="0" fontId="142" fillId="0" borderId="0"/>
    <xf numFmtId="9" fontId="142" fillId="0" borderId="0" applyFont="0" applyFill="0" applyBorder="0" applyAlignment="0" applyProtection="0"/>
    <xf numFmtId="0" fontId="142" fillId="0" borderId="0"/>
    <xf numFmtId="9" fontId="142" fillId="0" borderId="0" applyFont="0" applyFill="0" applyBorder="0" applyAlignment="0" applyProtection="0"/>
    <xf numFmtId="0" fontId="142" fillId="0" borderId="0"/>
    <xf numFmtId="9" fontId="142" fillId="0" borderId="0" applyFont="0" applyFill="0" applyBorder="0" applyAlignment="0" applyProtection="0"/>
    <xf numFmtId="9" fontId="248" fillId="0" borderId="0" applyFont="0" applyFill="0" applyBorder="0" applyAlignment="0" applyProtection="0"/>
    <xf numFmtId="0" fontId="141" fillId="0" borderId="0"/>
    <xf numFmtId="9" fontId="141" fillId="0" borderId="0" applyFont="0" applyFill="0" applyBorder="0" applyAlignment="0" applyProtection="0"/>
    <xf numFmtId="0" fontId="141" fillId="0" borderId="0"/>
    <xf numFmtId="9" fontId="141" fillId="0" borderId="0" applyFont="0" applyFill="0" applyBorder="0" applyAlignment="0" applyProtection="0"/>
    <xf numFmtId="0" fontId="141" fillId="0" borderId="0"/>
    <xf numFmtId="9" fontId="141" fillId="0" borderId="0" applyFont="0" applyFill="0" applyBorder="0" applyAlignment="0" applyProtection="0"/>
    <xf numFmtId="0" fontId="141" fillId="0" borderId="0"/>
    <xf numFmtId="9" fontId="141" fillId="0" borderId="0" applyFont="0" applyFill="0" applyBorder="0" applyAlignment="0" applyProtection="0"/>
    <xf numFmtId="0" fontId="141" fillId="0" borderId="0"/>
    <xf numFmtId="9" fontId="141" fillId="0" borderId="0" applyFont="0" applyFill="0" applyBorder="0" applyAlignment="0" applyProtection="0"/>
    <xf numFmtId="0" fontId="141" fillId="0" borderId="0"/>
    <xf numFmtId="9" fontId="141" fillId="0" borderId="0" applyFont="0" applyFill="0" applyBorder="0" applyAlignment="0" applyProtection="0"/>
    <xf numFmtId="0" fontId="141" fillId="0" borderId="0"/>
    <xf numFmtId="9" fontId="141" fillId="0" borderId="0" applyFont="0" applyFill="0" applyBorder="0" applyAlignment="0" applyProtection="0"/>
    <xf numFmtId="0" fontId="141" fillId="0" borderId="0"/>
    <xf numFmtId="9" fontId="141" fillId="0" borderId="0" applyFont="0" applyFill="0" applyBorder="0" applyAlignment="0" applyProtection="0"/>
    <xf numFmtId="0" fontId="141" fillId="0" borderId="0"/>
    <xf numFmtId="9" fontId="141" fillId="0" borderId="0" applyFont="0" applyFill="0" applyBorder="0" applyAlignment="0" applyProtection="0"/>
    <xf numFmtId="0" fontId="141" fillId="0" borderId="0"/>
    <xf numFmtId="9" fontId="141" fillId="0" borderId="0" applyFont="0" applyFill="0" applyBorder="0" applyAlignment="0" applyProtection="0"/>
    <xf numFmtId="0" fontId="141" fillId="0" borderId="0"/>
    <xf numFmtId="9" fontId="141" fillId="0" borderId="0" applyFont="0" applyFill="0" applyBorder="0" applyAlignment="0" applyProtection="0"/>
    <xf numFmtId="0" fontId="141" fillId="0" borderId="0"/>
    <xf numFmtId="9" fontId="141" fillId="0" borderId="0" applyFont="0" applyFill="0" applyBorder="0" applyAlignment="0" applyProtection="0"/>
    <xf numFmtId="0" fontId="141" fillId="0" borderId="0"/>
    <xf numFmtId="9" fontId="141" fillId="0" borderId="0" applyFont="0" applyFill="0" applyBorder="0" applyAlignment="0" applyProtection="0"/>
    <xf numFmtId="0" fontId="140" fillId="0" borderId="0"/>
    <xf numFmtId="9" fontId="140" fillId="0" borderId="0" applyFont="0" applyFill="0" applyBorder="0" applyAlignment="0" applyProtection="0"/>
    <xf numFmtId="0" fontId="140" fillId="0" borderId="0"/>
    <xf numFmtId="9" fontId="140" fillId="0" borderId="0" applyFont="0" applyFill="0" applyBorder="0" applyAlignment="0" applyProtection="0"/>
    <xf numFmtId="0" fontId="140" fillId="0" borderId="0"/>
    <xf numFmtId="9" fontId="140" fillId="0" borderId="0" applyFont="0" applyFill="0" applyBorder="0" applyAlignment="0" applyProtection="0"/>
    <xf numFmtId="0" fontId="140" fillId="0" borderId="0"/>
    <xf numFmtId="9" fontId="140" fillId="0" borderId="0" applyFont="0" applyFill="0" applyBorder="0" applyAlignment="0" applyProtection="0"/>
    <xf numFmtId="0" fontId="140" fillId="0" borderId="0"/>
    <xf numFmtId="9" fontId="140" fillId="0" borderId="0" applyFont="0" applyFill="0" applyBorder="0" applyAlignment="0" applyProtection="0"/>
    <xf numFmtId="0" fontId="140" fillId="0" borderId="0"/>
    <xf numFmtId="9" fontId="140" fillId="0" borderId="0" applyFont="0" applyFill="0" applyBorder="0" applyAlignment="0" applyProtection="0"/>
    <xf numFmtId="0" fontId="140" fillId="0" borderId="0"/>
    <xf numFmtId="9" fontId="140" fillId="0" borderId="0" applyFont="0" applyFill="0" applyBorder="0" applyAlignment="0" applyProtection="0"/>
    <xf numFmtId="0" fontId="140" fillId="0" borderId="0"/>
    <xf numFmtId="9" fontId="140" fillId="0" borderId="0" applyFont="0" applyFill="0" applyBorder="0" applyAlignment="0" applyProtection="0"/>
    <xf numFmtId="0" fontId="140" fillId="0" borderId="0"/>
    <xf numFmtId="9" fontId="140" fillId="0" borderId="0" applyFont="0" applyFill="0" applyBorder="0" applyAlignment="0" applyProtection="0"/>
    <xf numFmtId="0" fontId="140" fillId="0" borderId="0"/>
    <xf numFmtId="9" fontId="140" fillId="0" borderId="0" applyFont="0" applyFill="0" applyBorder="0" applyAlignment="0" applyProtection="0"/>
    <xf numFmtId="0" fontId="140" fillId="0" borderId="0"/>
    <xf numFmtId="9" fontId="140" fillId="0" borderId="0" applyFont="0" applyFill="0" applyBorder="0" applyAlignment="0" applyProtection="0"/>
    <xf numFmtId="0" fontId="140" fillId="0" borderId="0"/>
    <xf numFmtId="9" fontId="140" fillId="0" borderId="0" applyFont="0" applyFill="0" applyBorder="0" applyAlignment="0" applyProtection="0"/>
    <xf numFmtId="0" fontId="140" fillId="0" borderId="0"/>
    <xf numFmtId="9" fontId="140" fillId="0" borderId="0" applyFont="0" applyFill="0" applyBorder="0" applyAlignment="0" applyProtection="0"/>
    <xf numFmtId="0" fontId="139" fillId="0" borderId="0"/>
    <xf numFmtId="9" fontId="139" fillId="0" borderId="0" applyFont="0" applyFill="0" applyBorder="0" applyAlignment="0" applyProtection="0"/>
    <xf numFmtId="0" fontId="139" fillId="0" borderId="0"/>
    <xf numFmtId="9" fontId="139" fillId="0" borderId="0" applyFont="0" applyFill="0" applyBorder="0" applyAlignment="0" applyProtection="0"/>
    <xf numFmtId="0" fontId="139" fillId="0" borderId="0"/>
    <xf numFmtId="9" fontId="139" fillId="0" borderId="0" applyFont="0" applyFill="0" applyBorder="0" applyAlignment="0" applyProtection="0"/>
    <xf numFmtId="0" fontId="139" fillId="0" borderId="0"/>
    <xf numFmtId="9" fontId="139" fillId="0" borderId="0" applyFont="0" applyFill="0" applyBorder="0" applyAlignment="0" applyProtection="0"/>
    <xf numFmtId="0" fontId="139" fillId="0" borderId="0"/>
    <xf numFmtId="9" fontId="139" fillId="0" borderId="0" applyFont="0" applyFill="0" applyBorder="0" applyAlignment="0" applyProtection="0"/>
    <xf numFmtId="0" fontId="139" fillId="0" borderId="0"/>
    <xf numFmtId="9" fontId="139" fillId="0" borderId="0" applyFont="0" applyFill="0" applyBorder="0" applyAlignment="0" applyProtection="0"/>
    <xf numFmtId="0" fontId="139" fillId="0" borderId="0"/>
    <xf numFmtId="9" fontId="139" fillId="0" borderId="0" applyFont="0" applyFill="0" applyBorder="0" applyAlignment="0" applyProtection="0"/>
    <xf numFmtId="0" fontId="139" fillId="0" borderId="0"/>
    <xf numFmtId="9" fontId="139" fillId="0" borderId="0" applyFont="0" applyFill="0" applyBorder="0" applyAlignment="0" applyProtection="0"/>
    <xf numFmtId="0" fontId="139" fillId="0" borderId="0"/>
    <xf numFmtId="9" fontId="139" fillId="0" borderId="0" applyFont="0" applyFill="0" applyBorder="0" applyAlignment="0" applyProtection="0"/>
    <xf numFmtId="0" fontId="139" fillId="0" borderId="0"/>
    <xf numFmtId="9" fontId="139" fillId="0" borderId="0" applyFont="0" applyFill="0" applyBorder="0" applyAlignment="0" applyProtection="0"/>
    <xf numFmtId="0" fontId="139" fillId="0" borderId="0"/>
    <xf numFmtId="9" fontId="139" fillId="0" borderId="0" applyFont="0" applyFill="0" applyBorder="0" applyAlignment="0" applyProtection="0"/>
    <xf numFmtId="0" fontId="139" fillId="0" borderId="0"/>
    <xf numFmtId="9" fontId="139" fillId="0" borderId="0" applyFont="0" applyFill="0" applyBorder="0" applyAlignment="0" applyProtection="0"/>
    <xf numFmtId="0" fontId="139" fillId="0" borderId="0"/>
    <xf numFmtId="9" fontId="139" fillId="0" borderId="0" applyFont="0" applyFill="0" applyBorder="0" applyAlignment="0" applyProtection="0"/>
    <xf numFmtId="0" fontId="138" fillId="0" borderId="0"/>
    <xf numFmtId="9" fontId="138" fillId="0" borderId="0" applyFont="0" applyFill="0" applyBorder="0" applyAlignment="0" applyProtection="0"/>
    <xf numFmtId="0" fontId="138" fillId="0" borderId="0"/>
    <xf numFmtId="9" fontId="138" fillId="0" borderId="0" applyFont="0" applyFill="0" applyBorder="0" applyAlignment="0" applyProtection="0"/>
    <xf numFmtId="0" fontId="138" fillId="0" borderId="0"/>
    <xf numFmtId="9" fontId="138" fillId="0" borderId="0" applyFont="0" applyFill="0" applyBorder="0" applyAlignment="0" applyProtection="0"/>
    <xf numFmtId="0" fontId="138" fillId="0" borderId="0"/>
    <xf numFmtId="9" fontId="138" fillId="0" borderId="0" applyFont="0" applyFill="0" applyBorder="0" applyAlignment="0" applyProtection="0"/>
    <xf numFmtId="0" fontId="138" fillId="0" borderId="0"/>
    <xf numFmtId="9" fontId="138" fillId="0" borderId="0" applyFont="0" applyFill="0" applyBorder="0" applyAlignment="0" applyProtection="0"/>
    <xf numFmtId="0" fontId="138" fillId="0" borderId="0"/>
    <xf numFmtId="9" fontId="138" fillId="0" borderId="0" applyFont="0" applyFill="0" applyBorder="0" applyAlignment="0" applyProtection="0"/>
    <xf numFmtId="0" fontId="138" fillId="0" borderId="0"/>
    <xf numFmtId="9" fontId="138" fillId="0" borderId="0" applyFont="0" applyFill="0" applyBorder="0" applyAlignment="0" applyProtection="0"/>
    <xf numFmtId="0" fontId="138" fillId="0" borderId="0"/>
    <xf numFmtId="9" fontId="138" fillId="0" borderId="0" applyFont="0" applyFill="0" applyBorder="0" applyAlignment="0" applyProtection="0"/>
    <xf numFmtId="0" fontId="138" fillId="0" borderId="0"/>
    <xf numFmtId="9" fontId="138" fillId="0" borderId="0" applyFont="0" applyFill="0" applyBorder="0" applyAlignment="0" applyProtection="0"/>
    <xf numFmtId="0" fontId="138" fillId="0" borderId="0"/>
    <xf numFmtId="9" fontId="138" fillId="0" borderId="0" applyFont="0" applyFill="0" applyBorder="0" applyAlignment="0" applyProtection="0"/>
    <xf numFmtId="0" fontId="138" fillId="0" borderId="0"/>
    <xf numFmtId="9" fontId="138" fillId="0" borderId="0" applyFont="0" applyFill="0" applyBorder="0" applyAlignment="0" applyProtection="0"/>
    <xf numFmtId="0" fontId="138" fillId="0" borderId="0"/>
    <xf numFmtId="9" fontId="138" fillId="0" borderId="0" applyFont="0" applyFill="0" applyBorder="0" applyAlignment="0" applyProtection="0"/>
    <xf numFmtId="0" fontId="138" fillId="0" borderId="0"/>
    <xf numFmtId="9" fontId="138" fillId="0" borderId="0" applyFont="0" applyFill="0" applyBorder="0" applyAlignment="0" applyProtection="0"/>
    <xf numFmtId="0" fontId="137" fillId="0" borderId="0"/>
    <xf numFmtId="9" fontId="137" fillId="0" borderId="0" applyFont="0" applyFill="0" applyBorder="0" applyAlignment="0" applyProtection="0"/>
    <xf numFmtId="0" fontId="137" fillId="0" borderId="0"/>
    <xf numFmtId="9" fontId="137" fillId="0" borderId="0" applyFont="0" applyFill="0" applyBorder="0" applyAlignment="0" applyProtection="0"/>
    <xf numFmtId="0" fontId="137" fillId="0" borderId="0"/>
    <xf numFmtId="9" fontId="137" fillId="0" borderId="0" applyFont="0" applyFill="0" applyBorder="0" applyAlignment="0" applyProtection="0"/>
    <xf numFmtId="0" fontId="137" fillId="0" borderId="0"/>
    <xf numFmtId="9" fontId="137" fillId="0" borderId="0" applyFont="0" applyFill="0" applyBorder="0" applyAlignment="0" applyProtection="0"/>
    <xf numFmtId="0" fontId="137" fillId="0" borderId="0"/>
    <xf numFmtId="9" fontId="137" fillId="0" borderId="0" applyFont="0" applyFill="0" applyBorder="0" applyAlignment="0" applyProtection="0"/>
    <xf numFmtId="0" fontId="137" fillId="0" borderId="0"/>
    <xf numFmtId="9" fontId="137" fillId="0" borderId="0" applyFont="0" applyFill="0" applyBorder="0" applyAlignment="0" applyProtection="0"/>
    <xf numFmtId="0" fontId="137" fillId="0" borderId="0"/>
    <xf numFmtId="9" fontId="137" fillId="0" borderId="0" applyFont="0" applyFill="0" applyBorder="0" applyAlignment="0" applyProtection="0"/>
    <xf numFmtId="0" fontId="137" fillId="0" borderId="0"/>
    <xf numFmtId="9" fontId="137" fillId="0" borderId="0" applyFont="0" applyFill="0" applyBorder="0" applyAlignment="0" applyProtection="0"/>
    <xf numFmtId="0" fontId="137" fillId="0" borderId="0"/>
    <xf numFmtId="9" fontId="137" fillId="0" borderId="0" applyFont="0" applyFill="0" applyBorder="0" applyAlignment="0" applyProtection="0"/>
    <xf numFmtId="0" fontId="137" fillId="0" borderId="0"/>
    <xf numFmtId="9" fontId="137" fillId="0" borderId="0" applyFont="0" applyFill="0" applyBorder="0" applyAlignment="0" applyProtection="0"/>
    <xf numFmtId="0" fontId="137" fillId="0" borderId="0"/>
    <xf numFmtId="9" fontId="137" fillId="0" borderId="0" applyFont="0" applyFill="0" applyBorder="0" applyAlignment="0" applyProtection="0"/>
    <xf numFmtId="0" fontId="137" fillId="0" borderId="0"/>
    <xf numFmtId="9" fontId="137" fillId="0" borderId="0" applyFont="0" applyFill="0" applyBorder="0" applyAlignment="0" applyProtection="0"/>
    <xf numFmtId="0" fontId="137" fillId="0" borderId="0"/>
    <xf numFmtId="9" fontId="137" fillId="0" borderId="0" applyFont="0" applyFill="0" applyBorder="0" applyAlignment="0" applyProtection="0"/>
    <xf numFmtId="0" fontId="136" fillId="0" borderId="0"/>
    <xf numFmtId="9" fontId="136" fillId="0" borderId="0" applyFont="0" applyFill="0" applyBorder="0" applyAlignment="0" applyProtection="0"/>
    <xf numFmtId="0" fontId="136" fillId="0" borderId="0"/>
    <xf numFmtId="9" fontId="136" fillId="0" borderId="0" applyFont="0" applyFill="0" applyBorder="0" applyAlignment="0" applyProtection="0"/>
    <xf numFmtId="0" fontId="136" fillId="0" borderId="0"/>
    <xf numFmtId="9" fontId="136" fillId="0" borderId="0" applyFont="0" applyFill="0" applyBorder="0" applyAlignment="0" applyProtection="0"/>
    <xf numFmtId="0" fontId="136" fillId="0" borderId="0"/>
    <xf numFmtId="9" fontId="136" fillId="0" borderId="0" applyFont="0" applyFill="0" applyBorder="0" applyAlignment="0" applyProtection="0"/>
    <xf numFmtId="0" fontId="136" fillId="0" borderId="0"/>
    <xf numFmtId="9" fontId="136" fillId="0" borderId="0" applyFont="0" applyFill="0" applyBorder="0" applyAlignment="0" applyProtection="0"/>
    <xf numFmtId="0" fontId="136" fillId="0" borderId="0"/>
    <xf numFmtId="9" fontId="136" fillId="0" borderId="0" applyFont="0" applyFill="0" applyBorder="0" applyAlignment="0" applyProtection="0"/>
    <xf numFmtId="0" fontId="136" fillId="0" borderId="0"/>
    <xf numFmtId="9" fontId="136" fillId="0" borderId="0" applyFont="0" applyFill="0" applyBorder="0" applyAlignment="0" applyProtection="0"/>
    <xf numFmtId="0" fontId="136" fillId="0" borderId="0"/>
    <xf numFmtId="9" fontId="136" fillId="0" borderId="0" applyFont="0" applyFill="0" applyBorder="0" applyAlignment="0" applyProtection="0"/>
    <xf numFmtId="0" fontId="136" fillId="0" borderId="0"/>
    <xf numFmtId="9" fontId="136" fillId="0" borderId="0" applyFont="0" applyFill="0" applyBorder="0" applyAlignment="0" applyProtection="0"/>
    <xf numFmtId="0" fontId="136" fillId="0" borderId="0"/>
    <xf numFmtId="9" fontId="136" fillId="0" borderId="0" applyFont="0" applyFill="0" applyBorder="0" applyAlignment="0" applyProtection="0"/>
    <xf numFmtId="0" fontId="136" fillId="0" borderId="0"/>
    <xf numFmtId="9" fontId="136" fillId="0" borderId="0" applyFont="0" applyFill="0" applyBorder="0" applyAlignment="0" applyProtection="0"/>
    <xf numFmtId="0" fontId="136" fillId="0" borderId="0"/>
    <xf numFmtId="9" fontId="136" fillId="0" borderId="0" applyFont="0" applyFill="0" applyBorder="0" applyAlignment="0" applyProtection="0"/>
    <xf numFmtId="0" fontId="136" fillId="0" borderId="0"/>
    <xf numFmtId="9" fontId="136" fillId="0" borderId="0" applyFont="0" applyFill="0" applyBorder="0" applyAlignment="0" applyProtection="0"/>
    <xf numFmtId="0" fontId="135" fillId="0" borderId="0"/>
    <xf numFmtId="9" fontId="135" fillId="0" borderId="0" applyFont="0" applyFill="0" applyBorder="0" applyAlignment="0" applyProtection="0"/>
    <xf numFmtId="0" fontId="135" fillId="0" borderId="0"/>
    <xf numFmtId="9" fontId="135" fillId="0" borderId="0" applyFont="0" applyFill="0" applyBorder="0" applyAlignment="0" applyProtection="0"/>
    <xf numFmtId="0" fontId="135" fillId="0" borderId="0"/>
    <xf numFmtId="9" fontId="135" fillId="0" borderId="0" applyFont="0" applyFill="0" applyBorder="0" applyAlignment="0" applyProtection="0"/>
    <xf numFmtId="0" fontId="135" fillId="0" borderId="0"/>
    <xf numFmtId="9" fontId="135" fillId="0" borderId="0" applyFont="0" applyFill="0" applyBorder="0" applyAlignment="0" applyProtection="0"/>
    <xf numFmtId="0" fontId="135" fillId="0" borderId="0"/>
    <xf numFmtId="9" fontId="135" fillId="0" borderId="0" applyFont="0" applyFill="0" applyBorder="0" applyAlignment="0" applyProtection="0"/>
    <xf numFmtId="0" fontId="135" fillId="0" borderId="0"/>
    <xf numFmtId="9" fontId="135" fillId="0" borderId="0" applyFont="0" applyFill="0" applyBorder="0" applyAlignment="0" applyProtection="0"/>
    <xf numFmtId="0" fontId="135" fillId="0" borderId="0"/>
    <xf numFmtId="9" fontId="135" fillId="0" borderId="0" applyFont="0" applyFill="0" applyBorder="0" applyAlignment="0" applyProtection="0"/>
    <xf numFmtId="0" fontId="135" fillId="0" borderId="0"/>
    <xf numFmtId="9" fontId="135" fillId="0" borderId="0" applyFont="0" applyFill="0" applyBorder="0" applyAlignment="0" applyProtection="0"/>
    <xf numFmtId="0" fontId="135" fillId="0" borderId="0"/>
    <xf numFmtId="9" fontId="135" fillId="0" borderId="0" applyFont="0" applyFill="0" applyBorder="0" applyAlignment="0" applyProtection="0"/>
    <xf numFmtId="0" fontId="135" fillId="0" borderId="0"/>
    <xf numFmtId="9" fontId="135" fillId="0" borderId="0" applyFont="0" applyFill="0" applyBorder="0" applyAlignment="0" applyProtection="0"/>
    <xf numFmtId="0" fontId="135" fillId="0" borderId="0"/>
    <xf numFmtId="9" fontId="135" fillId="0" borderId="0" applyFont="0" applyFill="0" applyBorder="0" applyAlignment="0" applyProtection="0"/>
    <xf numFmtId="0" fontId="135" fillId="0" borderId="0"/>
    <xf numFmtId="9" fontId="135" fillId="0" borderId="0" applyFont="0" applyFill="0" applyBorder="0" applyAlignment="0" applyProtection="0"/>
    <xf numFmtId="0" fontId="135" fillId="0" borderId="0"/>
    <xf numFmtId="9" fontId="135" fillId="0" borderId="0" applyFont="0" applyFill="0" applyBorder="0" applyAlignment="0" applyProtection="0"/>
    <xf numFmtId="0" fontId="134" fillId="0" borderId="0"/>
    <xf numFmtId="9" fontId="134" fillId="0" borderId="0" applyFont="0" applyFill="0" applyBorder="0" applyAlignment="0" applyProtection="0"/>
    <xf numFmtId="0" fontId="134" fillId="0" borderId="0"/>
    <xf numFmtId="9" fontId="134" fillId="0" borderId="0" applyFont="0" applyFill="0" applyBorder="0" applyAlignment="0" applyProtection="0"/>
    <xf numFmtId="0" fontId="134" fillId="0" borderId="0"/>
    <xf numFmtId="9" fontId="134" fillId="0" borderId="0" applyFont="0" applyFill="0" applyBorder="0" applyAlignment="0" applyProtection="0"/>
    <xf numFmtId="0" fontId="134" fillId="0" borderId="0"/>
    <xf numFmtId="9" fontId="134" fillId="0" borderId="0" applyFont="0" applyFill="0" applyBorder="0" applyAlignment="0" applyProtection="0"/>
    <xf numFmtId="0" fontId="134" fillId="0" borderId="0"/>
    <xf numFmtId="9" fontId="134" fillId="0" borderId="0" applyFont="0" applyFill="0" applyBorder="0" applyAlignment="0" applyProtection="0"/>
    <xf numFmtId="0" fontId="134" fillId="0" borderId="0"/>
    <xf numFmtId="9" fontId="134" fillId="0" borderId="0" applyFont="0" applyFill="0" applyBorder="0" applyAlignment="0" applyProtection="0"/>
    <xf numFmtId="0" fontId="134" fillId="0" borderId="0"/>
    <xf numFmtId="9" fontId="134" fillId="0" borderId="0" applyFont="0" applyFill="0" applyBorder="0" applyAlignment="0" applyProtection="0"/>
    <xf numFmtId="0" fontId="134" fillId="0" borderId="0"/>
    <xf numFmtId="9" fontId="134" fillId="0" borderId="0" applyFont="0" applyFill="0" applyBorder="0" applyAlignment="0" applyProtection="0"/>
    <xf numFmtId="0" fontId="134" fillId="0" borderId="0"/>
    <xf numFmtId="9" fontId="134" fillId="0" borderId="0" applyFont="0" applyFill="0" applyBorder="0" applyAlignment="0" applyProtection="0"/>
    <xf numFmtId="0" fontId="134" fillId="0" borderId="0"/>
    <xf numFmtId="9" fontId="134" fillId="0" borderId="0" applyFont="0" applyFill="0" applyBorder="0" applyAlignment="0" applyProtection="0"/>
    <xf numFmtId="0" fontId="134" fillId="0" borderId="0"/>
    <xf numFmtId="9" fontId="134" fillId="0" borderId="0" applyFont="0" applyFill="0" applyBorder="0" applyAlignment="0" applyProtection="0"/>
    <xf numFmtId="0" fontId="134" fillId="0" borderId="0"/>
    <xf numFmtId="9" fontId="134" fillId="0" borderId="0" applyFont="0" applyFill="0" applyBorder="0" applyAlignment="0" applyProtection="0"/>
    <xf numFmtId="0" fontId="134" fillId="0" borderId="0"/>
    <xf numFmtId="9" fontId="134" fillId="0" borderId="0" applyFont="0" applyFill="0" applyBorder="0" applyAlignment="0" applyProtection="0"/>
    <xf numFmtId="0" fontId="133" fillId="0" borderId="0"/>
    <xf numFmtId="9" fontId="133" fillId="0" borderId="0" applyFont="0" applyFill="0" applyBorder="0" applyAlignment="0" applyProtection="0"/>
    <xf numFmtId="0" fontId="133" fillId="0" borderId="0"/>
    <xf numFmtId="9" fontId="133" fillId="0" borderId="0" applyFont="0" applyFill="0" applyBorder="0" applyAlignment="0" applyProtection="0"/>
    <xf numFmtId="0" fontId="133" fillId="0" borderId="0"/>
    <xf numFmtId="9" fontId="133" fillId="0" borderId="0" applyFont="0" applyFill="0" applyBorder="0" applyAlignment="0" applyProtection="0"/>
    <xf numFmtId="0" fontId="133" fillId="0" borderId="0"/>
    <xf numFmtId="9" fontId="133" fillId="0" borderId="0" applyFont="0" applyFill="0" applyBorder="0" applyAlignment="0" applyProtection="0"/>
    <xf numFmtId="0" fontId="133" fillId="0" borderId="0"/>
    <xf numFmtId="9" fontId="133" fillId="0" borderId="0" applyFont="0" applyFill="0" applyBorder="0" applyAlignment="0" applyProtection="0"/>
    <xf numFmtId="0" fontId="133" fillId="0" borderId="0"/>
    <xf numFmtId="9" fontId="133" fillId="0" borderId="0" applyFont="0" applyFill="0" applyBorder="0" applyAlignment="0" applyProtection="0"/>
    <xf numFmtId="0" fontId="133" fillId="0" borderId="0"/>
    <xf numFmtId="9" fontId="133" fillId="0" borderId="0" applyFont="0" applyFill="0" applyBorder="0" applyAlignment="0" applyProtection="0"/>
    <xf numFmtId="0" fontId="133" fillId="0" borderId="0"/>
    <xf numFmtId="9" fontId="133" fillId="0" borderId="0" applyFont="0" applyFill="0" applyBorder="0" applyAlignment="0" applyProtection="0"/>
    <xf numFmtId="0" fontId="133" fillId="0" borderId="0"/>
    <xf numFmtId="9" fontId="133" fillId="0" borderId="0" applyFont="0" applyFill="0" applyBorder="0" applyAlignment="0" applyProtection="0"/>
    <xf numFmtId="0" fontId="133" fillId="0" borderId="0"/>
    <xf numFmtId="9" fontId="133" fillId="0" borderId="0" applyFont="0" applyFill="0" applyBorder="0" applyAlignment="0" applyProtection="0"/>
    <xf numFmtId="0" fontId="133" fillId="0" borderId="0"/>
    <xf numFmtId="9" fontId="133" fillId="0" borderId="0" applyFont="0" applyFill="0" applyBorder="0" applyAlignment="0" applyProtection="0"/>
    <xf numFmtId="0" fontId="133" fillId="0" borderId="0"/>
    <xf numFmtId="9" fontId="133" fillId="0" borderId="0" applyFont="0" applyFill="0" applyBorder="0" applyAlignment="0" applyProtection="0"/>
    <xf numFmtId="0" fontId="133" fillId="0" borderId="0"/>
    <xf numFmtId="9" fontId="133" fillId="0" borderId="0" applyFont="0" applyFill="0" applyBorder="0" applyAlignment="0" applyProtection="0"/>
    <xf numFmtId="0" fontId="132" fillId="0" borderId="0"/>
    <xf numFmtId="9" fontId="132" fillId="0" borderId="0" applyFont="0" applyFill="0" applyBorder="0" applyAlignment="0" applyProtection="0"/>
    <xf numFmtId="0" fontId="132" fillId="0" borderId="0"/>
    <xf numFmtId="9" fontId="132" fillId="0" borderId="0" applyFont="0" applyFill="0" applyBorder="0" applyAlignment="0" applyProtection="0"/>
    <xf numFmtId="0" fontId="132" fillId="0" borderId="0"/>
    <xf numFmtId="9" fontId="132" fillId="0" borderId="0" applyFont="0" applyFill="0" applyBorder="0" applyAlignment="0" applyProtection="0"/>
    <xf numFmtId="0" fontId="132" fillId="0" borderId="0"/>
    <xf numFmtId="9" fontId="132" fillId="0" borderId="0" applyFont="0" applyFill="0" applyBorder="0" applyAlignment="0" applyProtection="0"/>
    <xf numFmtId="0" fontId="132" fillId="0" borderId="0"/>
    <xf numFmtId="9" fontId="132" fillId="0" borderId="0" applyFont="0" applyFill="0" applyBorder="0" applyAlignment="0" applyProtection="0"/>
    <xf numFmtId="0" fontId="132" fillId="0" borderId="0"/>
    <xf numFmtId="9" fontId="132" fillId="0" borderId="0" applyFont="0" applyFill="0" applyBorder="0" applyAlignment="0" applyProtection="0"/>
    <xf numFmtId="0" fontId="132" fillId="0" borderId="0"/>
    <xf numFmtId="9" fontId="132" fillId="0" borderId="0" applyFont="0" applyFill="0" applyBorder="0" applyAlignment="0" applyProtection="0"/>
    <xf numFmtId="0" fontId="132" fillId="0" borderId="0"/>
    <xf numFmtId="9" fontId="132" fillId="0" borderId="0" applyFont="0" applyFill="0" applyBorder="0" applyAlignment="0" applyProtection="0"/>
    <xf numFmtId="0" fontId="132" fillId="0" borderId="0"/>
    <xf numFmtId="9" fontId="132" fillId="0" borderId="0" applyFont="0" applyFill="0" applyBorder="0" applyAlignment="0" applyProtection="0"/>
    <xf numFmtId="0" fontId="132" fillId="0" borderId="0"/>
    <xf numFmtId="9" fontId="132" fillId="0" borderId="0" applyFont="0" applyFill="0" applyBorder="0" applyAlignment="0" applyProtection="0"/>
    <xf numFmtId="0" fontId="132" fillId="0" borderId="0"/>
    <xf numFmtId="9" fontId="132" fillId="0" borderId="0" applyFont="0" applyFill="0" applyBorder="0" applyAlignment="0" applyProtection="0"/>
    <xf numFmtId="0" fontId="132" fillId="0" borderId="0"/>
    <xf numFmtId="9" fontId="132" fillId="0" borderId="0" applyFont="0" applyFill="0" applyBorder="0" applyAlignment="0" applyProtection="0"/>
    <xf numFmtId="0" fontId="132" fillId="0" borderId="0"/>
    <xf numFmtId="9" fontId="132" fillId="0" borderId="0" applyFont="0" applyFill="0" applyBorder="0" applyAlignment="0" applyProtection="0"/>
    <xf numFmtId="0" fontId="131" fillId="0" borderId="0"/>
    <xf numFmtId="9" fontId="131" fillId="0" borderId="0" applyFont="0" applyFill="0" applyBorder="0" applyAlignment="0" applyProtection="0"/>
    <xf numFmtId="0" fontId="131" fillId="0" borderId="0"/>
    <xf numFmtId="9" fontId="131" fillId="0" borderId="0" applyFont="0" applyFill="0" applyBorder="0" applyAlignment="0" applyProtection="0"/>
    <xf numFmtId="0" fontId="131" fillId="0" borderId="0"/>
    <xf numFmtId="9" fontId="131" fillId="0" borderId="0" applyFont="0" applyFill="0" applyBorder="0" applyAlignment="0" applyProtection="0"/>
    <xf numFmtId="0" fontId="131" fillId="0" borderId="0"/>
    <xf numFmtId="9" fontId="131" fillId="0" borderId="0" applyFont="0" applyFill="0" applyBorder="0" applyAlignment="0" applyProtection="0"/>
    <xf numFmtId="0" fontId="131" fillId="0" borderId="0"/>
    <xf numFmtId="9" fontId="131" fillId="0" borderId="0" applyFont="0" applyFill="0" applyBorder="0" applyAlignment="0" applyProtection="0"/>
    <xf numFmtId="0" fontId="131" fillId="0" borderId="0"/>
    <xf numFmtId="9" fontId="131" fillId="0" borderId="0" applyFont="0" applyFill="0" applyBorder="0" applyAlignment="0" applyProtection="0"/>
    <xf numFmtId="0" fontId="131" fillId="0" borderId="0"/>
    <xf numFmtId="9" fontId="131" fillId="0" borderId="0" applyFont="0" applyFill="0" applyBorder="0" applyAlignment="0" applyProtection="0"/>
    <xf numFmtId="0" fontId="131" fillId="0" borderId="0"/>
    <xf numFmtId="9" fontId="131" fillId="0" borderId="0" applyFont="0" applyFill="0" applyBorder="0" applyAlignment="0" applyProtection="0"/>
    <xf numFmtId="0" fontId="131" fillId="0" borderId="0"/>
    <xf numFmtId="9" fontId="131" fillId="0" borderId="0" applyFont="0" applyFill="0" applyBorder="0" applyAlignment="0" applyProtection="0"/>
    <xf numFmtId="0" fontId="131" fillId="0" borderId="0"/>
    <xf numFmtId="9" fontId="131" fillId="0" borderId="0" applyFont="0" applyFill="0" applyBorder="0" applyAlignment="0" applyProtection="0"/>
    <xf numFmtId="0" fontId="131" fillId="0" borderId="0"/>
    <xf numFmtId="9" fontId="131" fillId="0" borderId="0" applyFont="0" applyFill="0" applyBorder="0" applyAlignment="0" applyProtection="0"/>
    <xf numFmtId="0" fontId="131" fillId="0" borderId="0"/>
    <xf numFmtId="9" fontId="131" fillId="0" borderId="0" applyFont="0" applyFill="0" applyBorder="0" applyAlignment="0" applyProtection="0"/>
    <xf numFmtId="0" fontId="131" fillId="0" borderId="0"/>
    <xf numFmtId="9" fontId="131" fillId="0" borderId="0" applyFont="0" applyFill="0" applyBorder="0" applyAlignment="0" applyProtection="0"/>
    <xf numFmtId="0" fontId="130" fillId="0" borderId="0"/>
    <xf numFmtId="9" fontId="130" fillId="0" borderId="0" applyFont="0" applyFill="0" applyBorder="0" applyAlignment="0" applyProtection="0"/>
    <xf numFmtId="0" fontId="130" fillId="0" borderId="0"/>
    <xf numFmtId="9" fontId="130" fillId="0" borderId="0" applyFont="0" applyFill="0" applyBorder="0" applyAlignment="0" applyProtection="0"/>
    <xf numFmtId="0" fontId="130" fillId="0" borderId="0"/>
    <xf numFmtId="9" fontId="130" fillId="0" borderId="0" applyFont="0" applyFill="0" applyBorder="0" applyAlignment="0" applyProtection="0"/>
    <xf numFmtId="0" fontId="130" fillId="0" borderId="0"/>
    <xf numFmtId="9" fontId="130" fillId="0" borderId="0" applyFont="0" applyFill="0" applyBorder="0" applyAlignment="0" applyProtection="0"/>
    <xf numFmtId="0" fontId="130" fillId="0" borderId="0"/>
    <xf numFmtId="9" fontId="130" fillId="0" borderId="0" applyFont="0" applyFill="0" applyBorder="0" applyAlignment="0" applyProtection="0"/>
    <xf numFmtId="0" fontId="130" fillId="0" borderId="0"/>
    <xf numFmtId="9" fontId="130" fillId="0" borderId="0" applyFont="0" applyFill="0" applyBorder="0" applyAlignment="0" applyProtection="0"/>
    <xf numFmtId="0" fontId="130" fillId="0" borderId="0"/>
    <xf numFmtId="9" fontId="130" fillId="0" borderId="0" applyFont="0" applyFill="0" applyBorder="0" applyAlignment="0" applyProtection="0"/>
    <xf numFmtId="0" fontId="130" fillId="0" borderId="0"/>
    <xf numFmtId="9" fontId="130" fillId="0" borderId="0" applyFont="0" applyFill="0" applyBorder="0" applyAlignment="0" applyProtection="0"/>
    <xf numFmtId="0" fontId="130" fillId="0" borderId="0"/>
    <xf numFmtId="9" fontId="130" fillId="0" borderId="0" applyFont="0" applyFill="0" applyBorder="0" applyAlignment="0" applyProtection="0"/>
    <xf numFmtId="0" fontId="130" fillId="0" borderId="0"/>
    <xf numFmtId="9" fontId="130" fillId="0" borderId="0" applyFont="0" applyFill="0" applyBorder="0" applyAlignment="0" applyProtection="0"/>
    <xf numFmtId="0" fontId="130" fillId="0" borderId="0"/>
    <xf numFmtId="9" fontId="130" fillId="0" borderId="0" applyFont="0" applyFill="0" applyBorder="0" applyAlignment="0" applyProtection="0"/>
    <xf numFmtId="0" fontId="130" fillId="0" borderId="0"/>
    <xf numFmtId="9" fontId="130" fillId="0" borderId="0" applyFont="0" applyFill="0" applyBorder="0" applyAlignment="0" applyProtection="0"/>
    <xf numFmtId="0" fontId="130" fillId="0" borderId="0"/>
    <xf numFmtId="9" fontId="130" fillId="0" borderId="0" applyFont="0" applyFill="0" applyBorder="0" applyAlignment="0" applyProtection="0"/>
    <xf numFmtId="0" fontId="129" fillId="0" borderId="0"/>
    <xf numFmtId="9" fontId="129" fillId="0" borderId="0" applyFont="0" applyFill="0" applyBorder="0" applyAlignment="0" applyProtection="0"/>
    <xf numFmtId="0" fontId="129" fillId="0" borderId="0"/>
    <xf numFmtId="9" fontId="129" fillId="0" borderId="0" applyFont="0" applyFill="0" applyBorder="0" applyAlignment="0" applyProtection="0"/>
    <xf numFmtId="0" fontId="129" fillId="0" borderId="0"/>
    <xf numFmtId="9" fontId="129" fillId="0" borderId="0" applyFont="0" applyFill="0" applyBorder="0" applyAlignment="0" applyProtection="0"/>
    <xf numFmtId="0" fontId="129" fillId="0" borderId="0"/>
    <xf numFmtId="9" fontId="129" fillId="0" borderId="0" applyFont="0" applyFill="0" applyBorder="0" applyAlignment="0" applyProtection="0"/>
    <xf numFmtId="0" fontId="129" fillId="0" borderId="0"/>
    <xf numFmtId="9" fontId="129" fillId="0" borderId="0" applyFont="0" applyFill="0" applyBorder="0" applyAlignment="0" applyProtection="0"/>
    <xf numFmtId="0" fontId="129" fillId="0" borderId="0"/>
    <xf numFmtId="9" fontId="129" fillId="0" borderId="0" applyFont="0" applyFill="0" applyBorder="0" applyAlignment="0" applyProtection="0"/>
    <xf numFmtId="0" fontId="129" fillId="0" borderId="0"/>
    <xf numFmtId="9" fontId="129" fillId="0" borderId="0" applyFont="0" applyFill="0" applyBorder="0" applyAlignment="0" applyProtection="0"/>
    <xf numFmtId="0" fontId="129" fillId="0" borderId="0"/>
    <xf numFmtId="9" fontId="129" fillId="0" borderId="0" applyFont="0" applyFill="0" applyBorder="0" applyAlignment="0" applyProtection="0"/>
    <xf numFmtId="0" fontId="129" fillId="0" borderId="0"/>
    <xf numFmtId="9" fontId="129" fillId="0" borderId="0" applyFont="0" applyFill="0" applyBorder="0" applyAlignment="0" applyProtection="0"/>
    <xf numFmtId="0" fontId="129" fillId="0" borderId="0"/>
    <xf numFmtId="9" fontId="129" fillId="0" borderId="0" applyFont="0" applyFill="0" applyBorder="0" applyAlignment="0" applyProtection="0"/>
    <xf numFmtId="0" fontId="129" fillId="0" borderId="0"/>
    <xf numFmtId="9" fontId="129" fillId="0" borderId="0" applyFont="0" applyFill="0" applyBorder="0" applyAlignment="0" applyProtection="0"/>
    <xf numFmtId="0" fontId="129" fillId="0" borderId="0"/>
    <xf numFmtId="9" fontId="129" fillId="0" borderId="0" applyFont="0" applyFill="0" applyBorder="0" applyAlignment="0" applyProtection="0"/>
    <xf numFmtId="0" fontId="129" fillId="0" borderId="0"/>
    <xf numFmtId="9" fontId="129" fillId="0" borderId="0" applyFont="0" applyFill="0" applyBorder="0" applyAlignment="0" applyProtection="0"/>
    <xf numFmtId="0" fontId="128" fillId="0" borderId="0"/>
    <xf numFmtId="9" fontId="128" fillId="0" borderId="0" applyFont="0" applyFill="0" applyBorder="0" applyAlignment="0" applyProtection="0"/>
    <xf numFmtId="0" fontId="128" fillId="0" borderId="0"/>
    <xf numFmtId="9" fontId="128" fillId="0" borderId="0" applyFont="0" applyFill="0" applyBorder="0" applyAlignment="0" applyProtection="0"/>
    <xf numFmtId="0" fontId="128" fillId="0" borderId="0"/>
    <xf numFmtId="9" fontId="128" fillId="0" borderId="0" applyFont="0" applyFill="0" applyBorder="0" applyAlignment="0" applyProtection="0"/>
    <xf numFmtId="0" fontId="128" fillId="0" borderId="0"/>
    <xf numFmtId="9" fontId="128" fillId="0" borderId="0" applyFont="0" applyFill="0" applyBorder="0" applyAlignment="0" applyProtection="0"/>
    <xf numFmtId="0" fontId="128" fillId="0" borderId="0"/>
    <xf numFmtId="9" fontId="128" fillId="0" borderId="0" applyFont="0" applyFill="0" applyBorder="0" applyAlignment="0" applyProtection="0"/>
    <xf numFmtId="0" fontId="128" fillId="0" borderId="0"/>
    <xf numFmtId="9" fontId="128" fillId="0" borderId="0" applyFont="0" applyFill="0" applyBorder="0" applyAlignment="0" applyProtection="0"/>
    <xf numFmtId="0" fontId="128" fillId="0" borderId="0"/>
    <xf numFmtId="9" fontId="128" fillId="0" borderId="0" applyFont="0" applyFill="0" applyBorder="0" applyAlignment="0" applyProtection="0"/>
    <xf numFmtId="0" fontId="128" fillId="0" borderId="0"/>
    <xf numFmtId="9" fontId="128" fillId="0" borderId="0" applyFont="0" applyFill="0" applyBorder="0" applyAlignment="0" applyProtection="0"/>
    <xf numFmtId="0" fontId="128" fillId="0" borderId="0"/>
    <xf numFmtId="9" fontId="128" fillId="0" borderId="0" applyFont="0" applyFill="0" applyBorder="0" applyAlignment="0" applyProtection="0"/>
    <xf numFmtId="0" fontId="128" fillId="0" borderId="0"/>
    <xf numFmtId="9" fontId="128" fillId="0" borderId="0" applyFont="0" applyFill="0" applyBorder="0" applyAlignment="0" applyProtection="0"/>
    <xf numFmtId="0" fontId="128" fillId="0" borderId="0"/>
    <xf numFmtId="9" fontId="128" fillId="0" borderId="0" applyFont="0" applyFill="0" applyBorder="0" applyAlignment="0" applyProtection="0"/>
    <xf numFmtId="0" fontId="128" fillId="0" borderId="0"/>
    <xf numFmtId="9" fontId="128" fillId="0" borderId="0" applyFont="0" applyFill="0" applyBorder="0" applyAlignment="0" applyProtection="0"/>
    <xf numFmtId="0" fontId="128" fillId="0" borderId="0"/>
    <xf numFmtId="9" fontId="128" fillId="0" borderId="0" applyFont="0" applyFill="0" applyBorder="0" applyAlignment="0" applyProtection="0"/>
    <xf numFmtId="0" fontId="127" fillId="0" borderId="0"/>
    <xf numFmtId="9" fontId="127" fillId="0" borderId="0" applyFont="0" applyFill="0" applyBorder="0" applyAlignment="0" applyProtection="0"/>
    <xf numFmtId="0" fontId="127" fillId="0" borderId="0"/>
    <xf numFmtId="9" fontId="127" fillId="0" borderId="0" applyFont="0" applyFill="0" applyBorder="0" applyAlignment="0" applyProtection="0"/>
    <xf numFmtId="0" fontId="127" fillId="0" borderId="0"/>
    <xf numFmtId="9" fontId="127" fillId="0" borderId="0" applyFont="0" applyFill="0" applyBorder="0" applyAlignment="0" applyProtection="0"/>
    <xf numFmtId="0" fontId="127" fillId="0" borderId="0"/>
    <xf numFmtId="9" fontId="127" fillId="0" borderId="0" applyFont="0" applyFill="0" applyBorder="0" applyAlignment="0" applyProtection="0"/>
    <xf numFmtId="0" fontId="127" fillId="0" borderId="0"/>
    <xf numFmtId="9" fontId="127" fillId="0" borderId="0" applyFont="0" applyFill="0" applyBorder="0" applyAlignment="0" applyProtection="0"/>
    <xf numFmtId="0" fontId="127" fillId="0" borderId="0"/>
    <xf numFmtId="9" fontId="127" fillId="0" borderId="0" applyFont="0" applyFill="0" applyBorder="0" applyAlignment="0" applyProtection="0"/>
    <xf numFmtId="0" fontId="127" fillId="0" borderId="0"/>
    <xf numFmtId="9" fontId="127" fillId="0" borderId="0" applyFont="0" applyFill="0" applyBorder="0" applyAlignment="0" applyProtection="0"/>
    <xf numFmtId="0" fontId="127" fillId="0" borderId="0"/>
    <xf numFmtId="9" fontId="127" fillId="0" borderId="0" applyFont="0" applyFill="0" applyBorder="0" applyAlignment="0" applyProtection="0"/>
    <xf numFmtId="0" fontId="127" fillId="0" borderId="0"/>
    <xf numFmtId="9" fontId="127" fillId="0" borderId="0" applyFont="0" applyFill="0" applyBorder="0" applyAlignment="0" applyProtection="0"/>
    <xf numFmtId="0" fontId="127" fillId="0" borderId="0"/>
    <xf numFmtId="9" fontId="127" fillId="0" borderId="0" applyFont="0" applyFill="0" applyBorder="0" applyAlignment="0" applyProtection="0"/>
    <xf numFmtId="0" fontId="127" fillId="0" borderId="0"/>
    <xf numFmtId="9" fontId="127" fillId="0" borderId="0" applyFont="0" applyFill="0" applyBorder="0" applyAlignment="0" applyProtection="0"/>
    <xf numFmtId="0" fontId="127" fillId="0" borderId="0"/>
    <xf numFmtId="9" fontId="127" fillId="0" borderId="0" applyFont="0" applyFill="0" applyBorder="0" applyAlignment="0" applyProtection="0"/>
    <xf numFmtId="0" fontId="127" fillId="0" borderId="0"/>
    <xf numFmtId="9" fontId="127" fillId="0" borderId="0" applyFont="0" applyFill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125" fillId="0" borderId="0"/>
    <xf numFmtId="9" fontId="125" fillId="0" borderId="0" applyFont="0" applyFill="0" applyBorder="0" applyAlignment="0" applyProtection="0"/>
    <xf numFmtId="0" fontId="125" fillId="0" borderId="0"/>
    <xf numFmtId="9" fontId="125" fillId="0" borderId="0" applyFont="0" applyFill="0" applyBorder="0" applyAlignment="0" applyProtection="0"/>
    <xf numFmtId="0" fontId="125" fillId="0" borderId="0"/>
    <xf numFmtId="9" fontId="125" fillId="0" borderId="0" applyFont="0" applyFill="0" applyBorder="0" applyAlignment="0" applyProtection="0"/>
    <xf numFmtId="0" fontId="125" fillId="0" borderId="0"/>
    <xf numFmtId="9" fontId="125" fillId="0" borderId="0" applyFont="0" applyFill="0" applyBorder="0" applyAlignment="0" applyProtection="0"/>
    <xf numFmtId="0" fontId="125" fillId="0" borderId="0"/>
    <xf numFmtId="9" fontId="125" fillId="0" borderId="0" applyFont="0" applyFill="0" applyBorder="0" applyAlignment="0" applyProtection="0"/>
    <xf numFmtId="0" fontId="125" fillId="0" borderId="0"/>
    <xf numFmtId="9" fontId="125" fillId="0" borderId="0" applyFont="0" applyFill="0" applyBorder="0" applyAlignment="0" applyProtection="0"/>
    <xf numFmtId="0" fontId="125" fillId="0" borderId="0"/>
    <xf numFmtId="9" fontId="125" fillId="0" borderId="0" applyFont="0" applyFill="0" applyBorder="0" applyAlignment="0" applyProtection="0"/>
    <xf numFmtId="0" fontId="125" fillId="0" borderId="0"/>
    <xf numFmtId="9" fontId="125" fillId="0" borderId="0" applyFont="0" applyFill="0" applyBorder="0" applyAlignment="0" applyProtection="0"/>
    <xf numFmtId="0" fontId="125" fillId="0" borderId="0"/>
    <xf numFmtId="9" fontId="125" fillId="0" borderId="0" applyFont="0" applyFill="0" applyBorder="0" applyAlignment="0" applyProtection="0"/>
    <xf numFmtId="0" fontId="125" fillId="0" borderId="0"/>
    <xf numFmtId="9" fontId="125" fillId="0" borderId="0" applyFont="0" applyFill="0" applyBorder="0" applyAlignment="0" applyProtection="0"/>
    <xf numFmtId="0" fontId="125" fillId="0" borderId="0"/>
    <xf numFmtId="9" fontId="125" fillId="0" borderId="0" applyFont="0" applyFill="0" applyBorder="0" applyAlignment="0" applyProtection="0"/>
    <xf numFmtId="0" fontId="125" fillId="0" borderId="0"/>
    <xf numFmtId="9" fontId="125" fillId="0" borderId="0" applyFont="0" applyFill="0" applyBorder="0" applyAlignment="0" applyProtection="0"/>
    <xf numFmtId="0" fontId="125" fillId="0" borderId="0"/>
    <xf numFmtId="9" fontId="125" fillId="0" borderId="0" applyFont="0" applyFill="0" applyBorder="0" applyAlignment="0" applyProtection="0"/>
    <xf numFmtId="0" fontId="124" fillId="0" borderId="0"/>
    <xf numFmtId="9" fontId="124" fillId="0" borderId="0" applyFont="0" applyFill="0" applyBorder="0" applyAlignment="0" applyProtection="0"/>
    <xf numFmtId="0" fontId="124" fillId="0" borderId="0"/>
    <xf numFmtId="9" fontId="124" fillId="0" borderId="0" applyFont="0" applyFill="0" applyBorder="0" applyAlignment="0" applyProtection="0"/>
    <xf numFmtId="0" fontId="124" fillId="0" borderId="0"/>
    <xf numFmtId="9" fontId="124" fillId="0" borderId="0" applyFont="0" applyFill="0" applyBorder="0" applyAlignment="0" applyProtection="0"/>
    <xf numFmtId="0" fontId="124" fillId="0" borderId="0"/>
    <xf numFmtId="9" fontId="124" fillId="0" borderId="0" applyFont="0" applyFill="0" applyBorder="0" applyAlignment="0" applyProtection="0"/>
    <xf numFmtId="0" fontId="124" fillId="0" borderId="0"/>
    <xf numFmtId="9" fontId="124" fillId="0" borderId="0" applyFont="0" applyFill="0" applyBorder="0" applyAlignment="0" applyProtection="0"/>
    <xf numFmtId="0" fontId="124" fillId="0" borderId="0"/>
    <xf numFmtId="9" fontId="124" fillId="0" borderId="0" applyFont="0" applyFill="0" applyBorder="0" applyAlignment="0" applyProtection="0"/>
    <xf numFmtId="0" fontId="124" fillId="0" borderId="0"/>
    <xf numFmtId="9" fontId="124" fillId="0" borderId="0" applyFont="0" applyFill="0" applyBorder="0" applyAlignment="0" applyProtection="0"/>
    <xf numFmtId="0" fontId="124" fillId="0" borderId="0"/>
    <xf numFmtId="9" fontId="124" fillId="0" borderId="0" applyFont="0" applyFill="0" applyBorder="0" applyAlignment="0" applyProtection="0"/>
    <xf numFmtId="0" fontId="124" fillId="0" borderId="0"/>
    <xf numFmtId="9" fontId="124" fillId="0" borderId="0" applyFont="0" applyFill="0" applyBorder="0" applyAlignment="0" applyProtection="0"/>
    <xf numFmtId="0" fontId="124" fillId="0" borderId="0"/>
    <xf numFmtId="9" fontId="124" fillId="0" borderId="0" applyFont="0" applyFill="0" applyBorder="0" applyAlignment="0" applyProtection="0"/>
    <xf numFmtId="0" fontId="124" fillId="0" borderId="0"/>
    <xf numFmtId="9" fontId="124" fillId="0" borderId="0" applyFont="0" applyFill="0" applyBorder="0" applyAlignment="0" applyProtection="0"/>
    <xf numFmtId="0" fontId="124" fillId="0" borderId="0"/>
    <xf numFmtId="9" fontId="124" fillId="0" borderId="0" applyFont="0" applyFill="0" applyBorder="0" applyAlignment="0" applyProtection="0"/>
    <xf numFmtId="0" fontId="124" fillId="0" borderId="0"/>
    <xf numFmtId="9" fontId="124" fillId="0" borderId="0" applyFont="0" applyFill="0" applyBorder="0" applyAlignment="0" applyProtection="0"/>
    <xf numFmtId="0" fontId="123" fillId="0" borderId="0"/>
    <xf numFmtId="9" fontId="123" fillId="0" borderId="0" applyFont="0" applyFill="0" applyBorder="0" applyAlignment="0" applyProtection="0"/>
    <xf numFmtId="0" fontId="123" fillId="0" borderId="0"/>
    <xf numFmtId="9" fontId="123" fillId="0" borderId="0" applyFont="0" applyFill="0" applyBorder="0" applyAlignment="0" applyProtection="0"/>
    <xf numFmtId="0" fontId="123" fillId="0" borderId="0"/>
    <xf numFmtId="9" fontId="123" fillId="0" borderId="0" applyFont="0" applyFill="0" applyBorder="0" applyAlignment="0" applyProtection="0"/>
    <xf numFmtId="0" fontId="123" fillId="0" borderId="0"/>
    <xf numFmtId="9" fontId="123" fillId="0" borderId="0" applyFont="0" applyFill="0" applyBorder="0" applyAlignment="0" applyProtection="0"/>
    <xf numFmtId="0" fontId="123" fillId="0" borderId="0"/>
    <xf numFmtId="9" fontId="123" fillId="0" borderId="0" applyFont="0" applyFill="0" applyBorder="0" applyAlignment="0" applyProtection="0"/>
    <xf numFmtId="0" fontId="123" fillId="0" borderId="0"/>
    <xf numFmtId="9" fontId="123" fillId="0" borderId="0" applyFont="0" applyFill="0" applyBorder="0" applyAlignment="0" applyProtection="0"/>
    <xf numFmtId="0" fontId="123" fillId="0" borderId="0"/>
    <xf numFmtId="9" fontId="123" fillId="0" borderId="0" applyFont="0" applyFill="0" applyBorder="0" applyAlignment="0" applyProtection="0"/>
    <xf numFmtId="0" fontId="123" fillId="0" borderId="0"/>
    <xf numFmtId="9" fontId="123" fillId="0" borderId="0" applyFont="0" applyFill="0" applyBorder="0" applyAlignment="0" applyProtection="0"/>
    <xf numFmtId="0" fontId="123" fillId="0" borderId="0"/>
    <xf numFmtId="9" fontId="123" fillId="0" borderId="0" applyFont="0" applyFill="0" applyBorder="0" applyAlignment="0" applyProtection="0"/>
    <xf numFmtId="0" fontId="123" fillId="0" borderId="0"/>
    <xf numFmtId="9" fontId="123" fillId="0" borderId="0" applyFont="0" applyFill="0" applyBorder="0" applyAlignment="0" applyProtection="0"/>
    <xf numFmtId="0" fontId="123" fillId="0" borderId="0"/>
    <xf numFmtId="9" fontId="123" fillId="0" borderId="0" applyFont="0" applyFill="0" applyBorder="0" applyAlignment="0" applyProtection="0"/>
    <xf numFmtId="0" fontId="123" fillId="0" borderId="0"/>
    <xf numFmtId="9" fontId="123" fillId="0" borderId="0" applyFont="0" applyFill="0" applyBorder="0" applyAlignment="0" applyProtection="0"/>
    <xf numFmtId="0" fontId="123" fillId="0" borderId="0"/>
    <xf numFmtId="9" fontId="123" fillId="0" borderId="0" applyFont="0" applyFill="0" applyBorder="0" applyAlignment="0" applyProtection="0"/>
    <xf numFmtId="0" fontId="122" fillId="0" borderId="0"/>
    <xf numFmtId="9" fontId="122" fillId="0" borderId="0" applyFont="0" applyFill="0" applyBorder="0" applyAlignment="0" applyProtection="0"/>
    <xf numFmtId="0" fontId="122" fillId="0" borderId="0"/>
    <xf numFmtId="9" fontId="122" fillId="0" borderId="0" applyFont="0" applyFill="0" applyBorder="0" applyAlignment="0" applyProtection="0"/>
    <xf numFmtId="0" fontId="122" fillId="0" borderId="0"/>
    <xf numFmtId="9" fontId="122" fillId="0" borderId="0" applyFont="0" applyFill="0" applyBorder="0" applyAlignment="0" applyProtection="0"/>
    <xf numFmtId="0" fontId="122" fillId="0" borderId="0"/>
    <xf numFmtId="9" fontId="122" fillId="0" borderId="0" applyFont="0" applyFill="0" applyBorder="0" applyAlignment="0" applyProtection="0"/>
    <xf numFmtId="0" fontId="122" fillId="0" borderId="0"/>
    <xf numFmtId="9" fontId="122" fillId="0" borderId="0" applyFont="0" applyFill="0" applyBorder="0" applyAlignment="0" applyProtection="0"/>
    <xf numFmtId="0" fontId="122" fillId="0" borderId="0"/>
    <xf numFmtId="9" fontId="122" fillId="0" borderId="0" applyFont="0" applyFill="0" applyBorder="0" applyAlignment="0" applyProtection="0"/>
    <xf numFmtId="0" fontId="122" fillId="0" borderId="0"/>
    <xf numFmtId="9" fontId="122" fillId="0" borderId="0" applyFont="0" applyFill="0" applyBorder="0" applyAlignment="0" applyProtection="0"/>
    <xf numFmtId="0" fontId="122" fillId="0" borderId="0"/>
    <xf numFmtId="9" fontId="122" fillId="0" borderId="0" applyFont="0" applyFill="0" applyBorder="0" applyAlignment="0" applyProtection="0"/>
    <xf numFmtId="0" fontId="122" fillId="0" borderId="0"/>
    <xf numFmtId="9" fontId="122" fillId="0" borderId="0" applyFont="0" applyFill="0" applyBorder="0" applyAlignment="0" applyProtection="0"/>
    <xf numFmtId="0" fontId="122" fillId="0" borderId="0"/>
    <xf numFmtId="9" fontId="122" fillId="0" borderId="0" applyFont="0" applyFill="0" applyBorder="0" applyAlignment="0" applyProtection="0"/>
    <xf numFmtId="0" fontId="122" fillId="0" borderId="0"/>
    <xf numFmtId="9" fontId="122" fillId="0" borderId="0" applyFont="0" applyFill="0" applyBorder="0" applyAlignment="0" applyProtection="0"/>
    <xf numFmtId="0" fontId="122" fillId="0" borderId="0"/>
    <xf numFmtId="9" fontId="122" fillId="0" borderId="0" applyFont="0" applyFill="0" applyBorder="0" applyAlignment="0" applyProtection="0"/>
    <xf numFmtId="0" fontId="122" fillId="0" borderId="0"/>
    <xf numFmtId="9" fontId="122" fillId="0" borderId="0" applyFont="0" applyFill="0" applyBorder="0" applyAlignment="0" applyProtection="0"/>
    <xf numFmtId="0" fontId="121" fillId="0" borderId="0"/>
    <xf numFmtId="9" fontId="121" fillId="0" borderId="0" applyFont="0" applyFill="0" applyBorder="0" applyAlignment="0" applyProtection="0"/>
    <xf numFmtId="0" fontId="121" fillId="0" borderId="0"/>
    <xf numFmtId="9" fontId="121" fillId="0" borderId="0" applyFont="0" applyFill="0" applyBorder="0" applyAlignment="0" applyProtection="0"/>
    <xf numFmtId="0" fontId="121" fillId="0" borderId="0"/>
    <xf numFmtId="9" fontId="121" fillId="0" borderId="0" applyFont="0" applyFill="0" applyBorder="0" applyAlignment="0" applyProtection="0"/>
    <xf numFmtId="0" fontId="121" fillId="0" borderId="0"/>
    <xf numFmtId="9" fontId="121" fillId="0" borderId="0" applyFont="0" applyFill="0" applyBorder="0" applyAlignment="0" applyProtection="0"/>
    <xf numFmtId="0" fontId="121" fillId="0" borderId="0"/>
    <xf numFmtId="9" fontId="121" fillId="0" borderId="0" applyFont="0" applyFill="0" applyBorder="0" applyAlignment="0" applyProtection="0"/>
    <xf numFmtId="0" fontId="121" fillId="0" borderId="0"/>
    <xf numFmtId="9" fontId="121" fillId="0" borderId="0" applyFont="0" applyFill="0" applyBorder="0" applyAlignment="0" applyProtection="0"/>
    <xf numFmtId="0" fontId="121" fillId="0" borderId="0"/>
    <xf numFmtId="9" fontId="121" fillId="0" borderId="0" applyFont="0" applyFill="0" applyBorder="0" applyAlignment="0" applyProtection="0"/>
    <xf numFmtId="0" fontId="121" fillId="0" borderId="0"/>
    <xf numFmtId="9" fontId="121" fillId="0" borderId="0" applyFont="0" applyFill="0" applyBorder="0" applyAlignment="0" applyProtection="0"/>
    <xf numFmtId="0" fontId="121" fillId="0" borderId="0"/>
    <xf numFmtId="9" fontId="121" fillId="0" borderId="0" applyFont="0" applyFill="0" applyBorder="0" applyAlignment="0" applyProtection="0"/>
    <xf numFmtId="0" fontId="121" fillId="0" borderId="0"/>
    <xf numFmtId="9" fontId="121" fillId="0" borderId="0" applyFont="0" applyFill="0" applyBorder="0" applyAlignment="0" applyProtection="0"/>
    <xf numFmtId="0" fontId="121" fillId="0" borderId="0"/>
    <xf numFmtId="9" fontId="121" fillId="0" borderId="0" applyFont="0" applyFill="0" applyBorder="0" applyAlignment="0" applyProtection="0"/>
    <xf numFmtId="0" fontId="121" fillId="0" borderId="0"/>
    <xf numFmtId="9" fontId="121" fillId="0" borderId="0" applyFont="0" applyFill="0" applyBorder="0" applyAlignment="0" applyProtection="0"/>
    <xf numFmtId="0" fontId="121" fillId="0" borderId="0"/>
    <xf numFmtId="9" fontId="121" fillId="0" borderId="0" applyFont="0" applyFill="0" applyBorder="0" applyAlignment="0" applyProtection="0"/>
    <xf numFmtId="0" fontId="120" fillId="0" borderId="0"/>
    <xf numFmtId="9" fontId="120" fillId="0" borderId="0" applyFont="0" applyFill="0" applyBorder="0" applyAlignment="0" applyProtection="0"/>
    <xf numFmtId="0" fontId="120" fillId="0" borderId="0"/>
    <xf numFmtId="9" fontId="120" fillId="0" borderId="0" applyFont="0" applyFill="0" applyBorder="0" applyAlignment="0" applyProtection="0"/>
    <xf numFmtId="0" fontId="120" fillId="0" borderId="0"/>
    <xf numFmtId="9" fontId="120" fillId="0" borderId="0" applyFont="0" applyFill="0" applyBorder="0" applyAlignment="0" applyProtection="0"/>
    <xf numFmtId="0" fontId="120" fillId="0" borderId="0"/>
    <xf numFmtId="9" fontId="120" fillId="0" borderId="0" applyFont="0" applyFill="0" applyBorder="0" applyAlignment="0" applyProtection="0"/>
    <xf numFmtId="0" fontId="120" fillId="0" borderId="0"/>
    <xf numFmtId="9" fontId="120" fillId="0" borderId="0" applyFont="0" applyFill="0" applyBorder="0" applyAlignment="0" applyProtection="0"/>
    <xf numFmtId="0" fontId="120" fillId="0" borderId="0"/>
    <xf numFmtId="9" fontId="120" fillId="0" borderId="0" applyFont="0" applyFill="0" applyBorder="0" applyAlignment="0" applyProtection="0"/>
    <xf numFmtId="0" fontId="120" fillId="0" borderId="0"/>
    <xf numFmtId="9" fontId="120" fillId="0" borderId="0" applyFont="0" applyFill="0" applyBorder="0" applyAlignment="0" applyProtection="0"/>
    <xf numFmtId="0" fontId="120" fillId="0" borderId="0"/>
    <xf numFmtId="9" fontId="120" fillId="0" borderId="0" applyFont="0" applyFill="0" applyBorder="0" applyAlignment="0" applyProtection="0"/>
    <xf numFmtId="0" fontId="120" fillId="0" borderId="0"/>
    <xf numFmtId="9" fontId="120" fillId="0" borderId="0" applyFont="0" applyFill="0" applyBorder="0" applyAlignment="0" applyProtection="0"/>
    <xf numFmtId="0" fontId="120" fillId="0" borderId="0"/>
    <xf numFmtId="9" fontId="120" fillId="0" borderId="0" applyFont="0" applyFill="0" applyBorder="0" applyAlignment="0" applyProtection="0"/>
    <xf numFmtId="0" fontId="120" fillId="0" borderId="0"/>
    <xf numFmtId="9" fontId="120" fillId="0" borderId="0" applyFont="0" applyFill="0" applyBorder="0" applyAlignment="0" applyProtection="0"/>
    <xf numFmtId="0" fontId="120" fillId="0" borderId="0"/>
    <xf numFmtId="9" fontId="120" fillId="0" borderId="0" applyFont="0" applyFill="0" applyBorder="0" applyAlignment="0" applyProtection="0"/>
    <xf numFmtId="0" fontId="120" fillId="0" borderId="0"/>
    <xf numFmtId="9" fontId="120" fillId="0" borderId="0" applyFont="0" applyFill="0" applyBorder="0" applyAlignment="0" applyProtection="0"/>
    <xf numFmtId="0" fontId="119" fillId="0" borderId="0"/>
    <xf numFmtId="9" fontId="119" fillId="0" borderId="0" applyFont="0" applyFill="0" applyBorder="0" applyAlignment="0" applyProtection="0"/>
    <xf numFmtId="0" fontId="119" fillId="0" borderId="0"/>
    <xf numFmtId="9" fontId="119" fillId="0" borderId="0" applyFont="0" applyFill="0" applyBorder="0" applyAlignment="0" applyProtection="0"/>
    <xf numFmtId="0" fontId="119" fillId="0" borderId="0"/>
    <xf numFmtId="9" fontId="119" fillId="0" borderId="0" applyFont="0" applyFill="0" applyBorder="0" applyAlignment="0" applyProtection="0"/>
    <xf numFmtId="0" fontId="119" fillId="0" borderId="0"/>
    <xf numFmtId="9" fontId="119" fillId="0" borderId="0" applyFont="0" applyFill="0" applyBorder="0" applyAlignment="0" applyProtection="0"/>
    <xf numFmtId="0" fontId="119" fillId="0" borderId="0"/>
    <xf numFmtId="9" fontId="119" fillId="0" borderId="0" applyFont="0" applyFill="0" applyBorder="0" applyAlignment="0" applyProtection="0"/>
    <xf numFmtId="0" fontId="119" fillId="0" borderId="0"/>
    <xf numFmtId="9" fontId="119" fillId="0" borderId="0" applyFont="0" applyFill="0" applyBorder="0" applyAlignment="0" applyProtection="0"/>
    <xf numFmtId="0" fontId="119" fillId="0" borderId="0"/>
    <xf numFmtId="9" fontId="119" fillId="0" borderId="0" applyFont="0" applyFill="0" applyBorder="0" applyAlignment="0" applyProtection="0"/>
    <xf numFmtId="0" fontId="119" fillId="0" borderId="0"/>
    <xf numFmtId="9" fontId="119" fillId="0" borderId="0" applyFont="0" applyFill="0" applyBorder="0" applyAlignment="0" applyProtection="0"/>
    <xf numFmtId="0" fontId="119" fillId="0" borderId="0"/>
    <xf numFmtId="9" fontId="119" fillId="0" borderId="0" applyFont="0" applyFill="0" applyBorder="0" applyAlignment="0" applyProtection="0"/>
    <xf numFmtId="0" fontId="119" fillId="0" borderId="0"/>
    <xf numFmtId="9" fontId="119" fillId="0" borderId="0" applyFont="0" applyFill="0" applyBorder="0" applyAlignment="0" applyProtection="0"/>
    <xf numFmtId="0" fontId="119" fillId="0" borderId="0"/>
    <xf numFmtId="9" fontId="119" fillId="0" borderId="0" applyFont="0" applyFill="0" applyBorder="0" applyAlignment="0" applyProtection="0"/>
    <xf numFmtId="0" fontId="119" fillId="0" borderId="0"/>
    <xf numFmtId="9" fontId="119" fillId="0" borderId="0" applyFont="0" applyFill="0" applyBorder="0" applyAlignment="0" applyProtection="0"/>
    <xf numFmtId="0" fontId="119" fillId="0" borderId="0"/>
    <xf numFmtId="9" fontId="119" fillId="0" borderId="0" applyFont="0" applyFill="0" applyBorder="0" applyAlignment="0" applyProtection="0"/>
    <xf numFmtId="0" fontId="118" fillId="0" borderId="0"/>
    <xf numFmtId="9" fontId="118" fillId="0" borderId="0" applyFont="0" applyFill="0" applyBorder="0" applyAlignment="0" applyProtection="0"/>
    <xf numFmtId="0" fontId="118" fillId="0" borderId="0"/>
    <xf numFmtId="9" fontId="118" fillId="0" borderId="0" applyFont="0" applyFill="0" applyBorder="0" applyAlignment="0" applyProtection="0"/>
    <xf numFmtId="0" fontId="118" fillId="0" borderId="0"/>
    <xf numFmtId="9" fontId="118" fillId="0" borderId="0" applyFont="0" applyFill="0" applyBorder="0" applyAlignment="0" applyProtection="0"/>
    <xf numFmtId="0" fontId="118" fillId="0" borderId="0"/>
    <xf numFmtId="9" fontId="118" fillId="0" borderId="0" applyFont="0" applyFill="0" applyBorder="0" applyAlignment="0" applyProtection="0"/>
    <xf numFmtId="0" fontId="118" fillId="0" borderId="0"/>
    <xf numFmtId="9" fontId="118" fillId="0" borderId="0" applyFont="0" applyFill="0" applyBorder="0" applyAlignment="0" applyProtection="0"/>
    <xf numFmtId="0" fontId="118" fillId="0" borderId="0"/>
    <xf numFmtId="9" fontId="118" fillId="0" borderId="0" applyFont="0" applyFill="0" applyBorder="0" applyAlignment="0" applyProtection="0"/>
    <xf numFmtId="0" fontId="118" fillId="0" borderId="0"/>
    <xf numFmtId="9" fontId="118" fillId="0" borderId="0" applyFont="0" applyFill="0" applyBorder="0" applyAlignment="0" applyProtection="0"/>
    <xf numFmtId="0" fontId="118" fillId="0" borderId="0"/>
    <xf numFmtId="9" fontId="118" fillId="0" borderId="0" applyFont="0" applyFill="0" applyBorder="0" applyAlignment="0" applyProtection="0"/>
    <xf numFmtId="0" fontId="118" fillId="0" borderId="0"/>
    <xf numFmtId="9" fontId="118" fillId="0" borderId="0" applyFont="0" applyFill="0" applyBorder="0" applyAlignment="0" applyProtection="0"/>
    <xf numFmtId="0" fontId="118" fillId="0" borderId="0"/>
    <xf numFmtId="9" fontId="118" fillId="0" borderId="0" applyFont="0" applyFill="0" applyBorder="0" applyAlignment="0" applyProtection="0"/>
    <xf numFmtId="0" fontId="118" fillId="0" borderId="0"/>
    <xf numFmtId="9" fontId="118" fillId="0" borderId="0" applyFont="0" applyFill="0" applyBorder="0" applyAlignment="0" applyProtection="0"/>
    <xf numFmtId="0" fontId="118" fillId="0" borderId="0"/>
    <xf numFmtId="9" fontId="118" fillId="0" borderId="0" applyFont="0" applyFill="0" applyBorder="0" applyAlignment="0" applyProtection="0"/>
    <xf numFmtId="0" fontId="118" fillId="0" borderId="0"/>
    <xf numFmtId="9" fontId="118" fillId="0" borderId="0" applyFont="0" applyFill="0" applyBorder="0" applyAlignment="0" applyProtection="0"/>
    <xf numFmtId="0" fontId="118" fillId="0" borderId="0"/>
    <xf numFmtId="9" fontId="118" fillId="0" borderId="0" applyFont="0" applyFill="0" applyBorder="0" applyAlignment="0" applyProtection="0"/>
    <xf numFmtId="0" fontId="117" fillId="0" borderId="0"/>
    <xf numFmtId="9" fontId="117" fillId="0" borderId="0" applyFont="0" applyFill="0" applyBorder="0" applyAlignment="0" applyProtection="0"/>
    <xf numFmtId="0" fontId="117" fillId="0" borderId="0"/>
    <xf numFmtId="9" fontId="117" fillId="0" borderId="0" applyFont="0" applyFill="0" applyBorder="0" applyAlignment="0" applyProtection="0"/>
    <xf numFmtId="0" fontId="117" fillId="0" borderId="0"/>
    <xf numFmtId="9" fontId="117" fillId="0" borderId="0" applyFont="0" applyFill="0" applyBorder="0" applyAlignment="0" applyProtection="0"/>
    <xf numFmtId="0" fontId="117" fillId="0" borderId="0"/>
    <xf numFmtId="9" fontId="117" fillId="0" borderId="0" applyFont="0" applyFill="0" applyBorder="0" applyAlignment="0" applyProtection="0"/>
    <xf numFmtId="0" fontId="117" fillId="0" borderId="0"/>
    <xf numFmtId="9" fontId="117" fillId="0" borderId="0" applyFont="0" applyFill="0" applyBorder="0" applyAlignment="0" applyProtection="0"/>
    <xf numFmtId="0" fontId="117" fillId="0" borderId="0"/>
    <xf numFmtId="9" fontId="117" fillId="0" borderId="0" applyFont="0" applyFill="0" applyBorder="0" applyAlignment="0" applyProtection="0"/>
    <xf numFmtId="0" fontId="117" fillId="0" borderId="0"/>
    <xf numFmtId="9" fontId="117" fillId="0" borderId="0" applyFont="0" applyFill="0" applyBorder="0" applyAlignment="0" applyProtection="0"/>
    <xf numFmtId="0" fontId="117" fillId="0" borderId="0"/>
    <xf numFmtId="9" fontId="117" fillId="0" borderId="0" applyFont="0" applyFill="0" applyBorder="0" applyAlignment="0" applyProtection="0"/>
    <xf numFmtId="0" fontId="117" fillId="0" borderId="0"/>
    <xf numFmtId="9" fontId="117" fillId="0" borderId="0" applyFont="0" applyFill="0" applyBorder="0" applyAlignment="0" applyProtection="0"/>
    <xf numFmtId="0" fontId="117" fillId="0" borderId="0"/>
    <xf numFmtId="9" fontId="117" fillId="0" borderId="0" applyFont="0" applyFill="0" applyBorder="0" applyAlignment="0" applyProtection="0"/>
    <xf numFmtId="0" fontId="117" fillId="0" borderId="0"/>
    <xf numFmtId="9" fontId="117" fillId="0" borderId="0" applyFont="0" applyFill="0" applyBorder="0" applyAlignment="0" applyProtection="0"/>
    <xf numFmtId="0" fontId="117" fillId="0" borderId="0"/>
    <xf numFmtId="9" fontId="117" fillId="0" borderId="0" applyFont="0" applyFill="0" applyBorder="0" applyAlignment="0" applyProtection="0"/>
    <xf numFmtId="0" fontId="117" fillId="0" borderId="0"/>
    <xf numFmtId="9" fontId="117" fillId="0" borderId="0" applyFont="0" applyFill="0" applyBorder="0" applyAlignment="0" applyProtection="0"/>
    <xf numFmtId="0" fontId="117" fillId="0" borderId="0"/>
    <xf numFmtId="9" fontId="117" fillId="0" borderId="0" applyFont="0" applyFill="0" applyBorder="0" applyAlignment="0" applyProtection="0"/>
    <xf numFmtId="0" fontId="116" fillId="0" borderId="0"/>
    <xf numFmtId="9" fontId="116" fillId="0" borderId="0" applyFont="0" applyFill="0" applyBorder="0" applyAlignment="0" applyProtection="0"/>
    <xf numFmtId="0" fontId="116" fillId="0" borderId="0"/>
    <xf numFmtId="9" fontId="116" fillId="0" borderId="0" applyFont="0" applyFill="0" applyBorder="0" applyAlignment="0" applyProtection="0"/>
    <xf numFmtId="0" fontId="116" fillId="0" borderId="0"/>
    <xf numFmtId="9" fontId="116" fillId="0" borderId="0" applyFont="0" applyFill="0" applyBorder="0" applyAlignment="0" applyProtection="0"/>
    <xf numFmtId="0" fontId="116" fillId="0" borderId="0"/>
    <xf numFmtId="9" fontId="116" fillId="0" borderId="0" applyFont="0" applyFill="0" applyBorder="0" applyAlignment="0" applyProtection="0"/>
    <xf numFmtId="0" fontId="116" fillId="0" borderId="0"/>
    <xf numFmtId="9" fontId="116" fillId="0" borderId="0" applyFont="0" applyFill="0" applyBorder="0" applyAlignment="0" applyProtection="0"/>
    <xf numFmtId="0" fontId="116" fillId="0" borderId="0"/>
    <xf numFmtId="9" fontId="116" fillId="0" borderId="0" applyFont="0" applyFill="0" applyBorder="0" applyAlignment="0" applyProtection="0"/>
    <xf numFmtId="0" fontId="116" fillId="0" borderId="0"/>
    <xf numFmtId="9" fontId="116" fillId="0" borderId="0" applyFont="0" applyFill="0" applyBorder="0" applyAlignment="0" applyProtection="0"/>
    <xf numFmtId="0" fontId="116" fillId="0" borderId="0"/>
    <xf numFmtId="9" fontId="116" fillId="0" borderId="0" applyFont="0" applyFill="0" applyBorder="0" applyAlignment="0" applyProtection="0"/>
    <xf numFmtId="0" fontId="116" fillId="0" borderId="0"/>
    <xf numFmtId="9" fontId="116" fillId="0" borderId="0" applyFont="0" applyFill="0" applyBorder="0" applyAlignment="0" applyProtection="0"/>
    <xf numFmtId="0" fontId="116" fillId="0" borderId="0"/>
    <xf numFmtId="9" fontId="116" fillId="0" borderId="0" applyFont="0" applyFill="0" applyBorder="0" applyAlignment="0" applyProtection="0"/>
    <xf numFmtId="0" fontId="116" fillId="0" borderId="0"/>
    <xf numFmtId="9" fontId="116" fillId="0" borderId="0" applyFont="0" applyFill="0" applyBorder="0" applyAlignment="0" applyProtection="0"/>
    <xf numFmtId="0" fontId="116" fillId="0" borderId="0"/>
    <xf numFmtId="9" fontId="116" fillId="0" borderId="0" applyFont="0" applyFill="0" applyBorder="0" applyAlignment="0" applyProtection="0"/>
    <xf numFmtId="0" fontId="116" fillId="0" borderId="0"/>
    <xf numFmtId="9" fontId="116" fillId="0" borderId="0" applyFont="0" applyFill="0" applyBorder="0" applyAlignment="0" applyProtection="0"/>
    <xf numFmtId="0" fontId="116" fillId="0" borderId="0"/>
    <xf numFmtId="9" fontId="116" fillId="0" borderId="0" applyFont="0" applyFill="0" applyBorder="0" applyAlignment="0" applyProtection="0"/>
    <xf numFmtId="0" fontId="115" fillId="0" borderId="0"/>
    <xf numFmtId="9" fontId="115" fillId="0" borderId="0" applyFont="0" applyFill="0" applyBorder="0" applyAlignment="0" applyProtection="0"/>
    <xf numFmtId="0" fontId="115" fillId="0" borderId="0"/>
    <xf numFmtId="9" fontId="115" fillId="0" borderId="0" applyFont="0" applyFill="0" applyBorder="0" applyAlignment="0" applyProtection="0"/>
    <xf numFmtId="0" fontId="115" fillId="0" borderId="0"/>
    <xf numFmtId="9" fontId="115" fillId="0" borderId="0" applyFont="0" applyFill="0" applyBorder="0" applyAlignment="0" applyProtection="0"/>
    <xf numFmtId="0" fontId="115" fillId="0" borderId="0"/>
    <xf numFmtId="9" fontId="115" fillId="0" borderId="0" applyFont="0" applyFill="0" applyBorder="0" applyAlignment="0" applyProtection="0"/>
    <xf numFmtId="0" fontId="115" fillId="0" borderId="0"/>
    <xf numFmtId="9" fontId="115" fillId="0" borderId="0" applyFont="0" applyFill="0" applyBorder="0" applyAlignment="0" applyProtection="0"/>
    <xf numFmtId="0" fontId="115" fillId="0" borderId="0"/>
    <xf numFmtId="9" fontId="115" fillId="0" borderId="0" applyFont="0" applyFill="0" applyBorder="0" applyAlignment="0" applyProtection="0"/>
    <xf numFmtId="0" fontId="115" fillId="0" borderId="0"/>
    <xf numFmtId="9" fontId="115" fillId="0" borderId="0" applyFont="0" applyFill="0" applyBorder="0" applyAlignment="0" applyProtection="0"/>
    <xf numFmtId="0" fontId="115" fillId="0" borderId="0"/>
    <xf numFmtId="9" fontId="115" fillId="0" borderId="0" applyFont="0" applyFill="0" applyBorder="0" applyAlignment="0" applyProtection="0"/>
    <xf numFmtId="0" fontId="115" fillId="0" borderId="0"/>
    <xf numFmtId="9" fontId="115" fillId="0" borderId="0" applyFont="0" applyFill="0" applyBorder="0" applyAlignment="0" applyProtection="0"/>
    <xf numFmtId="0" fontId="115" fillId="0" borderId="0"/>
    <xf numFmtId="9" fontId="115" fillId="0" borderId="0" applyFont="0" applyFill="0" applyBorder="0" applyAlignment="0" applyProtection="0"/>
    <xf numFmtId="0" fontId="115" fillId="0" borderId="0"/>
    <xf numFmtId="9" fontId="115" fillId="0" borderId="0" applyFont="0" applyFill="0" applyBorder="0" applyAlignment="0" applyProtection="0"/>
    <xf numFmtId="0" fontId="115" fillId="0" borderId="0"/>
    <xf numFmtId="9" fontId="115" fillId="0" borderId="0" applyFont="0" applyFill="0" applyBorder="0" applyAlignment="0" applyProtection="0"/>
    <xf numFmtId="0" fontId="115" fillId="0" borderId="0"/>
    <xf numFmtId="9" fontId="115" fillId="0" borderId="0" applyFont="0" applyFill="0" applyBorder="0" applyAlignment="0" applyProtection="0"/>
    <xf numFmtId="0" fontId="115" fillId="0" borderId="0"/>
    <xf numFmtId="9" fontId="115" fillId="0" borderId="0" applyFont="0" applyFill="0" applyBorder="0" applyAlignment="0" applyProtection="0"/>
    <xf numFmtId="0" fontId="114" fillId="0" borderId="0"/>
    <xf numFmtId="9" fontId="114" fillId="0" borderId="0" applyFont="0" applyFill="0" applyBorder="0" applyAlignment="0" applyProtection="0"/>
    <xf numFmtId="0" fontId="114" fillId="0" borderId="0"/>
    <xf numFmtId="9" fontId="114" fillId="0" borderId="0" applyFont="0" applyFill="0" applyBorder="0" applyAlignment="0" applyProtection="0"/>
    <xf numFmtId="0" fontId="114" fillId="0" borderId="0"/>
    <xf numFmtId="9" fontId="114" fillId="0" borderId="0" applyFont="0" applyFill="0" applyBorder="0" applyAlignment="0" applyProtection="0"/>
    <xf numFmtId="0" fontId="114" fillId="0" borderId="0"/>
    <xf numFmtId="9" fontId="114" fillId="0" borderId="0" applyFont="0" applyFill="0" applyBorder="0" applyAlignment="0" applyProtection="0"/>
    <xf numFmtId="0" fontId="114" fillId="0" borderId="0"/>
    <xf numFmtId="9" fontId="114" fillId="0" borderId="0" applyFont="0" applyFill="0" applyBorder="0" applyAlignment="0" applyProtection="0"/>
    <xf numFmtId="0" fontId="114" fillId="0" borderId="0"/>
    <xf numFmtId="9" fontId="114" fillId="0" borderId="0" applyFont="0" applyFill="0" applyBorder="0" applyAlignment="0" applyProtection="0"/>
    <xf numFmtId="0" fontId="114" fillId="0" borderId="0"/>
    <xf numFmtId="9" fontId="114" fillId="0" borderId="0" applyFont="0" applyFill="0" applyBorder="0" applyAlignment="0" applyProtection="0"/>
    <xf numFmtId="0" fontId="114" fillId="0" borderId="0"/>
    <xf numFmtId="9" fontId="114" fillId="0" borderId="0" applyFont="0" applyFill="0" applyBorder="0" applyAlignment="0" applyProtection="0"/>
    <xf numFmtId="0" fontId="114" fillId="0" borderId="0"/>
    <xf numFmtId="9" fontId="114" fillId="0" borderId="0" applyFont="0" applyFill="0" applyBorder="0" applyAlignment="0" applyProtection="0"/>
    <xf numFmtId="0" fontId="114" fillId="0" borderId="0"/>
    <xf numFmtId="9" fontId="114" fillId="0" borderId="0" applyFont="0" applyFill="0" applyBorder="0" applyAlignment="0" applyProtection="0"/>
    <xf numFmtId="0" fontId="114" fillId="0" borderId="0"/>
    <xf numFmtId="9" fontId="114" fillId="0" borderId="0" applyFont="0" applyFill="0" applyBorder="0" applyAlignment="0" applyProtection="0"/>
    <xf numFmtId="0" fontId="114" fillId="0" borderId="0"/>
    <xf numFmtId="9" fontId="114" fillId="0" borderId="0" applyFont="0" applyFill="0" applyBorder="0" applyAlignment="0" applyProtection="0"/>
    <xf numFmtId="0" fontId="114" fillId="0" borderId="0"/>
    <xf numFmtId="9" fontId="114" fillId="0" borderId="0" applyFont="0" applyFill="0" applyBorder="0" applyAlignment="0" applyProtection="0"/>
    <xf numFmtId="0" fontId="114" fillId="0" borderId="0"/>
    <xf numFmtId="9" fontId="114" fillId="0" borderId="0" applyFont="0" applyFill="0" applyBorder="0" applyAlignment="0" applyProtection="0"/>
    <xf numFmtId="0" fontId="113" fillId="0" borderId="0"/>
    <xf numFmtId="9" fontId="113" fillId="0" borderId="0" applyFont="0" applyFill="0" applyBorder="0" applyAlignment="0" applyProtection="0"/>
    <xf numFmtId="0" fontId="113" fillId="0" borderId="0"/>
    <xf numFmtId="9" fontId="113" fillId="0" borderId="0" applyFont="0" applyFill="0" applyBorder="0" applyAlignment="0" applyProtection="0"/>
    <xf numFmtId="0" fontId="113" fillId="0" borderId="0"/>
    <xf numFmtId="9" fontId="113" fillId="0" borderId="0" applyFont="0" applyFill="0" applyBorder="0" applyAlignment="0" applyProtection="0"/>
    <xf numFmtId="0" fontId="113" fillId="0" borderId="0"/>
    <xf numFmtId="9" fontId="113" fillId="0" borderId="0" applyFont="0" applyFill="0" applyBorder="0" applyAlignment="0" applyProtection="0"/>
    <xf numFmtId="0" fontId="113" fillId="0" borderId="0"/>
    <xf numFmtId="9" fontId="113" fillId="0" borderId="0" applyFont="0" applyFill="0" applyBorder="0" applyAlignment="0" applyProtection="0"/>
    <xf numFmtId="0" fontId="113" fillId="0" borderId="0"/>
    <xf numFmtId="9" fontId="113" fillId="0" borderId="0" applyFont="0" applyFill="0" applyBorder="0" applyAlignment="0" applyProtection="0"/>
    <xf numFmtId="0" fontId="113" fillId="0" borderId="0"/>
    <xf numFmtId="9" fontId="113" fillId="0" borderId="0" applyFont="0" applyFill="0" applyBorder="0" applyAlignment="0" applyProtection="0"/>
    <xf numFmtId="0" fontId="113" fillId="0" borderId="0"/>
    <xf numFmtId="9" fontId="113" fillId="0" borderId="0" applyFont="0" applyFill="0" applyBorder="0" applyAlignment="0" applyProtection="0"/>
    <xf numFmtId="0" fontId="113" fillId="0" borderId="0"/>
    <xf numFmtId="9" fontId="113" fillId="0" borderId="0" applyFont="0" applyFill="0" applyBorder="0" applyAlignment="0" applyProtection="0"/>
    <xf numFmtId="0" fontId="113" fillId="0" borderId="0"/>
    <xf numFmtId="9" fontId="113" fillId="0" borderId="0" applyFont="0" applyFill="0" applyBorder="0" applyAlignment="0" applyProtection="0"/>
    <xf numFmtId="0" fontId="113" fillId="0" borderId="0"/>
    <xf numFmtId="9" fontId="113" fillId="0" borderId="0" applyFont="0" applyFill="0" applyBorder="0" applyAlignment="0" applyProtection="0"/>
    <xf numFmtId="0" fontId="113" fillId="0" borderId="0"/>
    <xf numFmtId="9" fontId="113" fillId="0" borderId="0" applyFont="0" applyFill="0" applyBorder="0" applyAlignment="0" applyProtection="0"/>
    <xf numFmtId="0" fontId="113" fillId="0" borderId="0"/>
    <xf numFmtId="9" fontId="113" fillId="0" borderId="0" applyFont="0" applyFill="0" applyBorder="0" applyAlignment="0" applyProtection="0"/>
    <xf numFmtId="0" fontId="113" fillId="0" borderId="0"/>
    <xf numFmtId="9" fontId="113" fillId="0" borderId="0" applyFont="0" applyFill="0" applyBorder="0" applyAlignment="0" applyProtection="0"/>
    <xf numFmtId="0" fontId="112" fillId="0" borderId="0"/>
    <xf numFmtId="9" fontId="112" fillId="0" borderId="0" applyFont="0" applyFill="0" applyBorder="0" applyAlignment="0" applyProtection="0"/>
    <xf numFmtId="0" fontId="112" fillId="0" borderId="0"/>
    <xf numFmtId="9" fontId="112" fillId="0" borderId="0" applyFont="0" applyFill="0" applyBorder="0" applyAlignment="0" applyProtection="0"/>
    <xf numFmtId="0" fontId="112" fillId="0" borderId="0"/>
    <xf numFmtId="9" fontId="112" fillId="0" borderId="0" applyFont="0" applyFill="0" applyBorder="0" applyAlignment="0" applyProtection="0"/>
    <xf numFmtId="0" fontId="112" fillId="0" borderId="0"/>
    <xf numFmtId="9" fontId="112" fillId="0" borderId="0" applyFont="0" applyFill="0" applyBorder="0" applyAlignment="0" applyProtection="0"/>
    <xf numFmtId="0" fontId="112" fillId="0" borderId="0"/>
    <xf numFmtId="9" fontId="112" fillId="0" borderId="0" applyFont="0" applyFill="0" applyBorder="0" applyAlignment="0" applyProtection="0"/>
    <xf numFmtId="0" fontId="112" fillId="0" borderId="0"/>
    <xf numFmtId="9" fontId="112" fillId="0" borderId="0" applyFont="0" applyFill="0" applyBorder="0" applyAlignment="0" applyProtection="0"/>
    <xf numFmtId="0" fontId="112" fillId="0" borderId="0"/>
    <xf numFmtId="9" fontId="112" fillId="0" borderId="0" applyFont="0" applyFill="0" applyBorder="0" applyAlignment="0" applyProtection="0"/>
    <xf numFmtId="0" fontId="112" fillId="0" borderId="0"/>
    <xf numFmtId="9" fontId="112" fillId="0" borderId="0" applyFont="0" applyFill="0" applyBorder="0" applyAlignment="0" applyProtection="0"/>
    <xf numFmtId="0" fontId="112" fillId="0" borderId="0"/>
    <xf numFmtId="9" fontId="112" fillId="0" borderId="0" applyFont="0" applyFill="0" applyBorder="0" applyAlignment="0" applyProtection="0"/>
    <xf numFmtId="0" fontId="112" fillId="0" borderId="0"/>
    <xf numFmtId="9" fontId="112" fillId="0" borderId="0" applyFont="0" applyFill="0" applyBorder="0" applyAlignment="0" applyProtection="0"/>
    <xf numFmtId="0" fontId="112" fillId="0" borderId="0"/>
    <xf numFmtId="9" fontId="112" fillId="0" borderId="0" applyFont="0" applyFill="0" applyBorder="0" applyAlignment="0" applyProtection="0"/>
    <xf numFmtId="0" fontId="112" fillId="0" borderId="0"/>
    <xf numFmtId="9" fontId="112" fillId="0" borderId="0" applyFont="0" applyFill="0" applyBorder="0" applyAlignment="0" applyProtection="0"/>
    <xf numFmtId="0" fontId="112" fillId="0" borderId="0"/>
    <xf numFmtId="9" fontId="112" fillId="0" borderId="0" applyFont="0" applyFill="0" applyBorder="0" applyAlignment="0" applyProtection="0"/>
    <xf numFmtId="0" fontId="112" fillId="0" borderId="0"/>
    <xf numFmtId="9" fontId="112" fillId="0" borderId="0" applyFont="0" applyFill="0" applyBorder="0" applyAlignment="0" applyProtection="0"/>
    <xf numFmtId="0" fontId="111" fillId="0" borderId="0"/>
    <xf numFmtId="9" fontId="111" fillId="0" borderId="0" applyFont="0" applyFill="0" applyBorder="0" applyAlignment="0" applyProtection="0"/>
    <xf numFmtId="0" fontId="111" fillId="0" borderId="0"/>
    <xf numFmtId="9" fontId="111" fillId="0" borderId="0" applyFont="0" applyFill="0" applyBorder="0" applyAlignment="0" applyProtection="0"/>
    <xf numFmtId="0" fontId="111" fillId="0" borderId="0"/>
    <xf numFmtId="9" fontId="111" fillId="0" borderId="0" applyFont="0" applyFill="0" applyBorder="0" applyAlignment="0" applyProtection="0"/>
    <xf numFmtId="0" fontId="111" fillId="0" borderId="0"/>
    <xf numFmtId="9" fontId="111" fillId="0" borderId="0" applyFont="0" applyFill="0" applyBorder="0" applyAlignment="0" applyProtection="0"/>
    <xf numFmtId="0" fontId="111" fillId="0" borderId="0"/>
    <xf numFmtId="9" fontId="111" fillId="0" borderId="0" applyFont="0" applyFill="0" applyBorder="0" applyAlignment="0" applyProtection="0"/>
    <xf numFmtId="0" fontId="111" fillId="0" borderId="0"/>
    <xf numFmtId="9" fontId="111" fillId="0" borderId="0" applyFont="0" applyFill="0" applyBorder="0" applyAlignment="0" applyProtection="0"/>
    <xf numFmtId="0" fontId="111" fillId="0" borderId="0"/>
    <xf numFmtId="9" fontId="111" fillId="0" borderId="0" applyFont="0" applyFill="0" applyBorder="0" applyAlignment="0" applyProtection="0"/>
    <xf numFmtId="0" fontId="111" fillId="0" borderId="0"/>
    <xf numFmtId="9" fontId="111" fillId="0" borderId="0" applyFont="0" applyFill="0" applyBorder="0" applyAlignment="0" applyProtection="0"/>
    <xf numFmtId="0" fontId="111" fillId="0" borderId="0"/>
    <xf numFmtId="9" fontId="111" fillId="0" borderId="0" applyFont="0" applyFill="0" applyBorder="0" applyAlignment="0" applyProtection="0"/>
    <xf numFmtId="0" fontId="111" fillId="0" borderId="0"/>
    <xf numFmtId="9" fontId="111" fillId="0" borderId="0" applyFont="0" applyFill="0" applyBorder="0" applyAlignment="0" applyProtection="0"/>
    <xf numFmtId="0" fontId="111" fillId="0" borderId="0"/>
    <xf numFmtId="9" fontId="111" fillId="0" borderId="0" applyFont="0" applyFill="0" applyBorder="0" applyAlignment="0" applyProtection="0"/>
    <xf numFmtId="0" fontId="111" fillId="0" borderId="0"/>
    <xf numFmtId="9" fontId="111" fillId="0" borderId="0" applyFont="0" applyFill="0" applyBorder="0" applyAlignment="0" applyProtection="0"/>
    <xf numFmtId="0" fontId="111" fillId="0" borderId="0"/>
    <xf numFmtId="9" fontId="111" fillId="0" borderId="0" applyFont="0" applyFill="0" applyBorder="0" applyAlignment="0" applyProtection="0"/>
    <xf numFmtId="0" fontId="111" fillId="0" borderId="0"/>
    <xf numFmtId="9" fontId="111" fillId="0" borderId="0" applyFont="0" applyFill="0" applyBorder="0" applyAlignment="0" applyProtection="0"/>
    <xf numFmtId="0" fontId="110" fillId="0" borderId="0"/>
    <xf numFmtId="9" fontId="110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08" fillId="0" borderId="0"/>
    <xf numFmtId="9" fontId="108" fillId="0" borderId="0" applyFont="0" applyFill="0" applyBorder="0" applyAlignment="0" applyProtection="0"/>
    <xf numFmtId="0" fontId="108" fillId="0" borderId="0"/>
    <xf numFmtId="9" fontId="108" fillId="0" borderId="0" applyFont="0" applyFill="0" applyBorder="0" applyAlignment="0" applyProtection="0"/>
    <xf numFmtId="0" fontId="108" fillId="0" borderId="0"/>
    <xf numFmtId="9" fontId="108" fillId="0" borderId="0" applyFont="0" applyFill="0" applyBorder="0" applyAlignment="0" applyProtection="0"/>
    <xf numFmtId="0" fontId="108" fillId="0" borderId="0"/>
    <xf numFmtId="9" fontId="108" fillId="0" borderId="0" applyFont="0" applyFill="0" applyBorder="0" applyAlignment="0" applyProtection="0"/>
    <xf numFmtId="0" fontId="108" fillId="0" borderId="0"/>
    <xf numFmtId="9" fontId="108" fillId="0" borderId="0" applyFont="0" applyFill="0" applyBorder="0" applyAlignment="0" applyProtection="0"/>
    <xf numFmtId="0" fontId="108" fillId="0" borderId="0"/>
    <xf numFmtId="9" fontId="108" fillId="0" borderId="0" applyFont="0" applyFill="0" applyBorder="0" applyAlignment="0" applyProtection="0"/>
    <xf numFmtId="0" fontId="108" fillId="0" borderId="0"/>
    <xf numFmtId="9" fontId="108" fillId="0" borderId="0" applyFont="0" applyFill="0" applyBorder="0" applyAlignment="0" applyProtection="0"/>
    <xf numFmtId="0" fontId="108" fillId="0" borderId="0"/>
    <xf numFmtId="9" fontId="108" fillId="0" borderId="0" applyFont="0" applyFill="0" applyBorder="0" applyAlignment="0" applyProtection="0"/>
    <xf numFmtId="0" fontId="108" fillId="0" borderId="0"/>
    <xf numFmtId="9" fontId="108" fillId="0" borderId="0" applyFont="0" applyFill="0" applyBorder="0" applyAlignment="0" applyProtection="0"/>
    <xf numFmtId="0" fontId="108" fillId="0" borderId="0"/>
    <xf numFmtId="9" fontId="108" fillId="0" borderId="0" applyFont="0" applyFill="0" applyBorder="0" applyAlignment="0" applyProtection="0"/>
    <xf numFmtId="0" fontId="108" fillId="0" borderId="0"/>
    <xf numFmtId="9" fontId="108" fillId="0" borderId="0" applyFont="0" applyFill="0" applyBorder="0" applyAlignment="0" applyProtection="0"/>
    <xf numFmtId="0" fontId="108" fillId="0" borderId="0"/>
    <xf numFmtId="9" fontId="108" fillId="0" borderId="0" applyFont="0" applyFill="0" applyBorder="0" applyAlignment="0" applyProtection="0"/>
    <xf numFmtId="0" fontId="108" fillId="0" borderId="0"/>
    <xf numFmtId="9" fontId="108" fillId="0" borderId="0" applyFont="0" applyFill="0" applyBorder="0" applyAlignment="0" applyProtection="0"/>
    <xf numFmtId="0" fontId="108" fillId="0" borderId="0"/>
    <xf numFmtId="9" fontId="108" fillId="0" borderId="0" applyFont="0" applyFill="0" applyBorder="0" applyAlignment="0" applyProtection="0"/>
    <xf numFmtId="0" fontId="108" fillId="0" borderId="0"/>
    <xf numFmtId="9" fontId="108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5" fillId="0" borderId="0"/>
    <xf numFmtId="9" fontId="105" fillId="0" borderId="0" applyFont="0" applyFill="0" applyBorder="0" applyAlignment="0" applyProtection="0"/>
    <xf numFmtId="0" fontId="105" fillId="0" borderId="0"/>
    <xf numFmtId="9" fontId="105" fillId="0" borderId="0" applyFont="0" applyFill="0" applyBorder="0" applyAlignment="0" applyProtection="0"/>
    <xf numFmtId="0" fontId="105" fillId="0" borderId="0"/>
    <xf numFmtId="9" fontId="105" fillId="0" borderId="0" applyFont="0" applyFill="0" applyBorder="0" applyAlignment="0" applyProtection="0"/>
    <xf numFmtId="0" fontId="105" fillId="0" borderId="0"/>
    <xf numFmtId="9" fontId="105" fillId="0" borderId="0" applyFont="0" applyFill="0" applyBorder="0" applyAlignment="0" applyProtection="0"/>
    <xf numFmtId="0" fontId="105" fillId="0" borderId="0"/>
    <xf numFmtId="9" fontId="105" fillId="0" borderId="0" applyFont="0" applyFill="0" applyBorder="0" applyAlignment="0" applyProtection="0"/>
    <xf numFmtId="0" fontId="105" fillId="0" borderId="0"/>
    <xf numFmtId="9" fontId="105" fillId="0" borderId="0" applyFont="0" applyFill="0" applyBorder="0" applyAlignment="0" applyProtection="0"/>
    <xf numFmtId="0" fontId="105" fillId="0" borderId="0"/>
    <xf numFmtId="9" fontId="105" fillId="0" borderId="0" applyFont="0" applyFill="0" applyBorder="0" applyAlignment="0" applyProtection="0"/>
    <xf numFmtId="0" fontId="105" fillId="0" borderId="0"/>
    <xf numFmtId="9" fontId="105" fillId="0" borderId="0" applyFont="0" applyFill="0" applyBorder="0" applyAlignment="0" applyProtection="0"/>
    <xf numFmtId="0" fontId="105" fillId="0" borderId="0"/>
    <xf numFmtId="9" fontId="105" fillId="0" borderId="0" applyFont="0" applyFill="0" applyBorder="0" applyAlignment="0" applyProtection="0"/>
    <xf numFmtId="0" fontId="105" fillId="0" borderId="0"/>
    <xf numFmtId="9" fontId="105" fillId="0" borderId="0" applyFont="0" applyFill="0" applyBorder="0" applyAlignment="0" applyProtection="0"/>
    <xf numFmtId="0" fontId="105" fillId="0" borderId="0"/>
    <xf numFmtId="9" fontId="105" fillId="0" borderId="0" applyFont="0" applyFill="0" applyBorder="0" applyAlignment="0" applyProtection="0"/>
    <xf numFmtId="0" fontId="105" fillId="0" borderId="0"/>
    <xf numFmtId="9" fontId="105" fillId="0" borderId="0" applyFont="0" applyFill="0" applyBorder="0" applyAlignment="0" applyProtection="0"/>
    <xf numFmtId="0" fontId="105" fillId="0" borderId="0"/>
    <xf numFmtId="9" fontId="105" fillId="0" borderId="0" applyFont="0" applyFill="0" applyBorder="0" applyAlignment="0" applyProtection="0"/>
    <xf numFmtId="0" fontId="105" fillId="0" borderId="0"/>
    <xf numFmtId="9" fontId="105" fillId="0" borderId="0" applyFont="0" applyFill="0" applyBorder="0" applyAlignment="0" applyProtection="0"/>
    <xf numFmtId="0" fontId="105" fillId="0" borderId="0"/>
    <xf numFmtId="9" fontId="105" fillId="0" borderId="0" applyFont="0" applyFill="0" applyBorder="0" applyAlignment="0" applyProtection="0"/>
    <xf numFmtId="0" fontId="104" fillId="0" borderId="0"/>
    <xf numFmtId="9" fontId="104" fillId="0" borderId="0" applyFont="0" applyFill="0" applyBorder="0" applyAlignment="0" applyProtection="0"/>
    <xf numFmtId="0" fontId="104" fillId="0" borderId="0"/>
    <xf numFmtId="9" fontId="104" fillId="0" borderId="0" applyFont="0" applyFill="0" applyBorder="0" applyAlignment="0" applyProtection="0"/>
    <xf numFmtId="0" fontId="104" fillId="0" borderId="0"/>
    <xf numFmtId="9" fontId="104" fillId="0" borderId="0" applyFont="0" applyFill="0" applyBorder="0" applyAlignment="0" applyProtection="0"/>
    <xf numFmtId="0" fontId="104" fillId="0" borderId="0"/>
    <xf numFmtId="9" fontId="104" fillId="0" borderId="0" applyFont="0" applyFill="0" applyBorder="0" applyAlignment="0" applyProtection="0"/>
    <xf numFmtId="0" fontId="104" fillId="0" borderId="0"/>
    <xf numFmtId="9" fontId="104" fillId="0" borderId="0" applyFont="0" applyFill="0" applyBorder="0" applyAlignment="0" applyProtection="0"/>
    <xf numFmtId="0" fontId="104" fillId="0" borderId="0"/>
    <xf numFmtId="9" fontId="104" fillId="0" borderId="0" applyFont="0" applyFill="0" applyBorder="0" applyAlignment="0" applyProtection="0"/>
    <xf numFmtId="0" fontId="104" fillId="0" borderId="0"/>
    <xf numFmtId="9" fontId="104" fillId="0" borderId="0" applyFont="0" applyFill="0" applyBorder="0" applyAlignment="0" applyProtection="0"/>
    <xf numFmtId="0" fontId="104" fillId="0" borderId="0"/>
    <xf numFmtId="9" fontId="104" fillId="0" borderId="0" applyFont="0" applyFill="0" applyBorder="0" applyAlignment="0" applyProtection="0"/>
    <xf numFmtId="0" fontId="104" fillId="0" borderId="0"/>
    <xf numFmtId="9" fontId="104" fillId="0" borderId="0" applyFont="0" applyFill="0" applyBorder="0" applyAlignment="0" applyProtection="0"/>
    <xf numFmtId="0" fontId="104" fillId="0" borderId="0"/>
    <xf numFmtId="9" fontId="104" fillId="0" borderId="0" applyFont="0" applyFill="0" applyBorder="0" applyAlignment="0" applyProtection="0"/>
    <xf numFmtId="0" fontId="104" fillId="0" borderId="0"/>
    <xf numFmtId="9" fontId="104" fillId="0" borderId="0" applyFont="0" applyFill="0" applyBorder="0" applyAlignment="0" applyProtection="0"/>
    <xf numFmtId="0" fontId="104" fillId="0" borderId="0"/>
    <xf numFmtId="9" fontId="104" fillId="0" borderId="0" applyFont="0" applyFill="0" applyBorder="0" applyAlignment="0" applyProtection="0"/>
    <xf numFmtId="0" fontId="104" fillId="0" borderId="0"/>
    <xf numFmtId="9" fontId="104" fillId="0" borderId="0" applyFont="0" applyFill="0" applyBorder="0" applyAlignment="0" applyProtection="0"/>
    <xf numFmtId="0" fontId="104" fillId="0" borderId="0"/>
    <xf numFmtId="9" fontId="104" fillId="0" borderId="0" applyFont="0" applyFill="0" applyBorder="0" applyAlignment="0" applyProtection="0"/>
    <xf numFmtId="0" fontId="104" fillId="0" borderId="0"/>
    <xf numFmtId="9" fontId="104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/>
    <xf numFmtId="0" fontId="102" fillId="0" borderId="0"/>
    <xf numFmtId="9" fontId="102" fillId="0" borderId="0" applyFont="0" applyFill="0" applyBorder="0" applyAlignment="0" applyProtection="0"/>
    <xf numFmtId="0" fontId="102" fillId="0" borderId="0"/>
    <xf numFmtId="9" fontId="102" fillId="0" borderId="0" applyFont="0" applyFill="0" applyBorder="0" applyAlignment="0" applyProtection="0"/>
    <xf numFmtId="0" fontId="102" fillId="0" borderId="0"/>
    <xf numFmtId="9" fontId="102" fillId="0" borderId="0" applyFont="0" applyFill="0" applyBorder="0" applyAlignment="0" applyProtection="0"/>
    <xf numFmtId="0" fontId="102" fillId="0" borderId="0"/>
    <xf numFmtId="9" fontId="102" fillId="0" borderId="0" applyFont="0" applyFill="0" applyBorder="0" applyAlignment="0" applyProtection="0"/>
    <xf numFmtId="0" fontId="102" fillId="0" borderId="0"/>
    <xf numFmtId="9" fontId="102" fillId="0" borderId="0" applyFont="0" applyFill="0" applyBorder="0" applyAlignment="0" applyProtection="0"/>
    <xf numFmtId="0" fontId="102" fillId="0" borderId="0"/>
    <xf numFmtId="9" fontId="102" fillId="0" borderId="0" applyFont="0" applyFill="0" applyBorder="0" applyAlignment="0" applyProtection="0"/>
    <xf numFmtId="0" fontId="102" fillId="0" borderId="0"/>
    <xf numFmtId="9" fontId="102" fillId="0" borderId="0" applyFont="0" applyFill="0" applyBorder="0" applyAlignment="0" applyProtection="0"/>
    <xf numFmtId="0" fontId="102" fillId="0" borderId="0"/>
    <xf numFmtId="9" fontId="102" fillId="0" borderId="0" applyFont="0" applyFill="0" applyBorder="0" applyAlignment="0" applyProtection="0"/>
    <xf numFmtId="0" fontId="102" fillId="0" borderId="0"/>
    <xf numFmtId="9" fontId="102" fillId="0" borderId="0" applyFont="0" applyFill="0" applyBorder="0" applyAlignment="0" applyProtection="0"/>
    <xf numFmtId="0" fontId="102" fillId="0" borderId="0"/>
    <xf numFmtId="9" fontId="102" fillId="0" borderId="0" applyFont="0" applyFill="0" applyBorder="0" applyAlignment="0" applyProtection="0"/>
    <xf numFmtId="0" fontId="102" fillId="0" borderId="0"/>
    <xf numFmtId="9" fontId="102" fillId="0" borderId="0" applyFont="0" applyFill="0" applyBorder="0" applyAlignment="0" applyProtection="0"/>
    <xf numFmtId="0" fontId="102" fillId="0" borderId="0"/>
    <xf numFmtId="9" fontId="102" fillId="0" borderId="0" applyFont="0" applyFill="0" applyBorder="0" applyAlignment="0" applyProtection="0"/>
    <xf numFmtId="0" fontId="102" fillId="0" borderId="0"/>
    <xf numFmtId="9" fontId="102" fillId="0" borderId="0" applyFont="0" applyFill="0" applyBorder="0" applyAlignment="0" applyProtection="0"/>
    <xf numFmtId="0" fontId="102" fillId="0" borderId="0"/>
    <xf numFmtId="9" fontId="102" fillId="0" borderId="0" applyFont="0" applyFill="0" applyBorder="0" applyAlignment="0" applyProtection="0"/>
    <xf numFmtId="0" fontId="102" fillId="0" borderId="0"/>
    <xf numFmtId="9" fontId="102" fillId="0" borderId="0" applyFont="0" applyFill="0" applyBorder="0" applyAlignment="0" applyProtection="0"/>
    <xf numFmtId="0" fontId="101" fillId="0" borderId="0"/>
    <xf numFmtId="9" fontId="101" fillId="0" borderId="0" applyFont="0" applyFill="0" applyBorder="0" applyAlignment="0" applyProtection="0"/>
    <xf numFmtId="0" fontId="101" fillId="0" borderId="0"/>
    <xf numFmtId="9" fontId="101" fillId="0" borderId="0" applyFont="0" applyFill="0" applyBorder="0" applyAlignment="0" applyProtection="0"/>
    <xf numFmtId="0" fontId="101" fillId="0" borderId="0"/>
    <xf numFmtId="9" fontId="101" fillId="0" borderId="0" applyFont="0" applyFill="0" applyBorder="0" applyAlignment="0" applyProtection="0"/>
    <xf numFmtId="0" fontId="101" fillId="0" borderId="0"/>
    <xf numFmtId="9" fontId="101" fillId="0" borderId="0" applyFont="0" applyFill="0" applyBorder="0" applyAlignment="0" applyProtection="0"/>
    <xf numFmtId="0" fontId="101" fillId="0" borderId="0"/>
    <xf numFmtId="9" fontId="101" fillId="0" borderId="0" applyFont="0" applyFill="0" applyBorder="0" applyAlignment="0" applyProtection="0"/>
    <xf numFmtId="0" fontId="101" fillId="0" borderId="0"/>
    <xf numFmtId="9" fontId="101" fillId="0" borderId="0" applyFont="0" applyFill="0" applyBorder="0" applyAlignment="0" applyProtection="0"/>
    <xf numFmtId="0" fontId="101" fillId="0" borderId="0"/>
    <xf numFmtId="9" fontId="101" fillId="0" borderId="0" applyFont="0" applyFill="0" applyBorder="0" applyAlignment="0" applyProtection="0"/>
    <xf numFmtId="0" fontId="101" fillId="0" borderId="0"/>
    <xf numFmtId="9" fontId="101" fillId="0" borderId="0" applyFont="0" applyFill="0" applyBorder="0" applyAlignment="0" applyProtection="0"/>
    <xf numFmtId="0" fontId="101" fillId="0" borderId="0"/>
    <xf numFmtId="9" fontId="101" fillId="0" borderId="0" applyFont="0" applyFill="0" applyBorder="0" applyAlignment="0" applyProtection="0"/>
    <xf numFmtId="0" fontId="101" fillId="0" borderId="0"/>
    <xf numFmtId="9" fontId="101" fillId="0" borderId="0" applyFont="0" applyFill="0" applyBorder="0" applyAlignment="0" applyProtection="0"/>
    <xf numFmtId="0" fontId="101" fillId="0" borderId="0"/>
    <xf numFmtId="9" fontId="101" fillId="0" borderId="0" applyFont="0" applyFill="0" applyBorder="0" applyAlignment="0" applyProtection="0"/>
    <xf numFmtId="0" fontId="101" fillId="0" borderId="0"/>
    <xf numFmtId="9" fontId="101" fillId="0" borderId="0" applyFont="0" applyFill="0" applyBorder="0" applyAlignment="0" applyProtection="0"/>
    <xf numFmtId="0" fontId="101" fillId="0" borderId="0"/>
    <xf numFmtId="9" fontId="101" fillId="0" borderId="0" applyFont="0" applyFill="0" applyBorder="0" applyAlignment="0" applyProtection="0"/>
    <xf numFmtId="0" fontId="101" fillId="0" borderId="0"/>
    <xf numFmtId="9" fontId="101" fillId="0" borderId="0" applyFont="0" applyFill="0" applyBorder="0" applyAlignment="0" applyProtection="0"/>
    <xf numFmtId="0" fontId="101" fillId="0" borderId="0"/>
    <xf numFmtId="9" fontId="101" fillId="0" borderId="0" applyFont="0" applyFill="0" applyBorder="0" applyAlignment="0" applyProtection="0"/>
    <xf numFmtId="0" fontId="100" fillId="0" borderId="0"/>
    <xf numFmtId="9" fontId="100" fillId="0" borderId="0" applyFont="0" applyFill="0" applyBorder="0" applyAlignment="0" applyProtection="0"/>
    <xf numFmtId="0" fontId="100" fillId="0" borderId="0"/>
    <xf numFmtId="9" fontId="100" fillId="0" borderId="0" applyFont="0" applyFill="0" applyBorder="0" applyAlignment="0" applyProtection="0"/>
    <xf numFmtId="0" fontId="100" fillId="0" borderId="0"/>
    <xf numFmtId="9" fontId="100" fillId="0" borderId="0" applyFont="0" applyFill="0" applyBorder="0" applyAlignment="0" applyProtection="0"/>
    <xf numFmtId="0" fontId="100" fillId="0" borderId="0"/>
    <xf numFmtId="9" fontId="100" fillId="0" borderId="0" applyFont="0" applyFill="0" applyBorder="0" applyAlignment="0" applyProtection="0"/>
    <xf numFmtId="0" fontId="100" fillId="0" borderId="0"/>
    <xf numFmtId="9" fontId="100" fillId="0" borderId="0" applyFont="0" applyFill="0" applyBorder="0" applyAlignment="0" applyProtection="0"/>
    <xf numFmtId="0" fontId="100" fillId="0" borderId="0"/>
    <xf numFmtId="9" fontId="100" fillId="0" borderId="0" applyFont="0" applyFill="0" applyBorder="0" applyAlignment="0" applyProtection="0"/>
    <xf numFmtId="0" fontId="100" fillId="0" borderId="0"/>
    <xf numFmtId="9" fontId="100" fillId="0" borderId="0" applyFont="0" applyFill="0" applyBorder="0" applyAlignment="0" applyProtection="0"/>
    <xf numFmtId="0" fontId="100" fillId="0" borderId="0"/>
    <xf numFmtId="9" fontId="100" fillId="0" borderId="0" applyFont="0" applyFill="0" applyBorder="0" applyAlignment="0" applyProtection="0"/>
    <xf numFmtId="0" fontId="100" fillId="0" borderId="0"/>
    <xf numFmtId="9" fontId="100" fillId="0" borderId="0" applyFont="0" applyFill="0" applyBorder="0" applyAlignment="0" applyProtection="0"/>
    <xf numFmtId="0" fontId="100" fillId="0" borderId="0"/>
    <xf numFmtId="9" fontId="100" fillId="0" borderId="0" applyFont="0" applyFill="0" applyBorder="0" applyAlignment="0" applyProtection="0"/>
    <xf numFmtId="0" fontId="100" fillId="0" borderId="0"/>
    <xf numFmtId="9" fontId="100" fillId="0" borderId="0" applyFont="0" applyFill="0" applyBorder="0" applyAlignment="0" applyProtection="0"/>
    <xf numFmtId="0" fontId="100" fillId="0" borderId="0"/>
    <xf numFmtId="9" fontId="100" fillId="0" borderId="0" applyFont="0" applyFill="0" applyBorder="0" applyAlignment="0" applyProtection="0"/>
    <xf numFmtId="0" fontId="100" fillId="0" borderId="0"/>
    <xf numFmtId="9" fontId="100" fillId="0" borderId="0" applyFont="0" applyFill="0" applyBorder="0" applyAlignment="0" applyProtection="0"/>
    <xf numFmtId="0" fontId="100" fillId="0" borderId="0"/>
    <xf numFmtId="9" fontId="100" fillId="0" borderId="0" applyFont="0" applyFill="0" applyBorder="0" applyAlignment="0" applyProtection="0"/>
    <xf numFmtId="0" fontId="100" fillId="0" borderId="0"/>
    <xf numFmtId="9" fontId="100" fillId="0" borderId="0" applyFont="0" applyFill="0" applyBorder="0" applyAlignment="0" applyProtection="0"/>
    <xf numFmtId="0" fontId="99" fillId="0" borderId="0"/>
    <xf numFmtId="9" fontId="99" fillId="0" borderId="0" applyFont="0" applyFill="0" applyBorder="0" applyAlignment="0" applyProtection="0"/>
    <xf numFmtId="0" fontId="99" fillId="0" borderId="0"/>
    <xf numFmtId="9" fontId="99" fillId="0" borderId="0" applyFont="0" applyFill="0" applyBorder="0" applyAlignment="0" applyProtection="0"/>
    <xf numFmtId="0" fontId="99" fillId="0" borderId="0"/>
    <xf numFmtId="9" fontId="99" fillId="0" borderId="0" applyFont="0" applyFill="0" applyBorder="0" applyAlignment="0" applyProtection="0"/>
    <xf numFmtId="0" fontId="99" fillId="0" borderId="0"/>
    <xf numFmtId="9" fontId="99" fillId="0" borderId="0" applyFont="0" applyFill="0" applyBorder="0" applyAlignment="0" applyProtection="0"/>
    <xf numFmtId="0" fontId="99" fillId="0" borderId="0"/>
    <xf numFmtId="9" fontId="99" fillId="0" borderId="0" applyFont="0" applyFill="0" applyBorder="0" applyAlignment="0" applyProtection="0"/>
    <xf numFmtId="0" fontId="99" fillId="0" borderId="0"/>
    <xf numFmtId="9" fontId="99" fillId="0" borderId="0" applyFont="0" applyFill="0" applyBorder="0" applyAlignment="0" applyProtection="0"/>
    <xf numFmtId="0" fontId="99" fillId="0" borderId="0"/>
    <xf numFmtId="9" fontId="99" fillId="0" borderId="0" applyFont="0" applyFill="0" applyBorder="0" applyAlignment="0" applyProtection="0"/>
    <xf numFmtId="0" fontId="99" fillId="0" borderId="0"/>
    <xf numFmtId="9" fontId="99" fillId="0" borderId="0" applyFont="0" applyFill="0" applyBorder="0" applyAlignment="0" applyProtection="0"/>
    <xf numFmtId="0" fontId="99" fillId="0" borderId="0"/>
    <xf numFmtId="9" fontId="99" fillId="0" borderId="0" applyFont="0" applyFill="0" applyBorder="0" applyAlignment="0" applyProtection="0"/>
    <xf numFmtId="0" fontId="99" fillId="0" borderId="0"/>
    <xf numFmtId="9" fontId="99" fillId="0" borderId="0" applyFont="0" applyFill="0" applyBorder="0" applyAlignment="0" applyProtection="0"/>
    <xf numFmtId="0" fontId="99" fillId="0" borderId="0"/>
    <xf numFmtId="9" fontId="99" fillId="0" borderId="0" applyFont="0" applyFill="0" applyBorder="0" applyAlignment="0" applyProtection="0"/>
    <xf numFmtId="0" fontId="99" fillId="0" borderId="0"/>
    <xf numFmtId="9" fontId="99" fillId="0" borderId="0" applyFont="0" applyFill="0" applyBorder="0" applyAlignment="0" applyProtection="0"/>
    <xf numFmtId="0" fontId="99" fillId="0" borderId="0"/>
    <xf numFmtId="9" fontId="99" fillId="0" borderId="0" applyFont="0" applyFill="0" applyBorder="0" applyAlignment="0" applyProtection="0"/>
    <xf numFmtId="0" fontId="99" fillId="0" borderId="0"/>
    <xf numFmtId="9" fontId="99" fillId="0" borderId="0" applyFont="0" applyFill="0" applyBorder="0" applyAlignment="0" applyProtection="0"/>
    <xf numFmtId="0" fontId="99" fillId="0" borderId="0"/>
    <xf numFmtId="9" fontId="99" fillId="0" borderId="0" applyFont="0" applyFill="0" applyBorder="0" applyAlignment="0" applyProtection="0"/>
    <xf numFmtId="0" fontId="98" fillId="0" borderId="0"/>
    <xf numFmtId="9" fontId="98" fillId="0" borderId="0" applyFont="0" applyFill="0" applyBorder="0" applyAlignment="0" applyProtection="0"/>
    <xf numFmtId="0" fontId="98" fillId="0" borderId="0"/>
    <xf numFmtId="9" fontId="98" fillId="0" borderId="0" applyFont="0" applyFill="0" applyBorder="0" applyAlignment="0" applyProtection="0"/>
    <xf numFmtId="0" fontId="98" fillId="0" borderId="0"/>
    <xf numFmtId="9" fontId="98" fillId="0" borderId="0" applyFont="0" applyFill="0" applyBorder="0" applyAlignment="0" applyProtection="0"/>
    <xf numFmtId="0" fontId="98" fillId="0" borderId="0"/>
    <xf numFmtId="9" fontId="98" fillId="0" borderId="0" applyFont="0" applyFill="0" applyBorder="0" applyAlignment="0" applyProtection="0"/>
    <xf numFmtId="0" fontId="98" fillId="0" borderId="0"/>
    <xf numFmtId="9" fontId="98" fillId="0" borderId="0" applyFont="0" applyFill="0" applyBorder="0" applyAlignment="0" applyProtection="0"/>
    <xf numFmtId="0" fontId="98" fillId="0" borderId="0"/>
    <xf numFmtId="9" fontId="98" fillId="0" borderId="0" applyFont="0" applyFill="0" applyBorder="0" applyAlignment="0" applyProtection="0"/>
    <xf numFmtId="0" fontId="98" fillId="0" borderId="0"/>
    <xf numFmtId="9" fontId="98" fillId="0" borderId="0" applyFont="0" applyFill="0" applyBorder="0" applyAlignment="0" applyProtection="0"/>
    <xf numFmtId="0" fontId="98" fillId="0" borderId="0"/>
    <xf numFmtId="9" fontId="98" fillId="0" borderId="0" applyFont="0" applyFill="0" applyBorder="0" applyAlignment="0" applyProtection="0"/>
    <xf numFmtId="0" fontId="98" fillId="0" borderId="0"/>
    <xf numFmtId="9" fontId="98" fillId="0" borderId="0" applyFont="0" applyFill="0" applyBorder="0" applyAlignment="0" applyProtection="0"/>
    <xf numFmtId="0" fontId="98" fillId="0" borderId="0"/>
    <xf numFmtId="9" fontId="98" fillId="0" borderId="0" applyFont="0" applyFill="0" applyBorder="0" applyAlignment="0" applyProtection="0"/>
    <xf numFmtId="0" fontId="98" fillId="0" borderId="0"/>
    <xf numFmtId="9" fontId="98" fillId="0" borderId="0" applyFont="0" applyFill="0" applyBorder="0" applyAlignment="0" applyProtection="0"/>
    <xf numFmtId="0" fontId="98" fillId="0" borderId="0"/>
    <xf numFmtId="9" fontId="98" fillId="0" borderId="0" applyFont="0" applyFill="0" applyBorder="0" applyAlignment="0" applyProtection="0"/>
    <xf numFmtId="0" fontId="98" fillId="0" borderId="0"/>
    <xf numFmtId="9" fontId="98" fillId="0" borderId="0" applyFont="0" applyFill="0" applyBorder="0" applyAlignment="0" applyProtection="0"/>
    <xf numFmtId="0" fontId="98" fillId="0" borderId="0"/>
    <xf numFmtId="9" fontId="98" fillId="0" borderId="0" applyFont="0" applyFill="0" applyBorder="0" applyAlignment="0" applyProtection="0"/>
    <xf numFmtId="0" fontId="98" fillId="0" borderId="0"/>
    <xf numFmtId="9" fontId="98" fillId="0" borderId="0" applyFont="0" applyFill="0" applyBorder="0" applyAlignment="0" applyProtection="0"/>
    <xf numFmtId="0" fontId="98" fillId="0" borderId="0"/>
    <xf numFmtId="9" fontId="98" fillId="0" borderId="0" applyFont="0" applyFill="0" applyBorder="0" applyAlignment="0" applyProtection="0"/>
    <xf numFmtId="0" fontId="97" fillId="0" borderId="0"/>
    <xf numFmtId="9" fontId="97" fillId="0" borderId="0" applyFont="0" applyFill="0" applyBorder="0" applyAlignment="0" applyProtection="0"/>
    <xf numFmtId="0" fontId="97" fillId="0" borderId="0"/>
    <xf numFmtId="9" fontId="97" fillId="0" borderId="0" applyFont="0" applyFill="0" applyBorder="0" applyAlignment="0" applyProtection="0"/>
    <xf numFmtId="0" fontId="97" fillId="0" borderId="0"/>
    <xf numFmtId="9" fontId="97" fillId="0" borderId="0" applyFont="0" applyFill="0" applyBorder="0" applyAlignment="0" applyProtection="0"/>
    <xf numFmtId="0" fontId="97" fillId="0" borderId="0"/>
    <xf numFmtId="9" fontId="97" fillId="0" borderId="0" applyFont="0" applyFill="0" applyBorder="0" applyAlignment="0" applyProtection="0"/>
    <xf numFmtId="0" fontId="97" fillId="0" borderId="0"/>
    <xf numFmtId="9" fontId="97" fillId="0" borderId="0" applyFont="0" applyFill="0" applyBorder="0" applyAlignment="0" applyProtection="0"/>
    <xf numFmtId="0" fontId="97" fillId="0" borderId="0"/>
    <xf numFmtId="9" fontId="97" fillId="0" borderId="0" applyFont="0" applyFill="0" applyBorder="0" applyAlignment="0" applyProtection="0"/>
    <xf numFmtId="0" fontId="97" fillId="0" borderId="0"/>
    <xf numFmtId="9" fontId="97" fillId="0" borderId="0" applyFont="0" applyFill="0" applyBorder="0" applyAlignment="0" applyProtection="0"/>
    <xf numFmtId="0" fontId="97" fillId="0" borderId="0"/>
    <xf numFmtId="9" fontId="97" fillId="0" borderId="0" applyFont="0" applyFill="0" applyBorder="0" applyAlignment="0" applyProtection="0"/>
    <xf numFmtId="0" fontId="97" fillId="0" borderId="0"/>
    <xf numFmtId="9" fontId="97" fillId="0" borderId="0" applyFont="0" applyFill="0" applyBorder="0" applyAlignment="0" applyProtection="0"/>
    <xf numFmtId="0" fontId="97" fillId="0" borderId="0"/>
    <xf numFmtId="9" fontId="97" fillId="0" borderId="0" applyFont="0" applyFill="0" applyBorder="0" applyAlignment="0" applyProtection="0"/>
    <xf numFmtId="0" fontId="97" fillId="0" borderId="0"/>
    <xf numFmtId="9" fontId="97" fillId="0" borderId="0" applyFont="0" applyFill="0" applyBorder="0" applyAlignment="0" applyProtection="0"/>
    <xf numFmtId="0" fontId="97" fillId="0" borderId="0"/>
    <xf numFmtId="9" fontId="97" fillId="0" borderId="0" applyFont="0" applyFill="0" applyBorder="0" applyAlignment="0" applyProtection="0"/>
    <xf numFmtId="0" fontId="97" fillId="0" borderId="0"/>
    <xf numFmtId="9" fontId="97" fillId="0" borderId="0" applyFont="0" applyFill="0" applyBorder="0" applyAlignment="0" applyProtection="0"/>
    <xf numFmtId="0" fontId="97" fillId="0" borderId="0"/>
    <xf numFmtId="9" fontId="97" fillId="0" borderId="0" applyFont="0" applyFill="0" applyBorder="0" applyAlignment="0" applyProtection="0"/>
    <xf numFmtId="0" fontId="97" fillId="0" borderId="0"/>
    <xf numFmtId="9" fontId="97" fillId="0" borderId="0" applyFont="0" applyFill="0" applyBorder="0" applyAlignment="0" applyProtection="0"/>
    <xf numFmtId="0" fontId="97" fillId="0" borderId="0"/>
    <xf numFmtId="9" fontId="97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95" fillId="0" borderId="0"/>
    <xf numFmtId="9" fontId="95" fillId="0" borderId="0" applyFont="0" applyFill="0" applyBorder="0" applyAlignment="0" applyProtection="0"/>
    <xf numFmtId="0" fontId="95" fillId="0" borderId="0"/>
    <xf numFmtId="9" fontId="95" fillId="0" borderId="0" applyFont="0" applyFill="0" applyBorder="0" applyAlignment="0" applyProtection="0"/>
    <xf numFmtId="0" fontId="95" fillId="0" borderId="0"/>
    <xf numFmtId="9" fontId="95" fillId="0" borderId="0" applyFont="0" applyFill="0" applyBorder="0" applyAlignment="0" applyProtection="0"/>
    <xf numFmtId="0" fontId="95" fillId="0" borderId="0"/>
    <xf numFmtId="9" fontId="95" fillId="0" borderId="0" applyFont="0" applyFill="0" applyBorder="0" applyAlignment="0" applyProtection="0"/>
    <xf numFmtId="0" fontId="95" fillId="0" borderId="0"/>
    <xf numFmtId="9" fontId="95" fillId="0" borderId="0" applyFont="0" applyFill="0" applyBorder="0" applyAlignment="0" applyProtection="0"/>
    <xf numFmtId="0" fontId="95" fillId="0" borderId="0"/>
    <xf numFmtId="9" fontId="95" fillId="0" borderId="0" applyFont="0" applyFill="0" applyBorder="0" applyAlignment="0" applyProtection="0"/>
    <xf numFmtId="0" fontId="95" fillId="0" borderId="0"/>
    <xf numFmtId="9" fontId="95" fillId="0" borderId="0" applyFont="0" applyFill="0" applyBorder="0" applyAlignment="0" applyProtection="0"/>
    <xf numFmtId="0" fontId="95" fillId="0" borderId="0"/>
    <xf numFmtId="9" fontId="95" fillId="0" borderId="0" applyFont="0" applyFill="0" applyBorder="0" applyAlignment="0" applyProtection="0"/>
    <xf numFmtId="0" fontId="95" fillId="0" borderId="0"/>
    <xf numFmtId="9" fontId="95" fillId="0" borderId="0" applyFont="0" applyFill="0" applyBorder="0" applyAlignment="0" applyProtection="0"/>
    <xf numFmtId="0" fontId="95" fillId="0" borderId="0"/>
    <xf numFmtId="9" fontId="95" fillId="0" borderId="0" applyFont="0" applyFill="0" applyBorder="0" applyAlignment="0" applyProtection="0"/>
    <xf numFmtId="0" fontId="95" fillId="0" borderId="0"/>
    <xf numFmtId="9" fontId="95" fillId="0" borderId="0" applyFont="0" applyFill="0" applyBorder="0" applyAlignment="0" applyProtection="0"/>
    <xf numFmtId="0" fontId="95" fillId="0" borderId="0"/>
    <xf numFmtId="9" fontId="95" fillId="0" borderId="0" applyFont="0" applyFill="0" applyBorder="0" applyAlignment="0" applyProtection="0"/>
    <xf numFmtId="0" fontId="95" fillId="0" borderId="0"/>
    <xf numFmtId="9" fontId="95" fillId="0" borderId="0" applyFont="0" applyFill="0" applyBorder="0" applyAlignment="0" applyProtection="0"/>
    <xf numFmtId="0" fontId="95" fillId="0" borderId="0"/>
    <xf numFmtId="9" fontId="95" fillId="0" borderId="0" applyFont="0" applyFill="0" applyBorder="0" applyAlignment="0" applyProtection="0"/>
    <xf numFmtId="0" fontId="95" fillId="0" borderId="0"/>
    <xf numFmtId="9" fontId="95" fillId="0" borderId="0" applyFont="0" applyFill="0" applyBorder="0" applyAlignment="0" applyProtection="0"/>
    <xf numFmtId="0" fontId="95" fillId="0" borderId="0"/>
    <xf numFmtId="9" fontId="95" fillId="0" borderId="0" applyFont="0" applyFill="0" applyBorder="0" applyAlignment="0" applyProtection="0"/>
    <xf numFmtId="0" fontId="94" fillId="0" borderId="0"/>
    <xf numFmtId="9" fontId="94" fillId="0" borderId="0" applyFont="0" applyFill="0" applyBorder="0" applyAlignment="0" applyProtection="0"/>
    <xf numFmtId="0" fontId="94" fillId="0" borderId="0"/>
    <xf numFmtId="9" fontId="94" fillId="0" borderId="0" applyFont="0" applyFill="0" applyBorder="0" applyAlignment="0" applyProtection="0"/>
    <xf numFmtId="0" fontId="94" fillId="0" borderId="0"/>
    <xf numFmtId="9" fontId="94" fillId="0" borderId="0" applyFont="0" applyFill="0" applyBorder="0" applyAlignment="0" applyProtection="0"/>
    <xf numFmtId="0" fontId="94" fillId="0" borderId="0"/>
    <xf numFmtId="9" fontId="94" fillId="0" borderId="0" applyFont="0" applyFill="0" applyBorder="0" applyAlignment="0" applyProtection="0"/>
    <xf numFmtId="0" fontId="94" fillId="0" borderId="0"/>
    <xf numFmtId="9" fontId="94" fillId="0" borderId="0" applyFont="0" applyFill="0" applyBorder="0" applyAlignment="0" applyProtection="0"/>
    <xf numFmtId="0" fontId="94" fillId="0" borderId="0"/>
    <xf numFmtId="9" fontId="94" fillId="0" borderId="0" applyFont="0" applyFill="0" applyBorder="0" applyAlignment="0" applyProtection="0"/>
    <xf numFmtId="0" fontId="94" fillId="0" borderId="0"/>
    <xf numFmtId="9" fontId="94" fillId="0" borderId="0" applyFont="0" applyFill="0" applyBorder="0" applyAlignment="0" applyProtection="0"/>
    <xf numFmtId="0" fontId="94" fillId="0" borderId="0"/>
    <xf numFmtId="9" fontId="94" fillId="0" borderId="0" applyFont="0" applyFill="0" applyBorder="0" applyAlignment="0" applyProtection="0"/>
    <xf numFmtId="0" fontId="94" fillId="0" borderId="0"/>
    <xf numFmtId="9" fontId="94" fillId="0" borderId="0" applyFont="0" applyFill="0" applyBorder="0" applyAlignment="0" applyProtection="0"/>
    <xf numFmtId="0" fontId="94" fillId="0" borderId="0"/>
    <xf numFmtId="9" fontId="94" fillId="0" borderId="0" applyFont="0" applyFill="0" applyBorder="0" applyAlignment="0" applyProtection="0"/>
    <xf numFmtId="0" fontId="94" fillId="0" borderId="0"/>
    <xf numFmtId="9" fontId="94" fillId="0" borderId="0" applyFont="0" applyFill="0" applyBorder="0" applyAlignment="0" applyProtection="0"/>
    <xf numFmtId="0" fontId="94" fillId="0" borderId="0"/>
    <xf numFmtId="9" fontId="94" fillId="0" borderId="0" applyFont="0" applyFill="0" applyBorder="0" applyAlignment="0" applyProtection="0"/>
    <xf numFmtId="0" fontId="94" fillId="0" borderId="0"/>
    <xf numFmtId="9" fontId="94" fillId="0" borderId="0" applyFont="0" applyFill="0" applyBorder="0" applyAlignment="0" applyProtection="0"/>
    <xf numFmtId="0" fontId="94" fillId="0" borderId="0"/>
    <xf numFmtId="9" fontId="94" fillId="0" borderId="0" applyFont="0" applyFill="0" applyBorder="0" applyAlignment="0" applyProtection="0"/>
    <xf numFmtId="0" fontId="94" fillId="0" borderId="0"/>
    <xf numFmtId="9" fontId="94" fillId="0" borderId="0" applyFont="0" applyFill="0" applyBorder="0" applyAlignment="0" applyProtection="0"/>
    <xf numFmtId="0" fontId="94" fillId="0" borderId="0"/>
    <xf numFmtId="9" fontId="94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92" fillId="0" borderId="0"/>
    <xf numFmtId="9" fontId="92" fillId="0" borderId="0" applyFont="0" applyFill="0" applyBorder="0" applyAlignment="0" applyProtection="0"/>
    <xf numFmtId="0" fontId="92" fillId="0" borderId="0"/>
    <xf numFmtId="9" fontId="92" fillId="0" borderId="0" applyFont="0" applyFill="0" applyBorder="0" applyAlignment="0" applyProtection="0"/>
    <xf numFmtId="0" fontId="92" fillId="0" borderId="0"/>
    <xf numFmtId="9" fontId="92" fillId="0" borderId="0" applyFont="0" applyFill="0" applyBorder="0" applyAlignment="0" applyProtection="0"/>
    <xf numFmtId="0" fontId="92" fillId="0" borderId="0"/>
    <xf numFmtId="9" fontId="92" fillId="0" borderId="0" applyFont="0" applyFill="0" applyBorder="0" applyAlignment="0" applyProtection="0"/>
    <xf numFmtId="0" fontId="92" fillId="0" borderId="0"/>
    <xf numFmtId="9" fontId="92" fillId="0" borderId="0" applyFont="0" applyFill="0" applyBorder="0" applyAlignment="0" applyProtection="0"/>
    <xf numFmtId="0" fontId="92" fillId="0" borderId="0"/>
    <xf numFmtId="9" fontId="92" fillId="0" borderId="0" applyFont="0" applyFill="0" applyBorder="0" applyAlignment="0" applyProtection="0"/>
    <xf numFmtId="0" fontId="92" fillId="0" borderId="0"/>
    <xf numFmtId="9" fontId="92" fillId="0" borderId="0" applyFont="0" applyFill="0" applyBorder="0" applyAlignment="0" applyProtection="0"/>
    <xf numFmtId="0" fontId="92" fillId="0" borderId="0"/>
    <xf numFmtId="9" fontId="92" fillId="0" borderId="0" applyFont="0" applyFill="0" applyBorder="0" applyAlignment="0" applyProtection="0"/>
    <xf numFmtId="0" fontId="92" fillId="0" borderId="0"/>
    <xf numFmtId="9" fontId="92" fillId="0" borderId="0" applyFont="0" applyFill="0" applyBorder="0" applyAlignment="0" applyProtection="0"/>
    <xf numFmtId="0" fontId="92" fillId="0" borderId="0"/>
    <xf numFmtId="9" fontId="92" fillId="0" borderId="0" applyFont="0" applyFill="0" applyBorder="0" applyAlignment="0" applyProtection="0"/>
    <xf numFmtId="0" fontId="92" fillId="0" borderId="0"/>
    <xf numFmtId="9" fontId="92" fillId="0" borderId="0" applyFont="0" applyFill="0" applyBorder="0" applyAlignment="0" applyProtection="0"/>
    <xf numFmtId="0" fontId="92" fillId="0" borderId="0"/>
    <xf numFmtId="9" fontId="92" fillId="0" borderId="0" applyFont="0" applyFill="0" applyBorder="0" applyAlignment="0" applyProtection="0"/>
    <xf numFmtId="0" fontId="92" fillId="0" borderId="0"/>
    <xf numFmtId="9" fontId="92" fillId="0" borderId="0" applyFont="0" applyFill="0" applyBorder="0" applyAlignment="0" applyProtection="0"/>
    <xf numFmtId="0" fontId="92" fillId="0" borderId="0"/>
    <xf numFmtId="9" fontId="92" fillId="0" borderId="0" applyFont="0" applyFill="0" applyBorder="0" applyAlignment="0" applyProtection="0"/>
    <xf numFmtId="0" fontId="92" fillId="0" borderId="0"/>
    <xf numFmtId="9" fontId="92" fillId="0" borderId="0" applyFont="0" applyFill="0" applyBorder="0" applyAlignment="0" applyProtection="0"/>
    <xf numFmtId="0" fontId="92" fillId="0" borderId="0"/>
    <xf numFmtId="9" fontId="92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90" fillId="0" borderId="0"/>
    <xf numFmtId="9" fontId="90" fillId="0" borderId="0" applyFont="0" applyFill="0" applyBorder="0" applyAlignment="0" applyProtection="0"/>
    <xf numFmtId="0" fontId="89" fillId="0" borderId="0"/>
    <xf numFmtId="9" fontId="89" fillId="0" borderId="0" applyFont="0" applyFill="0" applyBorder="0" applyAlignment="0" applyProtection="0"/>
    <xf numFmtId="0" fontId="88" fillId="0" borderId="0"/>
    <xf numFmtId="9" fontId="88" fillId="0" borderId="0" applyFont="0" applyFill="0" applyBorder="0" applyAlignment="0" applyProtection="0"/>
    <xf numFmtId="0" fontId="88" fillId="0" borderId="0"/>
    <xf numFmtId="9" fontId="88" fillId="0" borderId="0" applyFont="0" applyFill="0" applyBorder="0" applyAlignment="0" applyProtection="0"/>
    <xf numFmtId="0" fontId="88" fillId="0" borderId="0"/>
    <xf numFmtId="9" fontId="88" fillId="0" borderId="0" applyFont="0" applyFill="0" applyBorder="0" applyAlignment="0" applyProtection="0"/>
    <xf numFmtId="0" fontId="88" fillId="0" borderId="0"/>
    <xf numFmtId="9" fontId="88" fillId="0" borderId="0" applyFont="0" applyFill="0" applyBorder="0" applyAlignment="0" applyProtection="0"/>
    <xf numFmtId="0" fontId="88" fillId="0" borderId="0"/>
    <xf numFmtId="9" fontId="88" fillId="0" borderId="0" applyFont="0" applyFill="0" applyBorder="0" applyAlignment="0" applyProtection="0"/>
    <xf numFmtId="0" fontId="88" fillId="0" borderId="0"/>
    <xf numFmtId="9" fontId="88" fillId="0" borderId="0" applyFont="0" applyFill="0" applyBorder="0" applyAlignment="0" applyProtection="0"/>
    <xf numFmtId="0" fontId="88" fillId="0" borderId="0"/>
    <xf numFmtId="9" fontId="88" fillId="0" borderId="0" applyFont="0" applyFill="0" applyBorder="0" applyAlignment="0" applyProtection="0"/>
    <xf numFmtId="0" fontId="88" fillId="0" borderId="0"/>
    <xf numFmtId="9" fontId="88" fillId="0" borderId="0" applyFont="0" applyFill="0" applyBorder="0" applyAlignment="0" applyProtection="0"/>
    <xf numFmtId="0" fontId="88" fillId="0" borderId="0"/>
    <xf numFmtId="9" fontId="88" fillId="0" borderId="0" applyFont="0" applyFill="0" applyBorder="0" applyAlignment="0" applyProtection="0"/>
    <xf numFmtId="0" fontId="88" fillId="0" borderId="0"/>
    <xf numFmtId="9" fontId="88" fillId="0" borderId="0" applyFont="0" applyFill="0" applyBorder="0" applyAlignment="0" applyProtection="0"/>
    <xf numFmtId="0" fontId="88" fillId="0" borderId="0"/>
    <xf numFmtId="9" fontId="88" fillId="0" borderId="0" applyFont="0" applyFill="0" applyBorder="0" applyAlignment="0" applyProtection="0"/>
    <xf numFmtId="0" fontId="88" fillId="0" borderId="0"/>
    <xf numFmtId="9" fontId="88" fillId="0" borderId="0" applyFont="0" applyFill="0" applyBorder="0" applyAlignment="0" applyProtection="0"/>
    <xf numFmtId="0" fontId="88" fillId="0" borderId="0"/>
    <xf numFmtId="9" fontId="88" fillId="0" borderId="0" applyFont="0" applyFill="0" applyBorder="0" applyAlignment="0" applyProtection="0"/>
    <xf numFmtId="0" fontId="88" fillId="0" borderId="0"/>
    <xf numFmtId="9" fontId="88" fillId="0" borderId="0" applyFont="0" applyFill="0" applyBorder="0" applyAlignment="0" applyProtection="0"/>
    <xf numFmtId="0" fontId="88" fillId="0" borderId="0"/>
    <xf numFmtId="9" fontId="88" fillId="0" borderId="0" applyFont="0" applyFill="0" applyBorder="0" applyAlignment="0" applyProtection="0"/>
    <xf numFmtId="0" fontId="88" fillId="0" borderId="0"/>
    <xf numFmtId="9" fontId="88" fillId="0" borderId="0" applyFon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0" fontId="84" fillId="0" borderId="0"/>
    <xf numFmtId="9" fontId="84" fillId="0" borderId="0" applyFont="0" applyFill="0" applyBorder="0" applyAlignment="0" applyProtection="0"/>
    <xf numFmtId="0" fontId="84" fillId="0" borderId="0"/>
    <xf numFmtId="9" fontId="84" fillId="0" borderId="0" applyFont="0" applyFill="0" applyBorder="0" applyAlignment="0" applyProtection="0"/>
    <xf numFmtId="0" fontId="84" fillId="0" borderId="0"/>
    <xf numFmtId="9" fontId="84" fillId="0" borderId="0" applyFont="0" applyFill="0" applyBorder="0" applyAlignment="0" applyProtection="0"/>
    <xf numFmtId="0" fontId="84" fillId="0" borderId="0"/>
    <xf numFmtId="9" fontId="84" fillId="0" borderId="0" applyFont="0" applyFill="0" applyBorder="0" applyAlignment="0" applyProtection="0"/>
    <xf numFmtId="0" fontId="84" fillId="0" borderId="0"/>
    <xf numFmtId="9" fontId="84" fillId="0" borderId="0" applyFont="0" applyFill="0" applyBorder="0" applyAlignment="0" applyProtection="0"/>
    <xf numFmtId="0" fontId="84" fillId="0" borderId="0"/>
    <xf numFmtId="9" fontId="84" fillId="0" borderId="0" applyFont="0" applyFill="0" applyBorder="0" applyAlignment="0" applyProtection="0"/>
    <xf numFmtId="0" fontId="84" fillId="0" borderId="0"/>
    <xf numFmtId="9" fontId="84" fillId="0" borderId="0" applyFont="0" applyFill="0" applyBorder="0" applyAlignment="0" applyProtection="0"/>
    <xf numFmtId="0" fontId="84" fillId="0" borderId="0"/>
    <xf numFmtId="9" fontId="84" fillId="0" borderId="0" applyFont="0" applyFill="0" applyBorder="0" applyAlignment="0" applyProtection="0"/>
    <xf numFmtId="0" fontId="84" fillId="0" borderId="0"/>
    <xf numFmtId="9" fontId="84" fillId="0" borderId="0" applyFont="0" applyFill="0" applyBorder="0" applyAlignment="0" applyProtection="0"/>
    <xf numFmtId="0" fontId="84" fillId="0" borderId="0"/>
    <xf numFmtId="9" fontId="84" fillId="0" borderId="0" applyFont="0" applyFill="0" applyBorder="0" applyAlignment="0" applyProtection="0"/>
    <xf numFmtId="0" fontId="84" fillId="0" borderId="0"/>
    <xf numFmtId="9" fontId="84" fillId="0" borderId="0" applyFont="0" applyFill="0" applyBorder="0" applyAlignment="0" applyProtection="0"/>
    <xf numFmtId="0" fontId="84" fillId="0" borderId="0"/>
    <xf numFmtId="9" fontId="84" fillId="0" borderId="0" applyFont="0" applyFill="0" applyBorder="0" applyAlignment="0" applyProtection="0"/>
    <xf numFmtId="0" fontId="84" fillId="0" borderId="0"/>
    <xf numFmtId="9" fontId="84" fillId="0" borderId="0" applyFont="0" applyFill="0" applyBorder="0" applyAlignment="0" applyProtection="0"/>
    <xf numFmtId="0" fontId="84" fillId="0" borderId="0"/>
    <xf numFmtId="9" fontId="84" fillId="0" borderId="0" applyFont="0" applyFill="0" applyBorder="0" applyAlignment="0" applyProtection="0"/>
    <xf numFmtId="0" fontId="84" fillId="0" borderId="0"/>
    <xf numFmtId="9" fontId="84" fillId="0" borderId="0" applyFont="0" applyFill="0" applyBorder="0" applyAlignment="0" applyProtection="0"/>
    <xf numFmtId="0" fontId="84" fillId="0" borderId="0"/>
    <xf numFmtId="9" fontId="84" fillId="0" borderId="0" applyFont="0" applyFill="0" applyBorder="0" applyAlignment="0" applyProtection="0"/>
    <xf numFmtId="0" fontId="83" fillId="0" borderId="0"/>
    <xf numFmtId="9" fontId="83" fillId="0" borderId="0" applyFont="0" applyFill="0" applyBorder="0" applyAlignment="0" applyProtection="0"/>
    <xf numFmtId="0" fontId="83" fillId="0" borderId="0"/>
    <xf numFmtId="9" fontId="83" fillId="0" borderId="0" applyFont="0" applyFill="0" applyBorder="0" applyAlignment="0" applyProtection="0"/>
    <xf numFmtId="0" fontId="83" fillId="0" borderId="0"/>
    <xf numFmtId="9" fontId="83" fillId="0" borderId="0" applyFont="0" applyFill="0" applyBorder="0" applyAlignment="0" applyProtection="0"/>
    <xf numFmtId="0" fontId="83" fillId="0" borderId="0"/>
    <xf numFmtId="9" fontId="83" fillId="0" borderId="0" applyFont="0" applyFill="0" applyBorder="0" applyAlignment="0" applyProtection="0"/>
    <xf numFmtId="0" fontId="83" fillId="0" borderId="0"/>
    <xf numFmtId="9" fontId="83" fillId="0" borderId="0" applyFont="0" applyFill="0" applyBorder="0" applyAlignment="0" applyProtection="0"/>
    <xf numFmtId="0" fontId="83" fillId="0" borderId="0"/>
    <xf numFmtId="9" fontId="83" fillId="0" borderId="0" applyFont="0" applyFill="0" applyBorder="0" applyAlignment="0" applyProtection="0"/>
    <xf numFmtId="0" fontId="83" fillId="0" borderId="0"/>
    <xf numFmtId="9" fontId="83" fillId="0" borderId="0" applyFont="0" applyFill="0" applyBorder="0" applyAlignment="0" applyProtection="0"/>
    <xf numFmtId="0" fontId="83" fillId="0" borderId="0"/>
    <xf numFmtId="9" fontId="83" fillId="0" borderId="0" applyFont="0" applyFill="0" applyBorder="0" applyAlignment="0" applyProtection="0"/>
    <xf numFmtId="0" fontId="83" fillId="0" borderId="0"/>
    <xf numFmtId="9" fontId="83" fillId="0" borderId="0" applyFont="0" applyFill="0" applyBorder="0" applyAlignment="0" applyProtection="0"/>
    <xf numFmtId="0" fontId="83" fillId="0" borderId="0"/>
    <xf numFmtId="9" fontId="83" fillId="0" borderId="0" applyFont="0" applyFill="0" applyBorder="0" applyAlignment="0" applyProtection="0"/>
    <xf numFmtId="0" fontId="83" fillId="0" borderId="0"/>
    <xf numFmtId="9" fontId="83" fillId="0" borderId="0" applyFont="0" applyFill="0" applyBorder="0" applyAlignment="0" applyProtection="0"/>
    <xf numFmtId="0" fontId="83" fillId="0" borderId="0"/>
    <xf numFmtId="9" fontId="83" fillId="0" borderId="0" applyFont="0" applyFill="0" applyBorder="0" applyAlignment="0" applyProtection="0"/>
    <xf numFmtId="0" fontId="83" fillId="0" borderId="0"/>
    <xf numFmtId="9" fontId="83" fillId="0" borderId="0" applyFont="0" applyFill="0" applyBorder="0" applyAlignment="0" applyProtection="0"/>
    <xf numFmtId="0" fontId="83" fillId="0" borderId="0"/>
    <xf numFmtId="9" fontId="83" fillId="0" borderId="0" applyFont="0" applyFill="0" applyBorder="0" applyAlignment="0" applyProtection="0"/>
    <xf numFmtId="0" fontId="83" fillId="0" borderId="0"/>
    <xf numFmtId="9" fontId="83" fillId="0" borderId="0" applyFont="0" applyFill="0" applyBorder="0" applyAlignment="0" applyProtection="0"/>
    <xf numFmtId="0" fontId="83" fillId="0" borderId="0"/>
    <xf numFmtId="9" fontId="83" fillId="0" borderId="0" applyFont="0" applyFill="0" applyBorder="0" applyAlignment="0" applyProtection="0"/>
    <xf numFmtId="0" fontId="82" fillId="0" borderId="0"/>
    <xf numFmtId="9" fontId="82" fillId="0" borderId="0" applyFont="0" applyFill="0" applyBorder="0" applyAlignment="0" applyProtection="0"/>
    <xf numFmtId="0" fontId="82" fillId="0" borderId="0"/>
    <xf numFmtId="9" fontId="82" fillId="0" borderId="0" applyFont="0" applyFill="0" applyBorder="0" applyAlignment="0" applyProtection="0"/>
    <xf numFmtId="0" fontId="82" fillId="0" borderId="0"/>
    <xf numFmtId="9" fontId="82" fillId="0" borderId="0" applyFont="0" applyFill="0" applyBorder="0" applyAlignment="0" applyProtection="0"/>
    <xf numFmtId="0" fontId="82" fillId="0" borderId="0"/>
    <xf numFmtId="9" fontId="82" fillId="0" borderId="0" applyFont="0" applyFill="0" applyBorder="0" applyAlignment="0" applyProtection="0"/>
    <xf numFmtId="0" fontId="82" fillId="0" borderId="0"/>
    <xf numFmtId="9" fontId="82" fillId="0" borderId="0" applyFont="0" applyFill="0" applyBorder="0" applyAlignment="0" applyProtection="0"/>
    <xf numFmtId="0" fontId="82" fillId="0" borderId="0"/>
    <xf numFmtId="9" fontId="82" fillId="0" borderId="0" applyFont="0" applyFill="0" applyBorder="0" applyAlignment="0" applyProtection="0"/>
    <xf numFmtId="0" fontId="82" fillId="0" borderId="0"/>
    <xf numFmtId="9" fontId="82" fillId="0" borderId="0" applyFont="0" applyFill="0" applyBorder="0" applyAlignment="0" applyProtection="0"/>
    <xf numFmtId="0" fontId="82" fillId="0" borderId="0"/>
    <xf numFmtId="9" fontId="82" fillId="0" borderId="0" applyFont="0" applyFill="0" applyBorder="0" applyAlignment="0" applyProtection="0"/>
    <xf numFmtId="0" fontId="82" fillId="0" borderId="0"/>
    <xf numFmtId="9" fontId="82" fillId="0" borderId="0" applyFont="0" applyFill="0" applyBorder="0" applyAlignment="0" applyProtection="0"/>
    <xf numFmtId="0" fontId="82" fillId="0" borderId="0"/>
    <xf numFmtId="9" fontId="82" fillId="0" borderId="0" applyFont="0" applyFill="0" applyBorder="0" applyAlignment="0" applyProtection="0"/>
    <xf numFmtId="0" fontId="82" fillId="0" borderId="0"/>
    <xf numFmtId="9" fontId="82" fillId="0" borderId="0" applyFont="0" applyFill="0" applyBorder="0" applyAlignment="0" applyProtection="0"/>
    <xf numFmtId="0" fontId="82" fillId="0" borderId="0"/>
    <xf numFmtId="9" fontId="82" fillId="0" borderId="0" applyFont="0" applyFill="0" applyBorder="0" applyAlignment="0" applyProtection="0"/>
    <xf numFmtId="0" fontId="82" fillId="0" borderId="0"/>
    <xf numFmtId="9" fontId="82" fillId="0" borderId="0" applyFont="0" applyFill="0" applyBorder="0" applyAlignment="0" applyProtection="0"/>
    <xf numFmtId="0" fontId="82" fillId="0" borderId="0"/>
    <xf numFmtId="9" fontId="82" fillId="0" borderId="0" applyFont="0" applyFill="0" applyBorder="0" applyAlignment="0" applyProtection="0"/>
    <xf numFmtId="0" fontId="82" fillId="0" borderId="0"/>
    <xf numFmtId="9" fontId="82" fillId="0" borderId="0" applyFont="0" applyFill="0" applyBorder="0" applyAlignment="0" applyProtection="0"/>
    <xf numFmtId="0" fontId="82" fillId="0" borderId="0"/>
    <xf numFmtId="9" fontId="82" fillId="0" borderId="0" applyFont="0" applyFill="0" applyBorder="0" applyAlignment="0" applyProtection="0"/>
    <xf numFmtId="0" fontId="81" fillId="0" borderId="0"/>
    <xf numFmtId="9" fontId="81" fillId="0" borderId="0" applyFont="0" applyFill="0" applyBorder="0" applyAlignment="0" applyProtection="0"/>
    <xf numFmtId="0" fontId="81" fillId="0" borderId="0"/>
    <xf numFmtId="9" fontId="81" fillId="0" borderId="0" applyFont="0" applyFill="0" applyBorder="0" applyAlignment="0" applyProtection="0"/>
    <xf numFmtId="0" fontId="81" fillId="0" borderId="0"/>
    <xf numFmtId="9" fontId="81" fillId="0" borderId="0" applyFont="0" applyFill="0" applyBorder="0" applyAlignment="0" applyProtection="0"/>
    <xf numFmtId="0" fontId="81" fillId="0" borderId="0"/>
    <xf numFmtId="9" fontId="81" fillId="0" borderId="0" applyFont="0" applyFill="0" applyBorder="0" applyAlignment="0" applyProtection="0"/>
    <xf numFmtId="0" fontId="81" fillId="0" borderId="0"/>
    <xf numFmtId="9" fontId="81" fillId="0" borderId="0" applyFont="0" applyFill="0" applyBorder="0" applyAlignment="0" applyProtection="0"/>
    <xf numFmtId="0" fontId="81" fillId="0" borderId="0"/>
    <xf numFmtId="9" fontId="81" fillId="0" borderId="0" applyFont="0" applyFill="0" applyBorder="0" applyAlignment="0" applyProtection="0"/>
    <xf numFmtId="0" fontId="81" fillId="0" borderId="0"/>
    <xf numFmtId="9" fontId="81" fillId="0" borderId="0" applyFont="0" applyFill="0" applyBorder="0" applyAlignment="0" applyProtection="0"/>
    <xf numFmtId="0" fontId="81" fillId="0" borderId="0"/>
    <xf numFmtId="9" fontId="81" fillId="0" borderId="0" applyFont="0" applyFill="0" applyBorder="0" applyAlignment="0" applyProtection="0"/>
    <xf numFmtId="0" fontId="81" fillId="0" borderId="0"/>
    <xf numFmtId="9" fontId="81" fillId="0" borderId="0" applyFont="0" applyFill="0" applyBorder="0" applyAlignment="0" applyProtection="0"/>
    <xf numFmtId="0" fontId="81" fillId="0" borderId="0"/>
    <xf numFmtId="9" fontId="81" fillId="0" borderId="0" applyFont="0" applyFill="0" applyBorder="0" applyAlignment="0" applyProtection="0"/>
    <xf numFmtId="0" fontId="81" fillId="0" borderId="0"/>
    <xf numFmtId="9" fontId="81" fillId="0" borderId="0" applyFont="0" applyFill="0" applyBorder="0" applyAlignment="0" applyProtection="0"/>
    <xf numFmtId="0" fontId="81" fillId="0" borderId="0"/>
    <xf numFmtId="9" fontId="81" fillId="0" borderId="0" applyFont="0" applyFill="0" applyBorder="0" applyAlignment="0" applyProtection="0"/>
    <xf numFmtId="0" fontId="81" fillId="0" borderId="0"/>
    <xf numFmtId="9" fontId="81" fillId="0" borderId="0" applyFont="0" applyFill="0" applyBorder="0" applyAlignment="0" applyProtection="0"/>
    <xf numFmtId="0" fontId="81" fillId="0" borderId="0"/>
    <xf numFmtId="9" fontId="81" fillId="0" borderId="0" applyFont="0" applyFill="0" applyBorder="0" applyAlignment="0" applyProtection="0"/>
    <xf numFmtId="0" fontId="81" fillId="0" borderId="0"/>
    <xf numFmtId="9" fontId="81" fillId="0" borderId="0" applyFont="0" applyFill="0" applyBorder="0" applyAlignment="0" applyProtection="0"/>
    <xf numFmtId="0" fontId="81" fillId="0" borderId="0"/>
    <xf numFmtId="9" fontId="81" fillId="0" borderId="0" applyFont="0" applyFill="0" applyBorder="0" applyAlignment="0" applyProtection="0"/>
    <xf numFmtId="0" fontId="80" fillId="0" borderId="0"/>
    <xf numFmtId="9" fontId="80" fillId="0" borderId="0" applyFont="0" applyFill="0" applyBorder="0" applyAlignment="0" applyProtection="0"/>
    <xf numFmtId="0" fontId="80" fillId="0" borderId="0"/>
    <xf numFmtId="9" fontId="80" fillId="0" borderId="0" applyFont="0" applyFill="0" applyBorder="0" applyAlignment="0" applyProtection="0"/>
    <xf numFmtId="0" fontId="80" fillId="0" borderId="0"/>
    <xf numFmtId="9" fontId="80" fillId="0" borderId="0" applyFont="0" applyFill="0" applyBorder="0" applyAlignment="0" applyProtection="0"/>
    <xf numFmtId="0" fontId="80" fillId="0" borderId="0"/>
    <xf numFmtId="9" fontId="80" fillId="0" borderId="0" applyFont="0" applyFill="0" applyBorder="0" applyAlignment="0" applyProtection="0"/>
    <xf numFmtId="0" fontId="80" fillId="0" borderId="0"/>
    <xf numFmtId="9" fontId="80" fillId="0" borderId="0" applyFont="0" applyFill="0" applyBorder="0" applyAlignment="0" applyProtection="0"/>
    <xf numFmtId="0" fontId="80" fillId="0" borderId="0"/>
    <xf numFmtId="9" fontId="80" fillId="0" borderId="0" applyFont="0" applyFill="0" applyBorder="0" applyAlignment="0" applyProtection="0"/>
    <xf numFmtId="0" fontId="80" fillId="0" borderId="0"/>
    <xf numFmtId="9" fontId="80" fillId="0" borderId="0" applyFont="0" applyFill="0" applyBorder="0" applyAlignment="0" applyProtection="0"/>
    <xf numFmtId="0" fontId="80" fillId="0" borderId="0"/>
    <xf numFmtId="9" fontId="80" fillId="0" borderId="0" applyFont="0" applyFill="0" applyBorder="0" applyAlignment="0" applyProtection="0"/>
    <xf numFmtId="0" fontId="80" fillId="0" borderId="0"/>
    <xf numFmtId="9" fontId="80" fillId="0" borderId="0" applyFont="0" applyFill="0" applyBorder="0" applyAlignment="0" applyProtection="0"/>
    <xf numFmtId="0" fontId="80" fillId="0" borderId="0"/>
    <xf numFmtId="9" fontId="80" fillId="0" borderId="0" applyFont="0" applyFill="0" applyBorder="0" applyAlignment="0" applyProtection="0"/>
    <xf numFmtId="0" fontId="80" fillId="0" borderId="0"/>
    <xf numFmtId="9" fontId="80" fillId="0" borderId="0" applyFont="0" applyFill="0" applyBorder="0" applyAlignment="0" applyProtection="0"/>
    <xf numFmtId="0" fontId="80" fillId="0" borderId="0"/>
    <xf numFmtId="9" fontId="80" fillId="0" borderId="0" applyFont="0" applyFill="0" applyBorder="0" applyAlignment="0" applyProtection="0"/>
    <xf numFmtId="0" fontId="80" fillId="0" borderId="0"/>
    <xf numFmtId="9" fontId="80" fillId="0" borderId="0" applyFont="0" applyFill="0" applyBorder="0" applyAlignment="0" applyProtection="0"/>
    <xf numFmtId="0" fontId="80" fillId="0" borderId="0"/>
    <xf numFmtId="9" fontId="80" fillId="0" borderId="0" applyFont="0" applyFill="0" applyBorder="0" applyAlignment="0" applyProtection="0"/>
    <xf numFmtId="0" fontId="80" fillId="0" borderId="0"/>
    <xf numFmtId="9" fontId="80" fillId="0" borderId="0" applyFont="0" applyFill="0" applyBorder="0" applyAlignment="0" applyProtection="0"/>
    <xf numFmtId="0" fontId="80" fillId="0" borderId="0"/>
    <xf numFmtId="9" fontId="80" fillId="0" borderId="0" applyFont="0" applyFill="0" applyBorder="0" applyAlignment="0" applyProtection="0"/>
    <xf numFmtId="0" fontId="79" fillId="0" borderId="0"/>
    <xf numFmtId="9" fontId="79" fillId="0" borderId="0" applyFont="0" applyFill="0" applyBorder="0" applyAlignment="0" applyProtection="0"/>
    <xf numFmtId="0" fontId="79" fillId="0" borderId="0"/>
    <xf numFmtId="9" fontId="79" fillId="0" borderId="0" applyFont="0" applyFill="0" applyBorder="0" applyAlignment="0" applyProtection="0"/>
    <xf numFmtId="0" fontId="79" fillId="0" borderId="0"/>
    <xf numFmtId="9" fontId="79" fillId="0" borderId="0" applyFont="0" applyFill="0" applyBorder="0" applyAlignment="0" applyProtection="0"/>
    <xf numFmtId="0" fontId="79" fillId="0" borderId="0"/>
    <xf numFmtId="9" fontId="79" fillId="0" borderId="0" applyFont="0" applyFill="0" applyBorder="0" applyAlignment="0" applyProtection="0"/>
    <xf numFmtId="0" fontId="79" fillId="0" borderId="0"/>
    <xf numFmtId="9" fontId="79" fillId="0" borderId="0" applyFont="0" applyFill="0" applyBorder="0" applyAlignment="0" applyProtection="0"/>
    <xf numFmtId="0" fontId="79" fillId="0" borderId="0"/>
    <xf numFmtId="9" fontId="79" fillId="0" borderId="0" applyFont="0" applyFill="0" applyBorder="0" applyAlignment="0" applyProtection="0"/>
    <xf numFmtId="0" fontId="79" fillId="0" borderId="0"/>
    <xf numFmtId="9" fontId="79" fillId="0" borderId="0" applyFont="0" applyFill="0" applyBorder="0" applyAlignment="0" applyProtection="0"/>
    <xf numFmtId="0" fontId="79" fillId="0" borderId="0"/>
    <xf numFmtId="9" fontId="79" fillId="0" borderId="0" applyFont="0" applyFill="0" applyBorder="0" applyAlignment="0" applyProtection="0"/>
    <xf numFmtId="0" fontId="79" fillId="0" borderId="0"/>
    <xf numFmtId="9" fontId="79" fillId="0" borderId="0" applyFont="0" applyFill="0" applyBorder="0" applyAlignment="0" applyProtection="0"/>
    <xf numFmtId="0" fontId="79" fillId="0" borderId="0"/>
    <xf numFmtId="9" fontId="79" fillId="0" borderId="0" applyFont="0" applyFill="0" applyBorder="0" applyAlignment="0" applyProtection="0"/>
    <xf numFmtId="0" fontId="79" fillId="0" borderId="0"/>
    <xf numFmtId="9" fontId="79" fillId="0" borderId="0" applyFont="0" applyFill="0" applyBorder="0" applyAlignment="0" applyProtection="0"/>
    <xf numFmtId="0" fontId="79" fillId="0" borderId="0"/>
    <xf numFmtId="9" fontId="79" fillId="0" borderId="0" applyFont="0" applyFill="0" applyBorder="0" applyAlignment="0" applyProtection="0"/>
    <xf numFmtId="0" fontId="79" fillId="0" borderId="0"/>
    <xf numFmtId="9" fontId="79" fillId="0" borderId="0" applyFont="0" applyFill="0" applyBorder="0" applyAlignment="0" applyProtection="0"/>
    <xf numFmtId="0" fontId="79" fillId="0" borderId="0"/>
    <xf numFmtId="9" fontId="79" fillId="0" borderId="0" applyFont="0" applyFill="0" applyBorder="0" applyAlignment="0" applyProtection="0"/>
    <xf numFmtId="0" fontId="79" fillId="0" borderId="0"/>
    <xf numFmtId="9" fontId="79" fillId="0" borderId="0" applyFont="0" applyFill="0" applyBorder="0" applyAlignment="0" applyProtection="0"/>
    <xf numFmtId="0" fontId="79" fillId="0" borderId="0"/>
    <xf numFmtId="9" fontId="79" fillId="0" borderId="0" applyFont="0" applyFill="0" applyBorder="0" applyAlignment="0" applyProtection="0"/>
    <xf numFmtId="0" fontId="78" fillId="0" borderId="0"/>
    <xf numFmtId="9" fontId="78" fillId="0" borderId="0" applyFont="0" applyFill="0" applyBorder="0" applyAlignment="0" applyProtection="0"/>
    <xf numFmtId="0" fontId="78" fillId="0" borderId="0"/>
    <xf numFmtId="9" fontId="78" fillId="0" borderId="0" applyFont="0" applyFill="0" applyBorder="0" applyAlignment="0" applyProtection="0"/>
    <xf numFmtId="0" fontId="78" fillId="0" borderId="0"/>
    <xf numFmtId="9" fontId="78" fillId="0" borderId="0" applyFont="0" applyFill="0" applyBorder="0" applyAlignment="0" applyProtection="0"/>
    <xf numFmtId="0" fontId="78" fillId="0" borderId="0"/>
    <xf numFmtId="9" fontId="78" fillId="0" borderId="0" applyFont="0" applyFill="0" applyBorder="0" applyAlignment="0" applyProtection="0"/>
    <xf numFmtId="0" fontId="78" fillId="0" borderId="0"/>
    <xf numFmtId="9" fontId="78" fillId="0" borderId="0" applyFont="0" applyFill="0" applyBorder="0" applyAlignment="0" applyProtection="0"/>
    <xf numFmtId="0" fontId="78" fillId="0" borderId="0"/>
    <xf numFmtId="9" fontId="78" fillId="0" borderId="0" applyFont="0" applyFill="0" applyBorder="0" applyAlignment="0" applyProtection="0"/>
    <xf numFmtId="0" fontId="78" fillId="0" borderId="0"/>
    <xf numFmtId="9" fontId="78" fillId="0" borderId="0" applyFont="0" applyFill="0" applyBorder="0" applyAlignment="0" applyProtection="0"/>
    <xf numFmtId="0" fontId="78" fillId="0" borderId="0"/>
    <xf numFmtId="9" fontId="78" fillId="0" borderId="0" applyFont="0" applyFill="0" applyBorder="0" applyAlignment="0" applyProtection="0"/>
    <xf numFmtId="0" fontId="78" fillId="0" borderId="0"/>
    <xf numFmtId="9" fontId="78" fillId="0" borderId="0" applyFont="0" applyFill="0" applyBorder="0" applyAlignment="0" applyProtection="0"/>
    <xf numFmtId="0" fontId="78" fillId="0" borderId="0"/>
    <xf numFmtId="9" fontId="78" fillId="0" borderId="0" applyFont="0" applyFill="0" applyBorder="0" applyAlignment="0" applyProtection="0"/>
    <xf numFmtId="0" fontId="78" fillId="0" borderId="0"/>
    <xf numFmtId="9" fontId="78" fillId="0" borderId="0" applyFont="0" applyFill="0" applyBorder="0" applyAlignment="0" applyProtection="0"/>
    <xf numFmtId="0" fontId="78" fillId="0" borderId="0"/>
    <xf numFmtId="9" fontId="78" fillId="0" borderId="0" applyFont="0" applyFill="0" applyBorder="0" applyAlignment="0" applyProtection="0"/>
    <xf numFmtId="0" fontId="78" fillId="0" borderId="0"/>
    <xf numFmtId="9" fontId="78" fillId="0" borderId="0" applyFont="0" applyFill="0" applyBorder="0" applyAlignment="0" applyProtection="0"/>
    <xf numFmtId="0" fontId="78" fillId="0" borderId="0"/>
    <xf numFmtId="9" fontId="78" fillId="0" borderId="0" applyFont="0" applyFill="0" applyBorder="0" applyAlignment="0" applyProtection="0"/>
    <xf numFmtId="0" fontId="78" fillId="0" borderId="0"/>
    <xf numFmtId="9" fontId="78" fillId="0" borderId="0" applyFont="0" applyFill="0" applyBorder="0" applyAlignment="0" applyProtection="0"/>
    <xf numFmtId="0" fontId="78" fillId="0" borderId="0"/>
    <xf numFmtId="9" fontId="78" fillId="0" borderId="0" applyFont="0" applyFill="0" applyBorder="0" applyAlignment="0" applyProtection="0"/>
    <xf numFmtId="171" fontId="245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6" fillId="0" borderId="0"/>
    <xf numFmtId="9" fontId="76" fillId="0" borderId="0" applyFont="0" applyFill="0" applyBorder="0" applyAlignment="0" applyProtection="0"/>
    <xf numFmtId="0" fontId="76" fillId="0" borderId="0"/>
    <xf numFmtId="9" fontId="76" fillId="0" borderId="0" applyFont="0" applyFill="0" applyBorder="0" applyAlignment="0" applyProtection="0"/>
    <xf numFmtId="0" fontId="76" fillId="0" borderId="0"/>
    <xf numFmtId="9" fontId="76" fillId="0" borderId="0" applyFont="0" applyFill="0" applyBorder="0" applyAlignment="0" applyProtection="0"/>
    <xf numFmtId="0" fontId="76" fillId="0" borderId="0"/>
    <xf numFmtId="9" fontId="76" fillId="0" borderId="0" applyFont="0" applyFill="0" applyBorder="0" applyAlignment="0" applyProtection="0"/>
    <xf numFmtId="0" fontId="76" fillId="0" borderId="0"/>
    <xf numFmtId="9" fontId="76" fillId="0" borderId="0" applyFont="0" applyFill="0" applyBorder="0" applyAlignment="0" applyProtection="0"/>
    <xf numFmtId="0" fontId="76" fillId="0" borderId="0"/>
    <xf numFmtId="9" fontId="76" fillId="0" borderId="0" applyFont="0" applyFill="0" applyBorder="0" applyAlignment="0" applyProtection="0"/>
    <xf numFmtId="0" fontId="76" fillId="0" borderId="0"/>
    <xf numFmtId="9" fontId="76" fillId="0" borderId="0" applyFont="0" applyFill="0" applyBorder="0" applyAlignment="0" applyProtection="0"/>
    <xf numFmtId="0" fontId="76" fillId="0" borderId="0"/>
    <xf numFmtId="9" fontId="76" fillId="0" borderId="0" applyFont="0" applyFill="0" applyBorder="0" applyAlignment="0" applyProtection="0"/>
    <xf numFmtId="0" fontId="76" fillId="0" borderId="0"/>
    <xf numFmtId="9" fontId="76" fillId="0" borderId="0" applyFont="0" applyFill="0" applyBorder="0" applyAlignment="0" applyProtection="0"/>
    <xf numFmtId="0" fontId="76" fillId="0" borderId="0"/>
    <xf numFmtId="9" fontId="76" fillId="0" borderId="0" applyFont="0" applyFill="0" applyBorder="0" applyAlignment="0" applyProtection="0"/>
    <xf numFmtId="0" fontId="76" fillId="0" borderId="0"/>
    <xf numFmtId="9" fontId="76" fillId="0" borderId="0" applyFont="0" applyFill="0" applyBorder="0" applyAlignment="0" applyProtection="0"/>
    <xf numFmtId="0" fontId="76" fillId="0" borderId="0"/>
    <xf numFmtId="9" fontId="76" fillId="0" borderId="0" applyFont="0" applyFill="0" applyBorder="0" applyAlignment="0" applyProtection="0"/>
    <xf numFmtId="0" fontId="76" fillId="0" borderId="0"/>
    <xf numFmtId="9" fontId="76" fillId="0" borderId="0" applyFont="0" applyFill="0" applyBorder="0" applyAlignment="0" applyProtection="0"/>
    <xf numFmtId="0" fontId="76" fillId="0" borderId="0"/>
    <xf numFmtId="9" fontId="76" fillId="0" borderId="0" applyFont="0" applyFill="0" applyBorder="0" applyAlignment="0" applyProtection="0"/>
    <xf numFmtId="0" fontId="76" fillId="0" borderId="0"/>
    <xf numFmtId="9" fontId="76" fillId="0" borderId="0" applyFont="0" applyFill="0" applyBorder="0" applyAlignment="0" applyProtection="0"/>
    <xf numFmtId="0" fontId="76" fillId="0" borderId="0"/>
    <xf numFmtId="9" fontId="76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3" fillId="0" borderId="0"/>
    <xf numFmtId="9" fontId="73" fillId="0" borderId="0" applyFont="0" applyFill="0" applyBorder="0" applyAlignment="0" applyProtection="0"/>
    <xf numFmtId="0" fontId="73" fillId="0" borderId="0"/>
    <xf numFmtId="9" fontId="73" fillId="0" borderId="0" applyFont="0" applyFill="0" applyBorder="0" applyAlignment="0" applyProtection="0"/>
    <xf numFmtId="0" fontId="73" fillId="0" borderId="0"/>
    <xf numFmtId="9" fontId="73" fillId="0" borderId="0" applyFont="0" applyFill="0" applyBorder="0" applyAlignment="0" applyProtection="0"/>
    <xf numFmtId="0" fontId="73" fillId="0" borderId="0"/>
    <xf numFmtId="9" fontId="73" fillId="0" borderId="0" applyFont="0" applyFill="0" applyBorder="0" applyAlignment="0" applyProtection="0"/>
    <xf numFmtId="0" fontId="73" fillId="0" borderId="0"/>
    <xf numFmtId="9" fontId="73" fillId="0" borderId="0" applyFont="0" applyFill="0" applyBorder="0" applyAlignment="0" applyProtection="0"/>
    <xf numFmtId="0" fontId="73" fillId="0" borderId="0"/>
    <xf numFmtId="9" fontId="73" fillId="0" borderId="0" applyFont="0" applyFill="0" applyBorder="0" applyAlignment="0" applyProtection="0"/>
    <xf numFmtId="0" fontId="73" fillId="0" borderId="0"/>
    <xf numFmtId="9" fontId="73" fillId="0" borderId="0" applyFont="0" applyFill="0" applyBorder="0" applyAlignment="0" applyProtection="0"/>
    <xf numFmtId="0" fontId="73" fillId="0" borderId="0"/>
    <xf numFmtId="9" fontId="73" fillId="0" borderId="0" applyFont="0" applyFill="0" applyBorder="0" applyAlignment="0" applyProtection="0"/>
    <xf numFmtId="0" fontId="73" fillId="0" borderId="0"/>
    <xf numFmtId="9" fontId="73" fillId="0" borderId="0" applyFont="0" applyFill="0" applyBorder="0" applyAlignment="0" applyProtection="0"/>
    <xf numFmtId="0" fontId="73" fillId="0" borderId="0"/>
    <xf numFmtId="9" fontId="73" fillId="0" borderId="0" applyFont="0" applyFill="0" applyBorder="0" applyAlignment="0" applyProtection="0"/>
    <xf numFmtId="0" fontId="73" fillId="0" borderId="0"/>
    <xf numFmtId="9" fontId="73" fillId="0" borderId="0" applyFont="0" applyFill="0" applyBorder="0" applyAlignment="0" applyProtection="0"/>
    <xf numFmtId="0" fontId="73" fillId="0" borderId="0"/>
    <xf numFmtId="9" fontId="73" fillId="0" borderId="0" applyFont="0" applyFill="0" applyBorder="0" applyAlignment="0" applyProtection="0"/>
    <xf numFmtId="0" fontId="73" fillId="0" borderId="0"/>
    <xf numFmtId="9" fontId="73" fillId="0" borderId="0" applyFont="0" applyFill="0" applyBorder="0" applyAlignment="0" applyProtection="0"/>
    <xf numFmtId="0" fontId="73" fillId="0" borderId="0"/>
    <xf numFmtId="9" fontId="73" fillId="0" borderId="0" applyFont="0" applyFill="0" applyBorder="0" applyAlignment="0" applyProtection="0"/>
    <xf numFmtId="0" fontId="73" fillId="0" borderId="0"/>
    <xf numFmtId="9" fontId="73" fillId="0" borderId="0" applyFont="0" applyFill="0" applyBorder="0" applyAlignment="0" applyProtection="0"/>
    <xf numFmtId="0" fontId="73" fillId="0" borderId="0"/>
    <xf numFmtId="9" fontId="73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0" fontId="72" fillId="0" borderId="0"/>
    <xf numFmtId="9" fontId="72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9" fontId="66" fillId="0" borderId="0" applyFont="0" applyFill="0" applyBorder="0" applyAlignment="0" applyProtection="0"/>
    <xf numFmtId="0" fontId="66" fillId="0" borderId="0"/>
    <xf numFmtId="9" fontId="66" fillId="0" borderId="0" applyFont="0" applyFill="0" applyBorder="0" applyAlignment="0" applyProtection="0"/>
    <xf numFmtId="0" fontId="66" fillId="0" borderId="0"/>
    <xf numFmtId="9" fontId="66" fillId="0" borderId="0" applyFont="0" applyFill="0" applyBorder="0" applyAlignment="0" applyProtection="0"/>
    <xf numFmtId="0" fontId="66" fillId="0" borderId="0"/>
    <xf numFmtId="9" fontId="66" fillId="0" borderId="0" applyFont="0" applyFill="0" applyBorder="0" applyAlignment="0" applyProtection="0"/>
    <xf numFmtId="0" fontId="66" fillId="0" borderId="0"/>
    <xf numFmtId="9" fontId="66" fillId="0" borderId="0" applyFont="0" applyFill="0" applyBorder="0" applyAlignment="0" applyProtection="0"/>
    <xf numFmtId="0" fontId="66" fillId="0" borderId="0"/>
    <xf numFmtId="9" fontId="66" fillId="0" borderId="0" applyFont="0" applyFill="0" applyBorder="0" applyAlignment="0" applyProtection="0"/>
    <xf numFmtId="0" fontId="66" fillId="0" borderId="0"/>
    <xf numFmtId="9" fontId="66" fillId="0" borderId="0" applyFont="0" applyFill="0" applyBorder="0" applyAlignment="0" applyProtection="0"/>
    <xf numFmtId="0" fontId="66" fillId="0" borderId="0"/>
    <xf numFmtId="9" fontId="66" fillId="0" borderId="0" applyFont="0" applyFill="0" applyBorder="0" applyAlignment="0" applyProtection="0"/>
    <xf numFmtId="0" fontId="66" fillId="0" borderId="0"/>
    <xf numFmtId="9" fontId="66" fillId="0" borderId="0" applyFont="0" applyFill="0" applyBorder="0" applyAlignment="0" applyProtection="0"/>
    <xf numFmtId="0" fontId="66" fillId="0" borderId="0"/>
    <xf numFmtId="9" fontId="66" fillId="0" borderId="0" applyFont="0" applyFill="0" applyBorder="0" applyAlignment="0" applyProtection="0"/>
    <xf numFmtId="0" fontId="66" fillId="0" borderId="0"/>
    <xf numFmtId="9" fontId="66" fillId="0" borderId="0" applyFont="0" applyFill="0" applyBorder="0" applyAlignment="0" applyProtection="0"/>
    <xf numFmtId="0" fontId="66" fillId="0" borderId="0"/>
    <xf numFmtId="9" fontId="66" fillId="0" borderId="0" applyFont="0" applyFill="0" applyBorder="0" applyAlignment="0" applyProtection="0"/>
    <xf numFmtId="0" fontId="66" fillId="0" borderId="0"/>
    <xf numFmtId="9" fontId="66" fillId="0" borderId="0" applyFont="0" applyFill="0" applyBorder="0" applyAlignment="0" applyProtection="0"/>
    <xf numFmtId="0" fontId="66" fillId="0" borderId="0"/>
    <xf numFmtId="9" fontId="66" fillId="0" borderId="0" applyFont="0" applyFill="0" applyBorder="0" applyAlignment="0" applyProtection="0"/>
    <xf numFmtId="0" fontId="66" fillId="0" borderId="0"/>
    <xf numFmtId="9" fontId="66" fillId="0" borderId="0" applyFont="0" applyFill="0" applyBorder="0" applyAlignment="0" applyProtection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9" fontId="65" fillId="0" borderId="0" applyFont="0" applyFill="0" applyBorder="0" applyAlignment="0" applyProtection="0"/>
    <xf numFmtId="0" fontId="65" fillId="0" borderId="0"/>
    <xf numFmtId="9" fontId="65" fillId="0" borderId="0" applyFont="0" applyFill="0" applyBorder="0" applyAlignment="0" applyProtection="0"/>
    <xf numFmtId="0" fontId="65" fillId="0" borderId="0"/>
    <xf numFmtId="9" fontId="65" fillId="0" borderId="0" applyFont="0" applyFill="0" applyBorder="0" applyAlignment="0" applyProtection="0"/>
    <xf numFmtId="0" fontId="65" fillId="0" borderId="0"/>
    <xf numFmtId="9" fontId="65" fillId="0" borderId="0" applyFont="0" applyFill="0" applyBorder="0" applyAlignment="0" applyProtection="0"/>
    <xf numFmtId="0" fontId="65" fillId="0" borderId="0"/>
    <xf numFmtId="9" fontId="65" fillId="0" borderId="0" applyFont="0" applyFill="0" applyBorder="0" applyAlignment="0" applyProtection="0"/>
    <xf numFmtId="0" fontId="65" fillId="0" borderId="0"/>
    <xf numFmtId="9" fontId="65" fillId="0" borderId="0" applyFont="0" applyFill="0" applyBorder="0" applyAlignment="0" applyProtection="0"/>
    <xf numFmtId="0" fontId="65" fillId="0" borderId="0"/>
    <xf numFmtId="9" fontId="65" fillId="0" borderId="0" applyFont="0" applyFill="0" applyBorder="0" applyAlignment="0" applyProtection="0"/>
    <xf numFmtId="0" fontId="65" fillId="0" borderId="0"/>
    <xf numFmtId="9" fontId="65" fillId="0" borderId="0" applyFont="0" applyFill="0" applyBorder="0" applyAlignment="0" applyProtection="0"/>
    <xf numFmtId="0" fontId="65" fillId="0" borderId="0"/>
    <xf numFmtId="9" fontId="65" fillId="0" borderId="0" applyFont="0" applyFill="0" applyBorder="0" applyAlignment="0" applyProtection="0"/>
    <xf numFmtId="0" fontId="65" fillId="0" borderId="0"/>
    <xf numFmtId="9" fontId="65" fillId="0" borderId="0" applyFont="0" applyFill="0" applyBorder="0" applyAlignment="0" applyProtection="0"/>
    <xf numFmtId="0" fontId="65" fillId="0" borderId="0"/>
    <xf numFmtId="9" fontId="65" fillId="0" borderId="0" applyFont="0" applyFill="0" applyBorder="0" applyAlignment="0" applyProtection="0"/>
    <xf numFmtId="0" fontId="65" fillId="0" borderId="0"/>
    <xf numFmtId="9" fontId="65" fillId="0" borderId="0" applyFont="0" applyFill="0" applyBorder="0" applyAlignment="0" applyProtection="0"/>
    <xf numFmtId="0" fontId="65" fillId="0" borderId="0"/>
    <xf numFmtId="9" fontId="65" fillId="0" borderId="0" applyFont="0" applyFill="0" applyBorder="0" applyAlignment="0" applyProtection="0"/>
    <xf numFmtId="0" fontId="65" fillId="0" borderId="0"/>
    <xf numFmtId="9" fontId="65" fillId="0" borderId="0" applyFont="0" applyFill="0" applyBorder="0" applyAlignment="0" applyProtection="0"/>
    <xf numFmtId="0" fontId="65" fillId="0" borderId="0"/>
    <xf numFmtId="9" fontId="65" fillId="0" borderId="0" applyFont="0" applyFill="0" applyBorder="0" applyAlignment="0" applyProtection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63" fillId="0" borderId="0"/>
    <xf numFmtId="9" fontId="63" fillId="0" borderId="0" applyFont="0" applyFill="0" applyBorder="0" applyAlignment="0" applyProtection="0"/>
    <xf numFmtId="0" fontId="63" fillId="0" borderId="0"/>
    <xf numFmtId="9" fontId="63" fillId="0" borderId="0" applyFont="0" applyFill="0" applyBorder="0" applyAlignment="0" applyProtection="0"/>
    <xf numFmtId="0" fontId="63" fillId="0" borderId="0"/>
    <xf numFmtId="9" fontId="63" fillId="0" borderId="0" applyFont="0" applyFill="0" applyBorder="0" applyAlignment="0" applyProtection="0"/>
    <xf numFmtId="0" fontId="63" fillId="0" borderId="0"/>
    <xf numFmtId="9" fontId="63" fillId="0" borderId="0" applyFont="0" applyFill="0" applyBorder="0" applyAlignment="0" applyProtection="0"/>
    <xf numFmtId="0" fontId="63" fillId="0" borderId="0"/>
    <xf numFmtId="9" fontId="63" fillId="0" borderId="0" applyFont="0" applyFill="0" applyBorder="0" applyAlignment="0" applyProtection="0"/>
    <xf numFmtId="0" fontId="63" fillId="0" borderId="0"/>
    <xf numFmtId="9" fontId="63" fillId="0" borderId="0" applyFont="0" applyFill="0" applyBorder="0" applyAlignment="0" applyProtection="0"/>
    <xf numFmtId="0" fontId="63" fillId="0" borderId="0"/>
    <xf numFmtId="9" fontId="63" fillId="0" borderId="0" applyFont="0" applyFill="0" applyBorder="0" applyAlignment="0" applyProtection="0"/>
    <xf numFmtId="0" fontId="63" fillId="0" borderId="0"/>
    <xf numFmtId="9" fontId="63" fillId="0" borderId="0" applyFont="0" applyFill="0" applyBorder="0" applyAlignment="0" applyProtection="0"/>
    <xf numFmtId="0" fontId="63" fillId="0" borderId="0"/>
    <xf numFmtId="9" fontId="63" fillId="0" borderId="0" applyFont="0" applyFill="0" applyBorder="0" applyAlignment="0" applyProtection="0"/>
    <xf numFmtId="0" fontId="63" fillId="0" borderId="0"/>
    <xf numFmtId="9" fontId="63" fillId="0" borderId="0" applyFont="0" applyFill="0" applyBorder="0" applyAlignment="0" applyProtection="0"/>
    <xf numFmtId="0" fontId="63" fillId="0" borderId="0"/>
    <xf numFmtId="9" fontId="63" fillId="0" borderId="0" applyFont="0" applyFill="0" applyBorder="0" applyAlignment="0" applyProtection="0"/>
    <xf numFmtId="0" fontId="63" fillId="0" borderId="0"/>
    <xf numFmtId="9" fontId="63" fillId="0" borderId="0" applyFont="0" applyFill="0" applyBorder="0" applyAlignment="0" applyProtection="0"/>
    <xf numFmtId="0" fontId="63" fillId="0" borderId="0"/>
    <xf numFmtId="9" fontId="63" fillId="0" borderId="0" applyFont="0" applyFill="0" applyBorder="0" applyAlignment="0" applyProtection="0"/>
    <xf numFmtId="0" fontId="63" fillId="0" borderId="0"/>
    <xf numFmtId="9" fontId="63" fillId="0" borderId="0" applyFont="0" applyFill="0" applyBorder="0" applyAlignment="0" applyProtection="0"/>
    <xf numFmtId="0" fontId="63" fillId="0" borderId="0"/>
    <xf numFmtId="9" fontId="63" fillId="0" borderId="0" applyFont="0" applyFill="0" applyBorder="0" applyAlignment="0" applyProtection="0"/>
    <xf numFmtId="0" fontId="63" fillId="0" borderId="0"/>
    <xf numFmtId="9" fontId="63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9" fontId="44" fillId="0" borderId="0" applyFont="0" applyFill="0" applyBorder="0" applyAlignment="0" applyProtection="0"/>
    <xf numFmtId="0" fontId="44" fillId="0" borderId="0"/>
    <xf numFmtId="9" fontId="44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165" fontId="248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248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266" fillId="0" borderId="0" applyFont="0" applyFill="0" applyBorder="0" applyAlignment="0" applyProtection="0"/>
    <xf numFmtId="0" fontId="267" fillId="0" borderId="0">
      <alignment horizontal="left"/>
    </xf>
    <xf numFmtId="0" fontId="267" fillId="0" borderId="0">
      <alignment horizontal="left"/>
    </xf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48" fillId="0" borderId="0" applyFont="0" applyFill="0" applyBorder="0" applyAlignment="0" applyProtection="0"/>
    <xf numFmtId="9" fontId="273" fillId="0" borderId="0" applyFont="0" applyFill="0" applyBorder="0" applyAlignment="0" applyProtection="0"/>
    <xf numFmtId="0" fontId="1" fillId="0" borderId="0"/>
    <xf numFmtId="0" fontId="267" fillId="0" borderId="0">
      <alignment horizontal="left"/>
    </xf>
    <xf numFmtId="0" fontId="267" fillId="0" borderId="0">
      <alignment horizontal="left"/>
    </xf>
    <xf numFmtId="0" fontId="300" fillId="0" borderId="0"/>
  </cellStyleXfs>
  <cellXfs count="489">
    <xf numFmtId="0" fontId="0" fillId="0" borderId="0" xfId="0"/>
    <xf numFmtId="0" fontId="213" fillId="0" borderId="0" xfId="0" applyFont="1"/>
    <xf numFmtId="0" fontId="214" fillId="0" borderId="0" xfId="0" applyFont="1"/>
    <xf numFmtId="0" fontId="225" fillId="0" borderId="0" xfId="1" applyFill="1"/>
    <xf numFmtId="0" fontId="226" fillId="0" borderId="0" xfId="2" applyFill="1"/>
    <xf numFmtId="0" fontId="214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215" fillId="0" borderId="0" xfId="1" applyNumberFormat="1" applyFont="1" applyFill="1"/>
    <xf numFmtId="0" fontId="227" fillId="0" borderId="0" xfId="4" applyFill="1" applyBorder="1"/>
    <xf numFmtId="0" fontId="227" fillId="0" borderId="0" xfId="4" applyFill="1" applyBorder="1" applyAlignment="1">
      <alignment horizontal="center"/>
    </xf>
    <xf numFmtId="3" fontId="225" fillId="0" borderId="0" xfId="1" applyNumberFormat="1" applyFill="1"/>
    <xf numFmtId="0" fontId="232" fillId="0" borderId="0" xfId="4" applyFont="1" applyFill="1" applyBorder="1" applyAlignment="1">
      <alignment horizontal="right"/>
    </xf>
    <xf numFmtId="0" fontId="232" fillId="0" borderId="0" xfId="4" applyFont="1" applyFill="1" applyBorder="1" applyAlignment="1">
      <alignment horizontal="left"/>
    </xf>
    <xf numFmtId="0" fontId="227" fillId="0" borderId="1" xfId="4" applyFill="1" applyBorder="1"/>
    <xf numFmtId="0" fontId="227" fillId="0" borderId="2" xfId="4" applyFill="1" applyBorder="1"/>
    <xf numFmtId="0" fontId="227" fillId="0" borderId="3" xfId="4" applyFill="1" applyBorder="1"/>
    <xf numFmtId="0" fontId="216" fillId="0" borderId="4" xfId="5" applyFont="1" applyFill="1" applyBorder="1" applyAlignment="1">
      <alignment horizontal="left"/>
    </xf>
    <xf numFmtId="0" fontId="228" fillId="0" borderId="4" xfId="5" applyFill="1" applyBorder="1" applyAlignment="1">
      <alignment horizontal="center"/>
    </xf>
    <xf numFmtId="0" fontId="233" fillId="0" borderId="4" xfId="5" applyFont="1" applyFill="1" applyBorder="1" applyAlignment="1">
      <alignment horizontal="center"/>
    </xf>
    <xf numFmtId="0" fontId="228" fillId="0" borderId="5" xfId="5" applyFill="1" applyBorder="1" applyAlignment="1">
      <alignment horizontal="center"/>
    </xf>
    <xf numFmtId="0" fontId="234" fillId="0" borderId="2" xfId="9" applyFont="1" applyFill="1" applyBorder="1"/>
    <xf numFmtId="0" fontId="234" fillId="0" borderId="6" xfId="9" applyFont="1" applyFill="1" applyBorder="1"/>
    <xf numFmtId="0" fontId="235" fillId="0" borderId="0" xfId="4" applyFont="1" applyFill="1" applyBorder="1"/>
    <xf numFmtId="0" fontId="235" fillId="0" borderId="0" xfId="4" applyFont="1" applyFill="1" applyBorder="1" applyAlignment="1">
      <alignment horizontal="right"/>
    </xf>
    <xf numFmtId="0" fontId="235" fillId="0" borderId="0" xfId="4" applyFont="1" applyFill="1" applyBorder="1" applyAlignment="1">
      <alignment horizontal="left"/>
    </xf>
    <xf numFmtId="0" fontId="235" fillId="0" borderId="0" xfId="4" applyFont="1" applyFill="1" applyBorder="1" applyAlignment="1">
      <alignment horizontal="center"/>
    </xf>
    <xf numFmtId="0" fontId="235" fillId="0" borderId="3" xfId="4" applyFont="1" applyFill="1" applyBorder="1" applyAlignment="1">
      <alignment horizontal="right"/>
    </xf>
    <xf numFmtId="166" fontId="217" fillId="0" borderId="0" xfId="4" applyNumberFormat="1" applyFont="1" applyFill="1" applyBorder="1" applyAlignment="1">
      <alignment horizontal="right"/>
    </xf>
    <xf numFmtId="0" fontId="235" fillId="0" borderId="7" xfId="4" applyFont="1" applyFill="1" applyBorder="1"/>
    <xf numFmtId="10" fontId="236" fillId="0" borderId="7" xfId="4" applyNumberFormat="1" applyFont="1" applyFill="1" applyBorder="1"/>
    <xf numFmtId="9" fontId="235" fillId="0" borderId="7" xfId="4" applyNumberFormat="1" applyFont="1" applyFill="1" applyBorder="1"/>
    <xf numFmtId="0" fontId="235" fillId="0" borderId="7" xfId="4" applyFont="1" applyFill="1" applyBorder="1" applyAlignment="1">
      <alignment horizontal="right"/>
    </xf>
    <xf numFmtId="3" fontId="235" fillId="0" borderId="7" xfId="4" applyNumberFormat="1" applyFont="1" applyFill="1" applyBorder="1"/>
    <xf numFmtId="0" fontId="235" fillId="0" borderId="8" xfId="4" applyFont="1" applyFill="1" applyBorder="1" applyAlignment="1">
      <alignment horizontal="right"/>
    </xf>
    <xf numFmtId="10" fontId="236" fillId="0" borderId="0" xfId="4" applyNumberFormat="1" applyFont="1" applyFill="1" applyBorder="1"/>
    <xf numFmtId="9" fontId="235" fillId="0" borderId="0" xfId="4" applyNumberFormat="1" applyFont="1" applyFill="1" applyBorder="1"/>
    <xf numFmtId="167" fontId="235" fillId="0" borderId="0" xfId="4" applyNumberFormat="1" applyFont="1" applyFill="1" applyBorder="1" applyAlignment="1">
      <alignment horizontal="center"/>
    </xf>
    <xf numFmtId="0" fontId="218" fillId="0" borderId="0" xfId="4" applyFont="1" applyFill="1" applyBorder="1"/>
    <xf numFmtId="167" fontId="235" fillId="0" borderId="0" xfId="4" applyNumberFormat="1" applyFont="1" applyFill="1" applyBorder="1"/>
    <xf numFmtId="3" fontId="235" fillId="0" borderId="0" xfId="4" applyNumberFormat="1" applyFont="1" applyFill="1" applyBorder="1"/>
    <xf numFmtId="3" fontId="235" fillId="0" borderId="0" xfId="4" applyNumberFormat="1" applyFont="1" applyFill="1" applyBorder="1" applyAlignment="1">
      <alignment horizontal="center"/>
    </xf>
    <xf numFmtId="0" fontId="236" fillId="0" borderId="0" xfId="4" applyFont="1" applyFill="1" applyBorder="1" applyAlignment="1">
      <alignment horizontal="right"/>
    </xf>
    <xf numFmtId="0" fontId="236" fillId="0" borderId="0" xfId="4" applyFont="1" applyFill="1" applyBorder="1"/>
    <xf numFmtId="0" fontId="235" fillId="0" borderId="3" xfId="4" applyFont="1" applyFill="1" applyBorder="1"/>
    <xf numFmtId="0" fontId="237" fillId="0" borderId="0" xfId="8" applyFont="1" applyFill="1" applyBorder="1"/>
    <xf numFmtId="0" fontId="238" fillId="0" borderId="0" xfId="8" applyFont="1" applyFill="1" applyBorder="1"/>
    <xf numFmtId="0" fontId="238" fillId="0" borderId="0" xfId="8" applyFont="1" applyFill="1" applyBorder="1" applyAlignment="1">
      <alignment horizontal="center"/>
    </xf>
    <xf numFmtId="0" fontId="237" fillId="0" borderId="3" xfId="8" applyFont="1" applyFill="1" applyBorder="1" applyAlignment="1">
      <alignment horizontal="right"/>
    </xf>
    <xf numFmtId="0" fontId="235" fillId="0" borderId="9" xfId="4" applyFont="1" applyFill="1" applyBorder="1"/>
    <xf numFmtId="0" fontId="235" fillId="0" borderId="0" xfId="8" applyFont="1" applyFill="1" applyBorder="1"/>
    <xf numFmtId="0" fontId="227" fillId="5" borderId="1" xfId="4" applyFill="1" applyBorder="1"/>
    <xf numFmtId="0" fontId="237" fillId="5" borderId="4" xfId="7" applyFont="1" applyFill="1" applyBorder="1"/>
    <xf numFmtId="0" fontId="237" fillId="5" borderId="4" xfId="7" applyFont="1" applyFill="1" applyBorder="1" applyAlignment="1">
      <alignment horizontal="center"/>
    </xf>
    <xf numFmtId="0" fontId="237" fillId="5" borderId="5" xfId="7" applyFont="1" applyFill="1" applyBorder="1" applyAlignment="1">
      <alignment horizontal="right"/>
    </xf>
    <xf numFmtId="0" fontId="227" fillId="6" borderId="6" xfId="4" applyFill="1" applyBorder="1"/>
    <xf numFmtId="0" fontId="237" fillId="6" borderId="9" xfId="6" applyFont="1" applyFill="1" applyBorder="1"/>
    <xf numFmtId="0" fontId="239" fillId="6" borderId="9" xfId="6" applyFont="1" applyFill="1" applyBorder="1"/>
    <xf numFmtId="3" fontId="239" fillId="6" borderId="9" xfId="6" applyNumberFormat="1" applyFont="1" applyFill="1" applyBorder="1"/>
    <xf numFmtId="3" fontId="239" fillId="6" borderId="9" xfId="6" applyNumberFormat="1" applyFont="1" applyFill="1" applyBorder="1" applyAlignment="1">
      <alignment horizontal="center"/>
    </xf>
    <xf numFmtId="0" fontId="237" fillId="6" borderId="10" xfId="6" applyFont="1" applyFill="1" applyBorder="1" applyAlignment="1">
      <alignment horizontal="right"/>
    </xf>
    <xf numFmtId="166" fontId="217" fillId="0" borderId="0" xfId="4" applyNumberFormat="1" applyFont="1" applyFill="1" applyBorder="1" applyAlignment="1">
      <alignment horizontal="left"/>
    </xf>
    <xf numFmtId="0" fontId="235" fillId="0" borderId="3" xfId="4" applyFont="1" applyFill="1" applyBorder="1" applyAlignment="1">
      <alignment horizontal="left"/>
    </xf>
    <xf numFmtId="0" fontId="227" fillId="0" borderId="11" xfId="4" applyFill="1" applyBorder="1"/>
    <xf numFmtId="49" fontId="235" fillId="0" borderId="12" xfId="4" applyNumberFormat="1" applyFont="1" applyFill="1" applyBorder="1"/>
    <xf numFmtId="0" fontId="235" fillId="0" borderId="12" xfId="4" applyFont="1" applyFill="1" applyBorder="1"/>
    <xf numFmtId="0" fontId="235" fillId="0" borderId="12" xfId="4" applyFont="1" applyFill="1" applyBorder="1" applyAlignment="1">
      <alignment horizontal="center"/>
    </xf>
    <xf numFmtId="0" fontId="235" fillId="0" borderId="13" xfId="4" applyFont="1" applyFill="1" applyBorder="1" applyAlignment="1">
      <alignment horizontal="left"/>
    </xf>
    <xf numFmtId="0" fontId="234" fillId="0" borderId="14" xfId="9" applyFont="1" applyFill="1" applyBorder="1"/>
    <xf numFmtId="0" fontId="227" fillId="0" borderId="15" xfId="4" applyFill="1" applyBorder="1"/>
    <xf numFmtId="0" fontId="235" fillId="0" borderId="16" xfId="4" applyFont="1" applyFill="1" applyBorder="1"/>
    <xf numFmtId="10" fontId="236" fillId="0" borderId="16" xfId="4" applyNumberFormat="1" applyFont="1" applyFill="1" applyBorder="1"/>
    <xf numFmtId="9" fontId="235" fillId="0" borderId="16" xfId="4" applyNumberFormat="1" applyFont="1" applyFill="1" applyBorder="1"/>
    <xf numFmtId="0" fontId="235" fillId="0" borderId="16" xfId="4" applyFont="1" applyFill="1" applyBorder="1" applyAlignment="1">
      <alignment horizontal="right"/>
    </xf>
    <xf numFmtId="0" fontId="235" fillId="0" borderId="17" xfId="4" applyFont="1" applyFill="1" applyBorder="1" applyAlignment="1">
      <alignment horizontal="right"/>
    </xf>
    <xf numFmtId="0" fontId="227" fillId="7" borderId="18" xfId="4" applyFill="1" applyBorder="1"/>
    <xf numFmtId="0" fontId="237" fillId="7" borderId="19" xfId="7" applyFont="1" applyFill="1" applyBorder="1"/>
    <xf numFmtId="0" fontId="237" fillId="7" borderId="19" xfId="7" applyFont="1" applyFill="1" applyBorder="1" applyAlignment="1">
      <alignment horizontal="right"/>
    </xf>
    <xf numFmtId="0" fontId="237" fillId="7" borderId="20" xfId="7" applyFont="1" applyFill="1" applyBorder="1" applyAlignment="1">
      <alignment horizontal="right"/>
    </xf>
    <xf numFmtId="0" fontId="227" fillId="0" borderId="21" xfId="4" applyFill="1" applyBorder="1"/>
    <xf numFmtId="0" fontId="237" fillId="0" borderId="22" xfId="4" applyFont="1" applyFill="1" applyBorder="1"/>
    <xf numFmtId="0" fontId="235" fillId="0" borderId="22" xfId="4" applyFont="1" applyFill="1" applyBorder="1"/>
    <xf numFmtId="0" fontId="235" fillId="0" borderId="22" xfId="4" applyFont="1" applyFill="1" applyBorder="1" applyAlignment="1">
      <alignment horizontal="center"/>
    </xf>
    <xf numFmtId="0" fontId="237" fillId="0" borderId="23" xfId="4" applyFont="1" applyFill="1" applyBorder="1" applyAlignment="1">
      <alignment horizontal="right"/>
    </xf>
    <xf numFmtId="0" fontId="240" fillId="0" borderId="0" xfId="4" applyFont="1" applyFill="1" applyBorder="1"/>
    <xf numFmtId="0" fontId="241" fillId="0" borderId="0" xfId="4" applyFont="1" applyFill="1" applyBorder="1"/>
    <xf numFmtId="0" fontId="241" fillId="0" borderId="0" xfId="4" applyFont="1" applyFill="1" applyBorder="1" applyAlignment="1">
      <alignment horizontal="right"/>
    </xf>
    <xf numFmtId="0" fontId="0" fillId="0" borderId="16" xfId="0" applyBorder="1"/>
    <xf numFmtId="0" fontId="0" fillId="0" borderId="16" xfId="0" applyBorder="1" applyAlignment="1">
      <alignment horizontal="center"/>
    </xf>
    <xf numFmtId="0" fontId="226" fillId="8" borderId="24" xfId="3" applyFill="1" applyBorder="1"/>
    <xf numFmtId="0" fontId="226" fillId="8" borderId="25" xfId="3" applyFill="1" applyBorder="1"/>
    <xf numFmtId="0" fontId="219" fillId="4" borderId="25" xfId="3" applyFont="1" applyBorder="1" applyAlignment="1">
      <alignment horizontal="center"/>
    </xf>
    <xf numFmtId="0" fontId="242" fillId="4" borderId="25" xfId="3" applyFont="1" applyBorder="1"/>
    <xf numFmtId="0" fontId="242" fillId="4" borderId="26" xfId="3" applyFont="1" applyBorder="1" applyAlignment="1">
      <alignment horizontal="right"/>
    </xf>
    <xf numFmtId="0" fontId="0" fillId="8" borderId="6" xfId="0" applyFill="1" applyBorder="1"/>
    <xf numFmtId="0" fontId="215" fillId="8" borderId="9" xfId="3" applyFont="1" applyFill="1" applyBorder="1"/>
    <xf numFmtId="0" fontId="219" fillId="4" borderId="9" xfId="3" applyFont="1" applyBorder="1" applyAlignment="1">
      <alignment horizontal="center"/>
    </xf>
    <xf numFmtId="0" fontId="242" fillId="4" borderId="9" xfId="3" applyFont="1" applyBorder="1"/>
    <xf numFmtId="0" fontId="242" fillId="4" borderId="10" xfId="3" applyFont="1" applyBorder="1" applyAlignment="1">
      <alignment horizontal="right"/>
    </xf>
    <xf numFmtId="0" fontId="241" fillId="0" borderId="16" xfId="4" applyFont="1" applyFill="1" applyBorder="1"/>
    <xf numFmtId="0" fontId="241" fillId="0" borderId="0" xfId="4" applyFont="1" applyFill="1" applyBorder="1" applyAlignment="1">
      <alignment vertical="center"/>
    </xf>
    <xf numFmtId="0" fontId="241" fillId="0" borderId="0" xfId="8" applyFont="1" applyFill="1" applyBorder="1"/>
    <xf numFmtId="169" fontId="235" fillId="0" borderId="0" xfId="4" applyNumberFormat="1" applyFont="1" applyFill="1" applyBorder="1" applyAlignment="1">
      <alignment horizontal="center"/>
    </xf>
    <xf numFmtId="169" fontId="235" fillId="0" borderId="0" xfId="4" applyNumberFormat="1" applyFont="1" applyFill="1" applyBorder="1" applyAlignment="1">
      <alignment horizontal="center" vertical="center"/>
    </xf>
    <xf numFmtId="0" fontId="237" fillId="0" borderId="3" xfId="8" applyFont="1" applyFill="1" applyBorder="1" applyAlignment="1">
      <alignment horizontal="center"/>
    </xf>
    <xf numFmtId="0" fontId="237" fillId="0" borderId="0" xfId="8" applyFont="1" applyFill="1" applyBorder="1" applyAlignment="1">
      <alignment horizontal="center"/>
    </xf>
    <xf numFmtId="168" fontId="218" fillId="0" borderId="0" xfId="4" applyNumberFormat="1" applyFont="1" applyFill="1" applyBorder="1" applyAlignment="1">
      <alignment horizontal="right"/>
    </xf>
    <xf numFmtId="2" fontId="218" fillId="0" borderId="12" xfId="4" applyNumberFormat="1" applyFont="1" applyFill="1" applyBorder="1" applyAlignment="1">
      <alignment horizontal="right"/>
    </xf>
    <xf numFmtId="2" fontId="218" fillId="0" borderId="0" xfId="4" applyNumberFormat="1" applyFont="1" applyFill="1" applyBorder="1" applyAlignment="1">
      <alignment horizontal="right"/>
    </xf>
    <xf numFmtId="10" fontId="243" fillId="0" borderId="0" xfId="4" applyNumberFormat="1" applyFont="1" applyFill="1" applyBorder="1"/>
    <xf numFmtId="10" fontId="242" fillId="0" borderId="0" xfId="4" applyNumberFormat="1" applyFont="1" applyFill="1" applyBorder="1"/>
    <xf numFmtId="10" fontId="235" fillId="0" borderId="0" xfId="4" applyNumberFormat="1" applyFont="1" applyFill="1" applyBorder="1"/>
    <xf numFmtId="167" fontId="235" fillId="0" borderId="16" xfId="4" applyNumberFormat="1" applyFont="1" applyFill="1" applyBorder="1"/>
    <xf numFmtId="167" fontId="235" fillId="0" borderId="7" xfId="4" applyNumberFormat="1" applyFont="1" applyFill="1" applyBorder="1"/>
    <xf numFmtId="167" fontId="237" fillId="0" borderId="0" xfId="4" applyNumberFormat="1" applyFont="1" applyFill="1" applyBorder="1"/>
    <xf numFmtId="10" fontId="221" fillId="7" borderId="19" xfId="7" applyNumberFormat="1" applyFont="1" applyFill="1" applyBorder="1"/>
    <xf numFmtId="3" fontId="218" fillId="0" borderId="16" xfId="4" applyNumberFormat="1" applyFont="1" applyFill="1" applyBorder="1"/>
    <xf numFmtId="3" fontId="221" fillId="7" borderId="19" xfId="7" applyNumberFormat="1" applyFont="1" applyFill="1" applyBorder="1"/>
    <xf numFmtId="3" fontId="221" fillId="5" borderId="4" xfId="7" applyNumberFormat="1" applyFont="1" applyFill="1" applyBorder="1"/>
    <xf numFmtId="3" fontId="221" fillId="6" borderId="9" xfId="6" applyNumberFormat="1" applyFont="1" applyFill="1" applyBorder="1"/>
    <xf numFmtId="3" fontId="221" fillId="0" borderId="22" xfId="4" applyNumberFormat="1" applyFont="1" applyFill="1" applyBorder="1"/>
    <xf numFmtId="3" fontId="221" fillId="0" borderId="0" xfId="8" applyNumberFormat="1" applyFont="1" applyFill="1" applyBorder="1"/>
    <xf numFmtId="3" fontId="235" fillId="0" borderId="0" xfId="4" quotePrefix="1" applyNumberFormat="1" applyFont="1" applyFill="1" applyBorder="1"/>
    <xf numFmtId="10" fontId="219" fillId="4" borderId="25" xfId="3" applyNumberFormat="1" applyFont="1" applyBorder="1"/>
    <xf numFmtId="10" fontId="219" fillId="4" borderId="9" xfId="3" applyNumberFormat="1" applyFont="1" applyBorder="1"/>
    <xf numFmtId="3" fontId="219" fillId="4" borderId="25" xfId="3" applyNumberFormat="1" applyFont="1" applyBorder="1"/>
    <xf numFmtId="3" fontId="219" fillId="4" borderId="9" xfId="3" applyNumberFormat="1" applyFont="1" applyBorder="1"/>
    <xf numFmtId="0" fontId="237" fillId="0" borderId="16" xfId="8" applyFont="1" applyFill="1" applyBorder="1" applyAlignment="1">
      <alignment horizontal="center"/>
    </xf>
    <xf numFmtId="0" fontId="237" fillId="0" borderId="16" xfId="8" applyFont="1" applyFill="1" applyBorder="1" applyAlignment="1">
      <alignment horizontal="center" vertical="center"/>
    </xf>
    <xf numFmtId="0" fontId="237" fillId="0" borderId="16" xfId="8" applyFont="1" applyFill="1" applyBorder="1" applyAlignment="1">
      <alignment horizontal="left"/>
    </xf>
    <xf numFmtId="10" fontId="235" fillId="0" borderId="0" xfId="8" applyNumberFormat="1" applyFont="1" applyFill="1" applyBorder="1" applyAlignment="1">
      <alignment horizontal="center"/>
    </xf>
    <xf numFmtId="0" fontId="242" fillId="0" borderId="0" xfId="8" applyFont="1" applyFill="1" applyBorder="1" applyAlignment="1">
      <alignment horizontal="right"/>
    </xf>
    <xf numFmtId="0" fontId="242" fillId="0" borderId="0" xfId="8" applyFont="1" applyFill="1" applyBorder="1" applyAlignment="1">
      <alignment horizontal="center"/>
    </xf>
    <xf numFmtId="168" fontId="219" fillId="0" borderId="0" xfId="8" applyNumberFormat="1" applyFont="1" applyFill="1" applyBorder="1" applyAlignment="1">
      <alignment horizontal="center"/>
    </xf>
    <xf numFmtId="168" fontId="219" fillId="0" borderId="3" xfId="8" applyNumberFormat="1" applyFont="1" applyFill="1" applyBorder="1" applyAlignment="1">
      <alignment horizontal="center"/>
    </xf>
    <xf numFmtId="168" fontId="219" fillId="0" borderId="9" xfId="8" applyNumberFormat="1" applyFont="1" applyFill="1" applyBorder="1" applyAlignment="1">
      <alignment horizontal="center"/>
    </xf>
    <xf numFmtId="0" fontId="237" fillId="0" borderId="0" xfId="8" applyFont="1" applyFill="1" applyBorder="1" applyAlignment="1">
      <alignment horizontal="center" vertical="center"/>
    </xf>
    <xf numFmtId="0" fontId="242" fillId="0" borderId="9" xfId="8" applyFont="1" applyFill="1" applyBorder="1" applyAlignment="1">
      <alignment horizontal="right"/>
    </xf>
    <xf numFmtId="10" fontId="235" fillId="0" borderId="9" xfId="8" applyNumberFormat="1" applyFont="1" applyFill="1" applyBorder="1" applyAlignment="1">
      <alignment horizontal="center"/>
    </xf>
    <xf numFmtId="10" fontId="235" fillId="0" borderId="3" xfId="8" applyNumberFormat="1" applyFont="1" applyFill="1" applyBorder="1" applyAlignment="1">
      <alignment horizontal="center"/>
    </xf>
    <xf numFmtId="10" fontId="235" fillId="0" borderId="10" xfId="8" applyNumberFormat="1" applyFont="1" applyFill="1" applyBorder="1" applyAlignment="1">
      <alignment horizontal="center"/>
    </xf>
    <xf numFmtId="169" fontId="235" fillId="0" borderId="22" xfId="4" applyNumberFormat="1" applyFont="1" applyFill="1" applyBorder="1" applyAlignment="1">
      <alignment horizontal="center"/>
    </xf>
    <xf numFmtId="169" fontId="235" fillId="0" borderId="22" xfId="4" applyNumberFormat="1" applyFont="1" applyFill="1" applyBorder="1" applyAlignment="1">
      <alignment horizontal="center" vertical="center"/>
    </xf>
    <xf numFmtId="0" fontId="237" fillId="0" borderId="27" xfId="8" applyFont="1" applyFill="1" applyBorder="1" applyAlignment="1">
      <alignment horizontal="center"/>
    </xf>
    <xf numFmtId="168" fontId="219" fillId="0" borderId="27" xfId="8" applyNumberFormat="1" applyFont="1" applyFill="1" applyBorder="1" applyAlignment="1">
      <alignment horizontal="center"/>
    </xf>
    <xf numFmtId="0" fontId="234" fillId="0" borderId="28" xfId="9" applyFont="1" applyFill="1" applyBorder="1"/>
    <xf numFmtId="0" fontId="234" fillId="0" borderId="29" xfId="9" applyFont="1" applyFill="1" applyBorder="1"/>
    <xf numFmtId="0" fontId="234" fillId="0" borderId="30" xfId="9" applyFont="1" applyFill="1" applyBorder="1"/>
    <xf numFmtId="0" fontId="234" fillId="0" borderId="31" xfId="9" applyFont="1" applyFill="1" applyBorder="1"/>
    <xf numFmtId="0" fontId="237" fillId="0" borderId="32" xfId="8" applyFont="1" applyFill="1" applyBorder="1" applyAlignment="1">
      <alignment horizontal="center"/>
    </xf>
    <xf numFmtId="10" fontId="235" fillId="0" borderId="32" xfId="8" applyNumberFormat="1" applyFont="1" applyFill="1" applyBorder="1" applyAlignment="1">
      <alignment horizontal="center"/>
    </xf>
    <xf numFmtId="10" fontId="235" fillId="0" borderId="33" xfId="8" applyNumberFormat="1" applyFont="1" applyFill="1" applyBorder="1" applyAlignment="1">
      <alignment horizontal="center"/>
    </xf>
    <xf numFmtId="0" fontId="242" fillId="0" borderId="34" xfId="8" applyFont="1" applyFill="1" applyBorder="1" applyAlignment="1">
      <alignment horizontal="center"/>
    </xf>
    <xf numFmtId="0" fontId="244" fillId="0" borderId="0" xfId="4" applyFont="1" applyFill="1" applyBorder="1"/>
    <xf numFmtId="0" fontId="244" fillId="0" borderId="0" xfId="4" applyFont="1" applyFill="1" applyBorder="1" applyAlignment="1">
      <alignment horizontal="right"/>
    </xf>
    <xf numFmtId="0" fontId="234" fillId="0" borderId="11" xfId="9" applyFont="1" applyFill="1" applyBorder="1"/>
    <xf numFmtId="3" fontId="235" fillId="0" borderId="12" xfId="4" applyNumberFormat="1" applyFont="1" applyFill="1" applyBorder="1" applyAlignment="1">
      <alignment horizontal="right"/>
    </xf>
    <xf numFmtId="0" fontId="235" fillId="0" borderId="12" xfId="4" applyFont="1" applyFill="1" applyBorder="1" applyAlignment="1">
      <alignment horizontal="left"/>
    </xf>
    <xf numFmtId="10" fontId="236" fillId="0" borderId="12" xfId="4" applyNumberFormat="1" applyFont="1" applyFill="1" applyBorder="1"/>
    <xf numFmtId="0" fontId="235" fillId="0" borderId="13" xfId="4" applyFont="1" applyFill="1" applyBorder="1" applyAlignment="1">
      <alignment horizontal="right"/>
    </xf>
    <xf numFmtId="168" fontId="219" fillId="0" borderId="35" xfId="8" applyNumberFormat="1" applyFont="1" applyFill="1" applyBorder="1" applyAlignment="1">
      <alignment horizontal="center"/>
    </xf>
    <xf numFmtId="0" fontId="237" fillId="0" borderId="36" xfId="8" applyFont="1" applyFill="1" applyBorder="1" applyAlignment="1">
      <alignment horizontal="left"/>
    </xf>
    <xf numFmtId="3" fontId="235" fillId="0" borderId="0" xfId="4" applyNumberFormat="1" applyFont="1" applyFill="1" applyBorder="1" applyAlignment="1">
      <alignment horizontal="right"/>
    </xf>
    <xf numFmtId="0" fontId="237" fillId="0" borderId="37" xfId="8" applyFont="1" applyFill="1" applyBorder="1" applyAlignment="1">
      <alignment horizontal="left"/>
    </xf>
    <xf numFmtId="10" fontId="225" fillId="0" borderId="0" xfId="1" applyNumberFormat="1" applyFill="1"/>
    <xf numFmtId="167" fontId="243" fillId="0" borderId="0" xfId="4" applyNumberFormat="1" applyFont="1" applyFill="1" applyBorder="1"/>
    <xf numFmtId="10" fontId="243" fillId="0" borderId="3" xfId="4" applyNumberFormat="1" applyFont="1" applyFill="1" applyBorder="1" applyAlignment="1">
      <alignment horizontal="right"/>
    </xf>
    <xf numFmtId="3" fontId="243" fillId="0" borderId="0" xfId="4" applyNumberFormat="1" applyFont="1" applyFill="1" applyBorder="1"/>
    <xf numFmtId="10" fontId="224" fillId="5" borderId="4" xfId="7" applyNumberFormat="1" applyFont="1" applyFill="1" applyBorder="1"/>
    <xf numFmtId="167" fontId="219" fillId="4" borderId="25" xfId="3" applyNumberFormat="1" applyFont="1" applyBorder="1" applyAlignment="1">
      <alignment horizontal="center"/>
    </xf>
    <xf numFmtId="167" fontId="219" fillId="4" borderId="9" xfId="3" applyNumberFormat="1" applyFont="1" applyBorder="1" applyAlignment="1">
      <alignment horizontal="center"/>
    </xf>
    <xf numFmtId="166" fontId="242" fillId="0" borderId="0" xfId="4" applyNumberFormat="1" applyFont="1" applyFill="1" applyBorder="1" applyAlignment="1">
      <alignment horizontal="left"/>
    </xf>
    <xf numFmtId="0" fontId="237" fillId="0" borderId="28" xfId="8" applyFont="1" applyFill="1" applyBorder="1"/>
    <xf numFmtId="0" fontId="237" fillId="0" borderId="29" xfId="8" applyFont="1" applyFill="1" applyBorder="1" applyAlignment="1">
      <alignment horizontal="center"/>
    </xf>
    <xf numFmtId="168" fontId="219" fillId="0" borderId="29" xfId="8" applyNumberFormat="1" applyFont="1" applyFill="1" applyBorder="1" applyAlignment="1">
      <alignment horizontal="center"/>
    </xf>
    <xf numFmtId="168" fontId="219" fillId="0" borderId="30" xfId="8" applyNumberFormat="1" applyFont="1" applyFill="1" applyBorder="1" applyAlignment="1">
      <alignment horizontal="center"/>
    </xf>
    <xf numFmtId="168" fontId="219" fillId="0" borderId="31" xfId="8" applyNumberFormat="1" applyFont="1" applyFill="1" applyBorder="1" applyAlignment="1">
      <alignment horizontal="center"/>
    </xf>
    <xf numFmtId="170" fontId="233" fillId="0" borderId="4" xfId="5" applyNumberFormat="1" applyFont="1" applyFill="1" applyBorder="1" applyAlignment="1">
      <alignment horizontal="center"/>
    </xf>
    <xf numFmtId="14" fontId="235" fillId="0" borderId="0" xfId="4" applyNumberFormat="1" applyFont="1" applyFill="1" applyBorder="1"/>
    <xf numFmtId="49" fontId="235" fillId="0" borderId="0" xfId="4" applyNumberFormat="1" applyFont="1" applyFill="1" applyBorder="1" applyAlignment="1" applyProtection="1">
      <alignment horizontal="left"/>
    </xf>
    <xf numFmtId="167" fontId="242" fillId="0" borderId="0" xfId="4" applyNumberFormat="1" applyFont="1" applyFill="1" applyBorder="1"/>
    <xf numFmtId="169" fontId="249" fillId="0" borderId="0" xfId="13" applyNumberFormat="1" applyFont="1" applyAlignment="1">
      <alignment vertical="center"/>
    </xf>
    <xf numFmtId="167" fontId="235" fillId="0" borderId="0" xfId="4" applyNumberFormat="1" applyFont="1" applyFill="1" applyBorder="1" applyAlignment="1">
      <alignment wrapText="1"/>
    </xf>
    <xf numFmtId="0" fontId="0" fillId="9" borderId="0" xfId="0" applyFill="1"/>
    <xf numFmtId="0" fontId="251" fillId="0" borderId="0" xfId="0" applyFont="1"/>
    <xf numFmtId="14" fontId="0" fillId="9" borderId="0" xfId="0" applyNumberFormat="1" applyFill="1"/>
    <xf numFmtId="165" fontId="248" fillId="0" borderId="0" xfId="499" applyFont="1"/>
    <xf numFmtId="0" fontId="248" fillId="0" borderId="0" xfId="0" applyFont="1"/>
    <xf numFmtId="0" fontId="248" fillId="0" borderId="0" xfId="14"/>
    <xf numFmtId="172" fontId="248" fillId="0" borderId="0" xfId="14" applyNumberFormat="1"/>
    <xf numFmtId="172" fontId="248" fillId="0" borderId="0" xfId="499" applyNumberFormat="1" applyFont="1"/>
    <xf numFmtId="0" fontId="248" fillId="10" borderId="0" xfId="14" applyFill="1"/>
    <xf numFmtId="10" fontId="0" fillId="10" borderId="0" xfId="1300" applyNumberFormat="1" applyFont="1" applyFill="1"/>
    <xf numFmtId="14" fontId="248" fillId="10" borderId="0" xfId="14" applyNumberFormat="1" applyFill="1"/>
    <xf numFmtId="0" fontId="248" fillId="11" borderId="0" xfId="14" applyFill="1"/>
    <xf numFmtId="10" fontId="0" fillId="0" borderId="0" xfId="1300" applyNumberFormat="1" applyFont="1"/>
    <xf numFmtId="14" fontId="248" fillId="0" borderId="0" xfId="14" applyNumberFormat="1"/>
    <xf numFmtId="0" fontId="248" fillId="12" borderId="0" xfId="14" applyFill="1"/>
    <xf numFmtId="172" fontId="251" fillId="0" borderId="0" xfId="499" applyNumberFormat="1" applyFont="1"/>
    <xf numFmtId="0" fontId="248" fillId="0" borderId="4" xfId="14" applyBorder="1"/>
    <xf numFmtId="0" fontId="248" fillId="9" borderId="4" xfId="14" applyFill="1" applyBorder="1"/>
    <xf numFmtId="172" fontId="251" fillId="9" borderId="4" xfId="1300" applyNumberFormat="1" applyFont="1" applyFill="1" applyBorder="1"/>
    <xf numFmtId="10" fontId="0" fillId="9" borderId="4" xfId="1300" applyNumberFormat="1" applyFont="1" applyFill="1" applyBorder="1"/>
    <xf numFmtId="14" fontId="248" fillId="9" borderId="4" xfId="14" applyNumberFormat="1" applyFill="1" applyBorder="1"/>
    <xf numFmtId="172" fontId="251" fillId="9" borderId="4" xfId="499" applyNumberFormat="1" applyFont="1" applyFill="1" applyBorder="1"/>
    <xf numFmtId="0" fontId="251" fillId="9" borderId="0" xfId="14" applyFont="1" applyFill="1" applyAlignment="1">
      <alignment wrapText="1"/>
    </xf>
    <xf numFmtId="0" fontId="251" fillId="9" borderId="0" xfId="14" applyFont="1" applyFill="1"/>
    <xf numFmtId="173" fontId="251" fillId="9" borderId="0" xfId="14" applyNumberFormat="1" applyFont="1" applyFill="1"/>
    <xf numFmtId="174" fontId="235" fillId="0" borderId="0" xfId="4" applyNumberFormat="1" applyFont="1" applyFill="1" applyBorder="1"/>
    <xf numFmtId="0" fontId="251" fillId="0" borderId="0" xfId="0" applyFont="1" applyAlignment="1">
      <alignment horizontal="center" wrapText="1"/>
    </xf>
    <xf numFmtId="0" fontId="242" fillId="0" borderId="16" xfId="8" applyFont="1" applyFill="1" applyBorder="1" applyAlignment="1">
      <alignment horizontal="center"/>
    </xf>
    <xf numFmtId="0" fontId="242" fillId="0" borderId="17" xfId="8" applyFont="1" applyFill="1" applyBorder="1" applyAlignment="1">
      <alignment horizontal="center"/>
    </xf>
    <xf numFmtId="10" fontId="248" fillId="0" borderId="0" xfId="1300" applyNumberFormat="1" applyFont="1" applyFill="1" applyBorder="1"/>
    <xf numFmtId="172" fontId="0" fillId="0" borderId="0" xfId="499" applyNumberFormat="1" applyFont="1" applyFill="1" applyBorder="1"/>
    <xf numFmtId="14" fontId="0" fillId="0" borderId="48" xfId="0" applyNumberFormat="1" applyBorder="1" applyAlignment="1">
      <alignment horizontal="left"/>
    </xf>
    <xf numFmtId="10" fontId="254" fillId="0" borderId="0" xfId="4" applyNumberFormat="1" applyFont="1" applyFill="1" applyBorder="1"/>
    <xf numFmtId="174" fontId="254" fillId="0" borderId="0" xfId="4" applyNumberFormat="1" applyFont="1" applyFill="1" applyBorder="1"/>
    <xf numFmtId="0" fontId="255" fillId="0" borderId="0" xfId="14" applyFont="1"/>
    <xf numFmtId="4" fontId="255" fillId="0" borderId="0" xfId="0" applyNumberFormat="1" applyFont="1"/>
    <xf numFmtId="4" fontId="0" fillId="0" borderId="0" xfId="0" applyNumberFormat="1"/>
    <xf numFmtId="4" fontId="0" fillId="0" borderId="4" xfId="0" applyNumberFormat="1" applyBorder="1"/>
    <xf numFmtId="4" fontId="248" fillId="0" borderId="25" xfId="0" applyNumberFormat="1" applyFont="1" applyBorder="1"/>
    <xf numFmtId="4" fontId="0" fillId="0" borderId="25" xfId="0" applyNumberFormat="1" applyBorder="1"/>
    <xf numFmtId="4" fontId="0" fillId="0" borderId="0" xfId="0" applyNumberFormat="1" applyAlignment="1">
      <alignment horizontal="center" textRotation="90" wrapText="1"/>
    </xf>
    <xf numFmtId="4" fontId="251" fillId="0" borderId="0" xfId="0" applyNumberFormat="1" applyFont="1"/>
    <xf numFmtId="4" fontId="251" fillId="0" borderId="25" xfId="0" applyNumberFormat="1" applyFont="1" applyBorder="1"/>
    <xf numFmtId="4" fontId="248" fillId="0" borderId="9" xfId="0" applyNumberFormat="1" applyFont="1" applyBorder="1"/>
    <xf numFmtId="4" fontId="251" fillId="0" borderId="9" xfId="0" applyNumberFormat="1" applyFont="1" applyBorder="1"/>
    <xf numFmtId="4" fontId="251" fillId="0" borderId="4" xfId="0" applyNumberFormat="1" applyFont="1" applyBorder="1" applyAlignment="1">
      <alignment horizontal="center" wrapText="1"/>
    </xf>
    <xf numFmtId="4" fontId="251" fillId="0" borderId="4" xfId="0" applyNumberFormat="1" applyFont="1" applyBorder="1"/>
    <xf numFmtId="4" fontId="0" fillId="0" borderId="0" xfId="0" applyNumberFormat="1" applyAlignment="1">
      <alignment horizontal="center"/>
    </xf>
    <xf numFmtId="4" fontId="248" fillId="0" borderId="4" xfId="0" applyNumberFormat="1" applyFont="1" applyBorder="1" applyAlignment="1">
      <alignment horizontal="center" vertical="center" textRotation="90" wrapText="1"/>
    </xf>
    <xf numFmtId="170" fontId="256" fillId="0" borderId="9" xfId="5" applyNumberFormat="1" applyFont="1" applyFill="1" applyBorder="1" applyAlignment="1">
      <alignment horizontal="center"/>
    </xf>
    <xf numFmtId="0" fontId="257" fillId="0" borderId="0" xfId="0" applyFont="1" applyAlignment="1">
      <alignment vertical="center"/>
    </xf>
    <xf numFmtId="0" fontId="258" fillId="0" borderId="0" xfId="0" applyFont="1" applyAlignment="1">
      <alignment vertical="center"/>
    </xf>
    <xf numFmtId="0" fontId="259" fillId="0" borderId="0" xfId="0" applyFont="1" applyAlignment="1">
      <alignment vertical="center"/>
    </xf>
    <xf numFmtId="0" fontId="258" fillId="14" borderId="1" xfId="0" applyFont="1" applyFill="1" applyBorder="1" applyAlignment="1">
      <alignment vertical="center"/>
    </xf>
    <xf numFmtId="0" fontId="258" fillId="14" borderId="43" xfId="0" applyFont="1" applyFill="1" applyBorder="1" applyAlignment="1">
      <alignment horizontal="center" vertical="center"/>
    </xf>
    <xf numFmtId="0" fontId="260" fillId="0" borderId="0" xfId="0" applyFont="1" applyAlignment="1">
      <alignment vertical="center"/>
    </xf>
    <xf numFmtId="172" fontId="259" fillId="0" borderId="15" xfId="499" applyNumberFormat="1" applyFont="1" applyFill="1" applyBorder="1" applyAlignment="1">
      <alignment vertical="center"/>
    </xf>
    <xf numFmtId="172" fontId="259" fillId="0" borderId="44" xfId="499" applyNumberFormat="1" applyFont="1" applyFill="1" applyBorder="1" applyAlignment="1">
      <alignment vertical="center"/>
    </xf>
    <xf numFmtId="175" fontId="259" fillId="0" borderId="44" xfId="499" applyNumberFormat="1" applyFont="1" applyFill="1" applyBorder="1" applyAlignment="1">
      <alignment vertical="center"/>
    </xf>
    <xf numFmtId="172" fontId="259" fillId="0" borderId="42" xfId="499" applyNumberFormat="1" applyFont="1" applyFill="1" applyBorder="1" applyAlignment="1">
      <alignment vertical="center"/>
    </xf>
    <xf numFmtId="172" fontId="259" fillId="13" borderId="11" xfId="499" applyNumberFormat="1" applyFont="1" applyFill="1" applyBorder="1" applyAlignment="1">
      <alignment vertical="center"/>
    </xf>
    <xf numFmtId="172" fontId="259" fillId="13" borderId="46" xfId="499" applyNumberFormat="1" applyFont="1" applyFill="1" applyBorder="1" applyAlignment="1">
      <alignment vertical="center"/>
    </xf>
    <xf numFmtId="172" fontId="258" fillId="10" borderId="1" xfId="499" applyNumberFormat="1" applyFont="1" applyFill="1" applyBorder="1" applyAlignment="1">
      <alignment vertical="center"/>
    </xf>
    <xf numFmtId="172" fontId="258" fillId="10" borderId="43" xfId="499" applyNumberFormat="1" applyFont="1" applyFill="1" applyBorder="1" applyAlignment="1">
      <alignment vertical="center"/>
    </xf>
    <xf numFmtId="172" fontId="259" fillId="0" borderId="45" xfId="499" applyNumberFormat="1" applyFont="1" applyFill="1" applyBorder="1" applyAlignment="1">
      <alignment vertical="center"/>
    </xf>
    <xf numFmtId="172" fontId="259" fillId="0" borderId="3" xfId="499" applyNumberFormat="1" applyFont="1" applyFill="1" applyBorder="1" applyAlignment="1">
      <alignment vertical="center"/>
    </xf>
    <xf numFmtId="0" fontId="259" fillId="0" borderId="53" xfId="0" applyFont="1" applyBorder="1" applyAlignment="1">
      <alignment vertical="center"/>
    </xf>
    <xf numFmtId="172" fontId="259" fillId="0" borderId="11" xfId="499" applyNumberFormat="1" applyFont="1" applyFill="1" applyBorder="1" applyAlignment="1">
      <alignment vertical="center"/>
    </xf>
    <xf numFmtId="172" fontId="259" fillId="0" borderId="46" xfId="499" applyNumberFormat="1" applyFont="1" applyFill="1" applyBorder="1" applyAlignment="1">
      <alignment vertical="center"/>
    </xf>
    <xf numFmtId="172" fontId="259" fillId="10" borderId="43" xfId="499" applyNumberFormat="1" applyFont="1" applyFill="1" applyBorder="1" applyAlignment="1">
      <alignment vertical="center"/>
    </xf>
    <xf numFmtId="172" fontId="258" fillId="14" borderId="51" xfId="499" applyNumberFormat="1" applyFont="1" applyFill="1" applyBorder="1" applyAlignment="1">
      <alignment vertical="center"/>
    </xf>
    <xf numFmtId="172" fontId="258" fillId="14" borderId="47" xfId="499" applyNumberFormat="1" applyFont="1" applyFill="1" applyBorder="1" applyAlignment="1">
      <alignment vertical="center"/>
    </xf>
    <xf numFmtId="0" fontId="261" fillId="0" borderId="0" xfId="0" applyFont="1" applyAlignment="1">
      <alignment vertical="center"/>
    </xf>
    <xf numFmtId="172" fontId="262" fillId="0" borderId="41" xfId="499" applyNumberFormat="1" applyFont="1" applyFill="1" applyBorder="1" applyAlignment="1">
      <alignment vertical="center"/>
    </xf>
    <xf numFmtId="172" fontId="258" fillId="0" borderId="52" xfId="499" applyNumberFormat="1" applyFont="1" applyFill="1" applyBorder="1" applyAlignment="1">
      <alignment vertical="center"/>
    </xf>
    <xf numFmtId="172" fontId="261" fillId="0" borderId="52" xfId="499" applyNumberFormat="1" applyFont="1" applyFill="1" applyBorder="1" applyAlignment="1">
      <alignment vertical="center"/>
    </xf>
    <xf numFmtId="172" fontId="261" fillId="0" borderId="1" xfId="499" applyNumberFormat="1" applyFont="1" applyFill="1" applyBorder="1" applyAlignment="1">
      <alignment vertical="center"/>
    </xf>
    <xf numFmtId="172" fontId="258" fillId="0" borderId="43" xfId="499" applyNumberFormat="1" applyFont="1" applyFill="1" applyBorder="1" applyAlignment="1">
      <alignment vertical="center"/>
    </xf>
    <xf numFmtId="172" fontId="258" fillId="14" borderId="1" xfId="499" applyNumberFormat="1" applyFont="1" applyFill="1" applyBorder="1" applyAlignment="1">
      <alignment vertical="center"/>
    </xf>
    <xf numFmtId="172" fontId="258" fillId="14" borderId="43" xfId="499" applyNumberFormat="1" applyFont="1" applyFill="1" applyBorder="1" applyAlignment="1">
      <alignment vertical="center"/>
    </xf>
    <xf numFmtId="172" fontId="259" fillId="0" borderId="52" xfId="499" applyNumberFormat="1" applyFont="1" applyFill="1" applyBorder="1" applyAlignment="1">
      <alignment vertical="center"/>
    </xf>
    <xf numFmtId="172" fontId="259" fillId="10" borderId="46" xfId="499" applyNumberFormat="1" applyFont="1" applyFill="1" applyBorder="1" applyAlignment="1">
      <alignment vertical="center"/>
    </xf>
    <xf numFmtId="4" fontId="263" fillId="0" borderId="0" xfId="0" applyNumberFormat="1" applyFont="1"/>
    <xf numFmtId="168" fontId="253" fillId="0" borderId="48" xfId="10" applyNumberFormat="1" applyFont="1" applyBorder="1"/>
    <xf numFmtId="168" fontId="253" fillId="0" borderId="49" xfId="10" applyNumberFormat="1" applyFont="1" applyBorder="1"/>
    <xf numFmtId="168" fontId="253" fillId="0" borderId="50" xfId="10" applyNumberFormat="1" applyFont="1" applyBorder="1"/>
    <xf numFmtId="168" fontId="218" fillId="0" borderId="0" xfId="4" applyNumberFormat="1" applyFont="1" applyFill="1" applyBorder="1"/>
    <xf numFmtId="166" fontId="218" fillId="0" borderId="0" xfId="4" applyNumberFormat="1" applyFont="1" applyFill="1" applyBorder="1" applyAlignment="1">
      <alignment horizontal="right"/>
    </xf>
    <xf numFmtId="0" fontId="264" fillId="0" borderId="0" xfId="14" applyFont="1"/>
    <xf numFmtId="14" fontId="265" fillId="9" borderId="0" xfId="14" applyNumberFormat="1" applyFont="1" applyFill="1"/>
    <xf numFmtId="14" fontId="264" fillId="0" borderId="0" xfId="14" applyNumberFormat="1" applyFont="1"/>
    <xf numFmtId="14" fontId="264" fillId="9" borderId="4" xfId="14" applyNumberFormat="1" applyFont="1" applyFill="1" applyBorder="1"/>
    <xf numFmtId="14" fontId="264" fillId="10" borderId="0" xfId="14" applyNumberFormat="1" applyFont="1" applyFill="1"/>
    <xf numFmtId="0" fontId="264" fillId="10" borderId="0" xfId="14" applyFont="1" applyFill="1"/>
    <xf numFmtId="3" fontId="259" fillId="0" borderId="0" xfId="0" applyNumberFormat="1" applyFont="1" applyAlignment="1">
      <alignment vertical="center"/>
    </xf>
    <xf numFmtId="14" fontId="0" fillId="0" borderId="0" xfId="0" applyNumberFormat="1"/>
    <xf numFmtId="4" fontId="248" fillId="0" borderId="0" xfId="0" applyNumberFormat="1" applyFont="1"/>
    <xf numFmtId="0" fontId="244" fillId="16" borderId="0" xfId="4" applyFont="1" applyFill="1" applyBorder="1" applyAlignment="1">
      <alignment horizontal="right"/>
    </xf>
    <xf numFmtId="0" fontId="235" fillId="16" borderId="0" xfId="4" applyFont="1" applyFill="1" applyBorder="1" applyAlignment="1">
      <alignment horizontal="right"/>
    </xf>
    <xf numFmtId="0" fontId="235" fillId="0" borderId="12" xfId="4" applyFont="1" applyFill="1" applyBorder="1" applyAlignment="1">
      <alignment horizontal="right"/>
    </xf>
    <xf numFmtId="0" fontId="238" fillId="0" borderId="0" xfId="8" applyFont="1" applyFill="1" applyBorder="1" applyAlignment="1">
      <alignment horizontal="right"/>
    </xf>
    <xf numFmtId="0" fontId="0" fillId="0" borderId="16" xfId="0" applyBorder="1" applyAlignment="1">
      <alignment horizontal="right"/>
    </xf>
    <xf numFmtId="170" fontId="233" fillId="16" borderId="4" xfId="5" applyNumberFormat="1" applyFont="1" applyFill="1" applyBorder="1" applyAlignment="1">
      <alignment horizontal="center"/>
    </xf>
    <xf numFmtId="0" fontId="248" fillId="0" borderId="0" xfId="14" applyAlignment="1">
      <alignment horizontal="center"/>
    </xf>
    <xf numFmtId="0" fontId="251" fillId="9" borderId="0" xfId="14" applyFont="1" applyFill="1" applyAlignment="1">
      <alignment horizontal="center"/>
    </xf>
    <xf numFmtId="0" fontId="248" fillId="9" borderId="0" xfId="14" applyFill="1" applyAlignment="1">
      <alignment horizontal="center"/>
    </xf>
    <xf numFmtId="0" fontId="248" fillId="9" borderId="4" xfId="14" applyFill="1" applyBorder="1" applyAlignment="1">
      <alignment horizontal="center"/>
    </xf>
    <xf numFmtId="14" fontId="248" fillId="15" borderId="0" xfId="14" applyNumberFormat="1" applyFill="1"/>
    <xf numFmtId="14" fontId="264" fillId="15" borderId="0" xfId="14" applyNumberFormat="1" applyFont="1" applyFill="1"/>
    <xf numFmtId="0" fontId="248" fillId="0" borderId="0" xfId="14" applyAlignment="1">
      <alignment horizontal="left"/>
    </xf>
    <xf numFmtId="0" fontId="248" fillId="10" borderId="0" xfId="14" applyFill="1" applyAlignment="1">
      <alignment horizontal="center"/>
    </xf>
    <xf numFmtId="0" fontId="244" fillId="16" borderId="0" xfId="4" applyFont="1" applyFill="1" applyBorder="1"/>
    <xf numFmtId="43" fontId="248" fillId="0" borderId="0" xfId="32076" applyFont="1"/>
    <xf numFmtId="0" fontId="267" fillId="0" borderId="0" xfId="32077" applyAlignment="1"/>
    <xf numFmtId="43" fontId="268" fillId="0" borderId="0" xfId="32076" applyFont="1" applyBorder="1" applyAlignment="1">
      <alignment horizontal="right" vertical="top" wrapText="1"/>
    </xf>
    <xf numFmtId="3" fontId="269" fillId="0" borderId="0" xfId="4" applyNumberFormat="1" applyFont="1" applyFill="1" applyBorder="1" applyAlignment="1">
      <alignment horizontal="right"/>
    </xf>
    <xf numFmtId="41" fontId="269" fillId="0" borderId="0" xfId="32076" applyNumberFormat="1" applyFont="1" applyBorder="1" applyAlignment="1">
      <alignment horizontal="right" vertical="top" wrapText="1"/>
    </xf>
    <xf numFmtId="43" fontId="248" fillId="0" borderId="0" xfId="14" applyNumberFormat="1"/>
    <xf numFmtId="43" fontId="0" fillId="0" borderId="0" xfId="32076" applyFont="1"/>
    <xf numFmtId="43" fontId="0" fillId="0" borderId="25" xfId="32076" applyFont="1" applyBorder="1"/>
    <xf numFmtId="43" fontId="0" fillId="0" borderId="0" xfId="32076" applyFont="1" applyBorder="1"/>
    <xf numFmtId="43" fontId="0" fillId="0" borderId="4" xfId="32076" applyFont="1" applyBorder="1"/>
    <xf numFmtId="43" fontId="251" fillId="0" borderId="0" xfId="32076" applyFont="1"/>
    <xf numFmtId="43" fontId="251" fillId="0" borderId="25" xfId="32076" applyFont="1" applyBorder="1"/>
    <xf numFmtId="43" fontId="251" fillId="0" borderId="0" xfId="32076" applyFont="1" applyBorder="1"/>
    <xf numFmtId="43" fontId="251" fillId="0" borderId="9" xfId="32076" applyFont="1" applyBorder="1"/>
    <xf numFmtId="43" fontId="251" fillId="0" borderId="4" xfId="32076" applyFont="1" applyBorder="1"/>
    <xf numFmtId="14" fontId="0" fillId="0" borderId="0" xfId="32076" applyNumberFormat="1" applyFont="1"/>
    <xf numFmtId="0" fontId="267" fillId="0" borderId="0" xfId="32078" applyAlignment="1"/>
    <xf numFmtId="4" fontId="270" fillId="0" borderId="0" xfId="0" applyNumberFormat="1" applyFont="1"/>
    <xf numFmtId="43" fontId="248" fillId="0" borderId="0" xfId="32076" applyFont="1" applyBorder="1" applyAlignment="1">
      <alignment horizontal="right" vertical="top" wrapText="1"/>
    </xf>
    <xf numFmtId="43" fontId="267" fillId="0" borderId="0" xfId="32076" applyFont="1" applyAlignment="1"/>
    <xf numFmtId="4" fontId="0" fillId="0" borderId="0" xfId="0" applyNumberFormat="1" applyAlignment="1">
      <alignment vertical="center" textRotation="90" wrapText="1"/>
    </xf>
    <xf numFmtId="0" fontId="213" fillId="0" borderId="54" xfId="0" applyFont="1" applyBorder="1" applyAlignment="1">
      <alignment horizontal="center"/>
    </xf>
    <xf numFmtId="0" fontId="213" fillId="0" borderId="12" xfId="0" applyFont="1" applyBorder="1" applyAlignment="1">
      <alignment horizontal="center" vertical="center"/>
    </xf>
    <xf numFmtId="0" fontId="213" fillId="0" borderId="12" xfId="0" applyFont="1" applyBorder="1"/>
    <xf numFmtId="0" fontId="213" fillId="0" borderId="55" xfId="0" applyFont="1" applyBorder="1"/>
    <xf numFmtId="0" fontId="213" fillId="0" borderId="12" xfId="0" applyFont="1" applyBorder="1" applyAlignment="1">
      <alignment horizontal="center"/>
    </xf>
    <xf numFmtId="0" fontId="213" fillId="0" borderId="55" xfId="0" applyFont="1" applyBorder="1" applyAlignment="1">
      <alignment horizontal="center"/>
    </xf>
    <xf numFmtId="0" fontId="213" fillId="0" borderId="56" xfId="0" applyFont="1" applyBorder="1"/>
    <xf numFmtId="0" fontId="213" fillId="0" borderId="0" xfId="0" applyFont="1" applyAlignment="1">
      <alignment horizontal="center"/>
    </xf>
    <xf numFmtId="0" fontId="213" fillId="0" borderId="57" xfId="0" applyFont="1" applyBorder="1" applyAlignment="1">
      <alignment horizontal="center"/>
    </xf>
    <xf numFmtId="16" fontId="275" fillId="0" borderId="56" xfId="0" applyNumberFormat="1" applyFont="1" applyBorder="1" applyAlignment="1">
      <alignment horizontal="center" vertical="center"/>
    </xf>
    <xf numFmtId="4" fontId="276" fillId="0" borderId="58" xfId="64121" applyNumberFormat="1" applyFont="1" applyBorder="1" applyAlignment="1">
      <alignment horizontal="center"/>
    </xf>
    <xf numFmtId="4" fontId="276" fillId="0" borderId="59" xfId="64121" applyNumberFormat="1" applyFont="1" applyBorder="1" applyAlignment="1">
      <alignment horizontal="center"/>
    </xf>
    <xf numFmtId="168" fontId="276" fillId="0" borderId="60" xfId="64121" applyNumberFormat="1" applyFont="1" applyBorder="1"/>
    <xf numFmtId="168" fontId="269" fillId="0" borderId="59" xfId="64121" applyNumberFormat="1" applyFont="1" applyBorder="1"/>
    <xf numFmtId="168" fontId="269" fillId="0" borderId="60" xfId="64121" applyNumberFormat="1" applyFont="1" applyBorder="1"/>
    <xf numFmtId="0" fontId="277" fillId="0" borderId="2" xfId="9" applyFont="1" applyFill="1" applyBorder="1"/>
    <xf numFmtId="2" fontId="278" fillId="0" borderId="12" xfId="4" applyNumberFormat="1" applyFont="1" applyFill="1" applyBorder="1" applyAlignment="1">
      <alignment horizontal="right"/>
    </xf>
    <xf numFmtId="0" fontId="235" fillId="0" borderId="19" xfId="4" applyFont="1" applyFill="1" applyBorder="1" applyAlignment="1">
      <alignment horizontal="center"/>
    </xf>
    <xf numFmtId="2" fontId="278" fillId="15" borderId="0" xfId="4" applyNumberFormat="1" applyFont="1" applyFill="1" applyBorder="1" applyAlignment="1">
      <alignment horizontal="right"/>
    </xf>
    <xf numFmtId="0" fontId="277" fillId="0" borderId="14" xfId="9" applyFont="1" applyFill="1" applyBorder="1"/>
    <xf numFmtId="10" fontId="235" fillId="0" borderId="16" xfId="4" applyNumberFormat="1" applyFont="1" applyFill="1" applyBorder="1"/>
    <xf numFmtId="10" fontId="235" fillId="0" borderId="7" xfId="4" applyNumberFormat="1" applyFont="1" applyFill="1" applyBorder="1"/>
    <xf numFmtId="0" fontId="235" fillId="0" borderId="61" xfId="4" applyFont="1" applyFill="1" applyBorder="1" applyAlignment="1">
      <alignment horizontal="center"/>
    </xf>
    <xf numFmtId="0" fontId="279" fillId="7" borderId="18" xfId="4" applyFont="1" applyFill="1" applyBorder="1"/>
    <xf numFmtId="0" fontId="238" fillId="7" borderId="19" xfId="7" applyFont="1" applyFill="1" applyBorder="1"/>
    <xf numFmtId="10" fontId="280" fillId="7" borderId="19" xfId="7" applyNumberFormat="1" applyFont="1" applyFill="1" applyBorder="1"/>
    <xf numFmtId="0" fontId="238" fillId="7" borderId="19" xfId="7" applyFont="1" applyFill="1" applyBorder="1" applyAlignment="1">
      <alignment horizontal="right"/>
    </xf>
    <xf numFmtId="3" fontId="280" fillId="7" borderId="19" xfId="7" applyNumberFormat="1" applyFont="1" applyFill="1" applyBorder="1"/>
    <xf numFmtId="0" fontId="238" fillId="7" borderId="20" xfId="7" applyFont="1" applyFill="1" applyBorder="1" applyAlignment="1">
      <alignment horizontal="right"/>
    </xf>
    <xf numFmtId="0" fontId="281" fillId="0" borderId="0" xfId="0" applyFont="1"/>
    <xf numFmtId="0" fontId="282" fillId="0" borderId="0" xfId="0" applyFont="1"/>
    <xf numFmtId="0" fontId="283" fillId="0" borderId="0" xfId="4" applyFont="1" applyFill="1" applyBorder="1"/>
    <xf numFmtId="0" fontId="241" fillId="0" borderId="0" xfId="4" applyFont="1" applyFill="1" applyBorder="1" applyAlignment="1">
      <alignment horizontal="center"/>
    </xf>
    <xf numFmtId="167" fontId="284" fillId="0" borderId="0" xfId="4" applyNumberFormat="1" applyFont="1" applyFill="1" applyBorder="1"/>
    <xf numFmtId="0" fontId="285" fillId="5" borderId="1" xfId="4" applyFont="1" applyFill="1" applyBorder="1"/>
    <xf numFmtId="0" fontId="286" fillId="5" borderId="4" xfId="7" applyFont="1" applyFill="1" applyBorder="1"/>
    <xf numFmtId="10" fontId="286" fillId="5" borderId="4" xfId="7" applyNumberFormat="1" applyFont="1" applyFill="1" applyBorder="1"/>
    <xf numFmtId="3" fontId="286" fillId="5" borderId="4" xfId="7" applyNumberFormat="1" applyFont="1" applyFill="1" applyBorder="1"/>
    <xf numFmtId="0" fontId="286" fillId="5" borderId="4" xfId="7" applyFont="1" applyFill="1" applyBorder="1" applyAlignment="1">
      <alignment horizontal="center"/>
    </xf>
    <xf numFmtId="0" fontId="286" fillId="5" borderId="5" xfId="7" applyFont="1" applyFill="1" applyBorder="1" applyAlignment="1">
      <alignment horizontal="right"/>
    </xf>
    <xf numFmtId="0" fontId="287" fillId="0" borderId="0" xfId="0" applyFont="1"/>
    <xf numFmtId="0" fontId="288" fillId="0" borderId="0" xfId="0" applyFont="1"/>
    <xf numFmtId="0" fontId="285" fillId="0" borderId="2" xfId="4" applyFont="1" applyFill="1" applyBorder="1"/>
    <xf numFmtId="0" fontId="284" fillId="0" borderId="0" xfId="8" applyFont="1" applyFill="1" applyBorder="1"/>
    <xf numFmtId="3" fontId="284" fillId="0" borderId="0" xfId="8" applyNumberFormat="1" applyFont="1" applyFill="1" applyBorder="1"/>
    <xf numFmtId="0" fontId="284" fillId="0" borderId="0" xfId="8" applyFont="1" applyFill="1" applyBorder="1" applyAlignment="1">
      <alignment horizontal="center"/>
    </xf>
    <xf numFmtId="3" fontId="284" fillId="0" borderId="3" xfId="8" applyNumberFormat="1" applyFont="1" applyFill="1" applyBorder="1" applyAlignment="1">
      <alignment horizontal="right"/>
    </xf>
    <xf numFmtId="0" fontId="289" fillId="0" borderId="2" xfId="4" applyFont="1" applyFill="1" applyBorder="1"/>
    <xf numFmtId="0" fontId="285" fillId="5" borderId="21" xfId="4" applyFont="1" applyFill="1" applyBorder="1"/>
    <xf numFmtId="0" fontId="286" fillId="5" borderId="22" xfId="8" applyFont="1" applyFill="1" applyBorder="1"/>
    <xf numFmtId="3" fontId="286" fillId="5" borderId="22" xfId="8" applyNumberFormat="1" applyFont="1" applyFill="1" applyBorder="1"/>
    <xf numFmtId="0" fontId="286" fillId="5" borderId="22" xfId="8" applyFont="1" applyFill="1" applyBorder="1" applyAlignment="1">
      <alignment horizontal="center"/>
    </xf>
    <xf numFmtId="3" fontId="286" fillId="5" borderId="23" xfId="8" applyNumberFormat="1" applyFont="1" applyFill="1" applyBorder="1" applyAlignment="1">
      <alignment horizontal="right"/>
    </xf>
    <xf numFmtId="0" fontId="283" fillId="12" borderId="0" xfId="4" applyFont="1" applyFill="1" applyBorder="1"/>
    <xf numFmtId="0" fontId="235" fillId="12" borderId="0" xfId="4" applyFont="1" applyFill="1" applyBorder="1"/>
    <xf numFmtId="0" fontId="235" fillId="12" borderId="0" xfId="4" applyFont="1" applyFill="1" applyBorder="1" applyAlignment="1">
      <alignment horizontal="center"/>
    </xf>
    <xf numFmtId="0" fontId="269" fillId="12" borderId="0" xfId="8" applyFont="1" applyFill="1" applyBorder="1"/>
    <xf numFmtId="10" fontId="242" fillId="12" borderId="0" xfId="4" applyNumberFormat="1" applyFont="1" applyFill="1" applyBorder="1"/>
    <xf numFmtId="0" fontId="238" fillId="12" borderId="0" xfId="8" applyFont="1" applyFill="1" applyBorder="1"/>
    <xf numFmtId="3" fontId="269" fillId="12" borderId="0" xfId="8" applyNumberFormat="1" applyFont="1" applyFill="1" applyBorder="1"/>
    <xf numFmtId="0" fontId="269" fillId="12" borderId="0" xfId="4" applyFont="1" applyFill="1" applyBorder="1" applyAlignment="1">
      <alignment horizontal="center"/>
    </xf>
    <xf numFmtId="0" fontId="227" fillId="0" borderId="6" xfId="4" applyFill="1" applyBorder="1"/>
    <xf numFmtId="0" fontId="237" fillId="0" borderId="9" xfId="8" applyFont="1" applyFill="1" applyBorder="1"/>
    <xf numFmtId="0" fontId="238" fillId="0" borderId="9" xfId="8" applyFont="1" applyFill="1" applyBorder="1"/>
    <xf numFmtId="0" fontId="238" fillId="0" borderId="9" xfId="8" applyFont="1" applyFill="1" applyBorder="1" applyAlignment="1">
      <alignment horizontal="center"/>
    </xf>
    <xf numFmtId="3" fontId="221" fillId="0" borderId="9" xfId="8" applyNumberFormat="1" applyFont="1" applyFill="1" applyBorder="1"/>
    <xf numFmtId="0" fontId="237" fillId="0" borderId="10" xfId="8" applyFont="1" applyFill="1" applyBorder="1" applyAlignment="1">
      <alignment horizontal="right"/>
    </xf>
    <xf numFmtId="10" fontId="290" fillId="5" borderId="4" xfId="7" applyNumberFormat="1" applyFont="1" applyFill="1" applyBorder="1"/>
    <xf numFmtId="3" fontId="280" fillId="5" borderId="4" xfId="7" applyNumberFormat="1" applyFont="1" applyFill="1" applyBorder="1"/>
    <xf numFmtId="0" fontId="238" fillId="5" borderId="4" xfId="7" applyFont="1" applyFill="1" applyBorder="1" applyAlignment="1">
      <alignment horizontal="center"/>
    </xf>
    <xf numFmtId="0" fontId="238" fillId="5" borderId="4" xfId="7" applyFont="1" applyFill="1" applyBorder="1"/>
    <xf numFmtId="0" fontId="238" fillId="5" borderId="5" xfId="7" applyFont="1" applyFill="1" applyBorder="1" applyAlignment="1">
      <alignment horizontal="right"/>
    </xf>
    <xf numFmtId="0" fontId="227" fillId="0" borderId="24" xfId="4" applyFill="1" applyBorder="1"/>
    <xf numFmtId="0" fontId="237" fillId="12" borderId="25" xfId="7" applyFont="1" applyFill="1" applyBorder="1"/>
    <xf numFmtId="10" fontId="224" fillId="12" borderId="25" xfId="7" applyNumberFormat="1" applyFont="1" applyFill="1" applyBorder="1"/>
    <xf numFmtId="0" fontId="237" fillId="12" borderId="25" xfId="7" applyFont="1" applyFill="1" applyBorder="1" applyAlignment="1">
      <alignment horizontal="center"/>
    </xf>
    <xf numFmtId="0" fontId="237" fillId="0" borderId="25" xfId="7" applyFont="1" applyFill="1" applyBorder="1"/>
    <xf numFmtId="3" fontId="221" fillId="0" borderId="25" xfId="7" applyNumberFormat="1" applyFont="1" applyFill="1" applyBorder="1"/>
    <xf numFmtId="0" fontId="237" fillId="0" borderId="26" xfId="7" applyFont="1" applyFill="1" applyBorder="1" applyAlignment="1">
      <alignment horizontal="right"/>
    </xf>
    <xf numFmtId="0" fontId="269" fillId="12" borderId="0" xfId="7" applyFont="1" applyFill="1" applyBorder="1"/>
    <xf numFmtId="10" fontId="224" fillId="12" borderId="0" xfId="7" applyNumberFormat="1" applyFont="1" applyFill="1" applyBorder="1"/>
    <xf numFmtId="14" fontId="235" fillId="12" borderId="0" xfId="4" applyNumberFormat="1" applyFont="1" applyFill="1" applyBorder="1"/>
    <xf numFmtId="3" fontId="235" fillId="12" borderId="0" xfId="4" applyNumberFormat="1" applyFont="1" applyFill="1" applyBorder="1" applyAlignment="1">
      <alignment horizontal="right"/>
    </xf>
    <xf numFmtId="0" fontId="244" fillId="12" borderId="0" xfId="4" applyFont="1" applyFill="1" applyBorder="1" applyAlignment="1">
      <alignment horizontal="center" vertical="center"/>
    </xf>
    <xf numFmtId="14" fontId="235" fillId="12" borderId="0" xfId="4" applyNumberFormat="1" applyFont="1" applyFill="1" applyBorder="1" applyAlignment="1">
      <alignment horizontal="right"/>
    </xf>
    <xf numFmtId="0" fontId="269" fillId="0" borderId="0" xfId="8" applyFont="1" applyFill="1" applyBorder="1"/>
    <xf numFmtId="3" fontId="269" fillId="0" borderId="0" xfId="8" applyNumberFormat="1" applyFont="1" applyFill="1" applyBorder="1"/>
    <xf numFmtId="0" fontId="244" fillId="0" borderId="0" xfId="4" applyFont="1" applyFill="1" applyBorder="1" applyAlignment="1">
      <alignment horizontal="center" vertical="center"/>
    </xf>
    <xf numFmtId="10" fontId="286" fillId="5" borderId="22" xfId="8" applyNumberFormat="1" applyFont="1" applyFill="1" applyBorder="1"/>
    <xf numFmtId="10" fontId="224" fillId="0" borderId="25" xfId="7" applyNumberFormat="1" applyFont="1" applyFill="1" applyBorder="1"/>
    <xf numFmtId="0" fontId="237" fillId="0" borderId="25" xfId="7" applyFont="1" applyFill="1" applyBorder="1" applyAlignment="1">
      <alignment horizontal="center"/>
    </xf>
    <xf numFmtId="10" fontId="224" fillId="0" borderId="0" xfId="7" applyNumberFormat="1" applyFont="1" applyFill="1" applyBorder="1"/>
    <xf numFmtId="0" fontId="237" fillId="0" borderId="0" xfId="8" applyFont="1" applyFill="1" applyBorder="1" applyAlignment="1">
      <alignment horizontal="right"/>
    </xf>
    <xf numFmtId="0" fontId="274" fillId="8" borderId="24" xfId="3" applyFont="1" applyFill="1" applyBorder="1"/>
    <xf numFmtId="0" fontId="284" fillId="0" borderId="28" xfId="8" applyFont="1" applyFill="1" applyBorder="1"/>
    <xf numFmtId="176" fontId="237" fillId="0" borderId="62" xfId="8" applyNumberFormat="1" applyFont="1" applyFill="1" applyBorder="1" applyAlignment="1">
      <alignment horizontal="center"/>
    </xf>
    <xf numFmtId="0" fontId="237" fillId="0" borderId="62" xfId="8" applyFont="1" applyFill="1" applyBorder="1" applyAlignment="1">
      <alignment horizontal="center"/>
    </xf>
    <xf numFmtId="169" fontId="292" fillId="0" borderId="0" xfId="64120" applyNumberFormat="1" applyFont="1" applyFill="1" applyBorder="1" applyAlignment="1">
      <alignment horizontal="right" vertical="center"/>
    </xf>
    <xf numFmtId="168" fontId="219" fillId="0" borderId="62" xfId="8" applyNumberFormat="1" applyFont="1" applyFill="1" applyBorder="1" applyAlignment="1">
      <alignment horizontal="center"/>
    </xf>
    <xf numFmtId="168" fontId="219" fillId="0" borderId="63" xfId="8" applyNumberFormat="1" applyFont="1" applyFill="1" applyBorder="1" applyAlignment="1">
      <alignment horizontal="center"/>
    </xf>
    <xf numFmtId="168" fontId="219" fillId="0" borderId="64" xfId="8" applyNumberFormat="1" applyFont="1" applyFill="1" applyBorder="1" applyAlignment="1">
      <alignment horizontal="center"/>
    </xf>
    <xf numFmtId="0" fontId="293" fillId="0" borderId="0" xfId="8" applyFont="1" applyFill="1" applyBorder="1" applyAlignment="1">
      <alignment horizontal="center"/>
    </xf>
    <xf numFmtId="177" fontId="294" fillId="0" borderId="32" xfId="8" applyNumberFormat="1" applyFont="1" applyFill="1" applyBorder="1" applyAlignment="1">
      <alignment horizontal="center"/>
    </xf>
    <xf numFmtId="0" fontId="295" fillId="0" borderId="2" xfId="4" applyFont="1" applyFill="1" applyBorder="1"/>
    <xf numFmtId="0" fontId="296" fillId="0" borderId="0" xfId="8" applyFont="1" applyFill="1" applyBorder="1"/>
    <xf numFmtId="3" fontId="254" fillId="0" borderId="0" xfId="4" applyNumberFormat="1" applyFont="1" applyFill="1" applyBorder="1"/>
    <xf numFmtId="0" fontId="254" fillId="0" borderId="3" xfId="4" applyFont="1" applyFill="1" applyBorder="1" applyAlignment="1">
      <alignment horizontal="right"/>
    </xf>
    <xf numFmtId="0" fontId="297" fillId="0" borderId="0" xfId="0" applyFont="1"/>
    <xf numFmtId="0" fontId="298" fillId="0" borderId="0" xfId="0" applyFont="1"/>
    <xf numFmtId="172" fontId="251" fillId="9" borderId="4" xfId="499" applyNumberFormat="1" applyFont="1" applyFill="1" applyBorder="1" applyAlignment="1"/>
    <xf numFmtId="172" fontId="248" fillId="0" borderId="0" xfId="499" applyNumberFormat="1" applyFont="1" applyFill="1" applyBorder="1" applyAlignment="1"/>
    <xf numFmtId="167" fontId="235" fillId="0" borderId="0" xfId="4" applyNumberFormat="1" applyFont="1" applyFill="1" applyBorder="1" applyAlignment="1">
      <alignment horizontal="right" wrapText="1"/>
    </xf>
    <xf numFmtId="178" fontId="268" fillId="0" borderId="0" xfId="64123" applyNumberFormat="1" applyFont="1" applyAlignment="1">
      <alignment horizontal="right" vertical="top" wrapText="1"/>
    </xf>
    <xf numFmtId="43" fontId="0" fillId="0" borderId="0" xfId="32076" applyFont="1" applyAlignment="1">
      <alignment horizontal="left" indent="1"/>
    </xf>
    <xf numFmtId="180" fontId="268" fillId="0" borderId="0" xfId="64123" applyNumberFormat="1" applyFont="1" applyAlignment="1">
      <alignment horizontal="right" vertical="top" wrapText="1"/>
    </xf>
    <xf numFmtId="178" fontId="268" fillId="0" borderId="0" xfId="64122" applyNumberFormat="1" applyFont="1" applyAlignment="1">
      <alignment horizontal="right" vertical="top" wrapText="1"/>
    </xf>
    <xf numFmtId="4" fontId="0" fillId="0" borderId="9" xfId="0" applyNumberFormat="1" applyBorder="1"/>
    <xf numFmtId="0" fontId="0" fillId="0" borderId="0" xfId="0" applyBorder="1"/>
    <xf numFmtId="179" fontId="268" fillId="0" borderId="0" xfId="64122" applyNumberFormat="1" applyFont="1" applyBorder="1" applyAlignment="1">
      <alignment horizontal="right" vertical="top" wrapText="1"/>
    </xf>
    <xf numFmtId="178" fontId="268" fillId="0" borderId="0" xfId="64122" applyNumberFormat="1" applyFont="1" applyBorder="1" applyAlignment="1">
      <alignment horizontal="right" vertical="top" wrapText="1"/>
    </xf>
    <xf numFmtId="0" fontId="287" fillId="0" borderId="0" xfId="0" applyFont="1" applyBorder="1"/>
    <xf numFmtId="4" fontId="0" fillId="0" borderId="0" xfId="0" applyNumberFormat="1" applyFill="1"/>
    <xf numFmtId="4" fontId="0" fillId="0" borderId="0" xfId="0" applyNumberFormat="1" applyFill="1" applyAlignment="1">
      <alignment horizontal="right" vertical="center"/>
    </xf>
    <xf numFmtId="0" fontId="0" fillId="0" borderId="0" xfId="0" applyAlignment="1">
      <alignment horizontal="right" vertical="center"/>
    </xf>
    <xf numFmtId="4" fontId="0" fillId="0" borderId="0" xfId="0" applyNumberFormat="1" applyBorder="1"/>
    <xf numFmtId="4" fontId="0" fillId="15" borderId="0" xfId="0" applyNumberFormat="1" applyFill="1" applyBorder="1"/>
    <xf numFmtId="4" fontId="248" fillId="15" borderId="0" xfId="0" applyNumberFormat="1" applyFont="1" applyFill="1" applyBorder="1" applyAlignment="1">
      <alignment horizontal="center" vertical="center" textRotation="90" wrapText="1"/>
    </xf>
    <xf numFmtId="4" fontId="248" fillId="0" borderId="1" xfId="0" applyNumberFormat="1" applyFont="1" applyBorder="1" applyAlignment="1">
      <alignment horizontal="center" vertical="center" textRotation="90" wrapText="1"/>
    </xf>
    <xf numFmtId="4" fontId="0" fillId="0" borderId="5" xfId="0" applyNumberFormat="1" applyBorder="1"/>
    <xf numFmtId="4" fontId="0" fillId="15" borderId="4" xfId="0" applyNumberFormat="1" applyFill="1" applyBorder="1"/>
    <xf numFmtId="4" fontId="255" fillId="15" borderId="0" xfId="0" applyNumberFormat="1" applyFont="1" applyFill="1" applyBorder="1"/>
    <xf numFmtId="4" fontId="248" fillId="0" borderId="0" xfId="0" applyNumberFormat="1" applyFont="1" applyAlignment="1">
      <alignment vertical="center" textRotation="90" wrapText="1"/>
    </xf>
    <xf numFmtId="14" fontId="248" fillId="0" borderId="9" xfId="14" applyNumberFormat="1" applyBorder="1"/>
    <xf numFmtId="43" fontId="268" fillId="0" borderId="9" xfId="32076" applyFont="1" applyBorder="1" applyAlignment="1">
      <alignment horizontal="right" vertical="top" wrapText="1"/>
    </xf>
    <xf numFmtId="4" fontId="299" fillId="0" borderId="0" xfId="0" applyNumberFormat="1" applyFont="1"/>
    <xf numFmtId="14" fontId="248" fillId="0" borderId="0" xfId="14" applyNumberFormat="1" applyFont="1"/>
    <xf numFmtId="14" fontId="248" fillId="0" borderId="0" xfId="0" applyNumberFormat="1" applyFont="1"/>
    <xf numFmtId="4" fontId="248" fillId="0" borderId="0" xfId="0" applyNumberFormat="1" applyFont="1" applyBorder="1"/>
    <xf numFmtId="4" fontId="0" fillId="0" borderId="0" xfId="0" applyNumberFormat="1" applyAlignment="1">
      <alignment horizontal="right"/>
    </xf>
    <xf numFmtId="0" fontId="248" fillId="0" borderId="0" xfId="14" applyFont="1"/>
    <xf numFmtId="0" fontId="301" fillId="0" borderId="0" xfId="64124" applyNumberFormat="1" applyFont="1" applyBorder="1" applyAlignment="1">
      <alignment vertical="top" wrapText="1" indent="2"/>
    </xf>
    <xf numFmtId="4" fontId="301" fillId="0" borderId="0" xfId="64124" applyNumberFormat="1" applyFont="1" applyBorder="1" applyAlignment="1">
      <alignment horizontal="right" vertical="top" wrapText="1"/>
    </xf>
    <xf numFmtId="4" fontId="0" fillId="0" borderId="65" xfId="0" applyNumberFormat="1" applyBorder="1" applyAlignment="1">
      <alignment horizontal="center" textRotation="90" wrapText="1"/>
    </xf>
    <xf numFmtId="4" fontId="270" fillId="0" borderId="65" xfId="0" applyNumberFormat="1" applyFont="1" applyBorder="1"/>
    <xf numFmtId="4" fontId="0" fillId="0" borderId="65" xfId="0" applyNumberFormat="1" applyBorder="1"/>
    <xf numFmtId="43" fontId="0" fillId="0" borderId="65" xfId="32076" applyFont="1" applyBorder="1"/>
    <xf numFmtId="4" fontId="0" fillId="0" borderId="65" xfId="0" applyNumberFormat="1" applyFill="1" applyBorder="1"/>
    <xf numFmtId="4" fontId="0" fillId="0" borderId="65" xfId="0" applyNumberFormat="1" applyFill="1" applyBorder="1" applyAlignment="1">
      <alignment horizontal="right" vertical="center"/>
    </xf>
    <xf numFmtId="4" fontId="248" fillId="0" borderId="65" xfId="0" applyNumberFormat="1" applyFont="1" applyBorder="1"/>
    <xf numFmtId="43" fontId="268" fillId="0" borderId="65" xfId="32076" applyFont="1" applyBorder="1" applyAlignment="1">
      <alignment horizontal="right" vertical="top" wrapText="1"/>
    </xf>
    <xf numFmtId="4" fontId="255" fillId="0" borderId="65" xfId="0" applyNumberFormat="1" applyFont="1" applyBorder="1"/>
    <xf numFmtId="14" fontId="242" fillId="0" borderId="0" xfId="4" applyNumberFormat="1" applyFont="1" applyFill="1" applyBorder="1"/>
    <xf numFmtId="4" fontId="270" fillId="0" borderId="0" xfId="0" applyNumberFormat="1" applyFont="1" applyBorder="1"/>
    <xf numFmtId="0" fontId="287" fillId="0" borderId="0" xfId="4" applyFont="1" applyFill="1" applyBorder="1"/>
    <xf numFmtId="10" fontId="269" fillId="0" borderId="0" xfId="4" applyNumberFormat="1" applyFont="1" applyFill="1" applyBorder="1"/>
    <xf numFmtId="10" fontId="302" fillId="0" borderId="0" xfId="0" applyNumberFormat="1" applyFont="1"/>
    <xf numFmtId="165" fontId="0" fillId="0" borderId="0" xfId="499" applyNumberFormat="1" applyFont="1" applyFill="1" applyBorder="1"/>
    <xf numFmtId="165" fontId="251" fillId="9" borderId="4" xfId="1300" applyNumberFormat="1" applyFont="1" applyFill="1" applyBorder="1"/>
    <xf numFmtId="14" fontId="248" fillId="0" borderId="0" xfId="14" applyNumberFormat="1" applyAlignment="1">
      <alignment horizontal="center" vertical="center"/>
    </xf>
    <xf numFmtId="49" fontId="235" fillId="0" borderId="0" xfId="4" applyNumberFormat="1" applyFont="1" applyFill="1" applyBorder="1" applyAlignment="1" applyProtection="1">
      <alignment horizontal="left"/>
    </xf>
    <xf numFmtId="0" fontId="223" fillId="0" borderId="9" xfId="0" applyFont="1" applyBorder="1" applyAlignment="1">
      <alignment horizontal="center"/>
    </xf>
    <xf numFmtId="14" fontId="227" fillId="0" borderId="0" xfId="4" applyNumberFormat="1" applyFill="1" applyBorder="1" applyAlignment="1">
      <alignment horizontal="center"/>
    </xf>
    <xf numFmtId="4" fontId="251" fillId="0" borderId="0" xfId="0" applyNumberFormat="1" applyFont="1" applyAlignment="1">
      <alignment horizontal="center" wrapText="1"/>
    </xf>
    <xf numFmtId="4" fontId="248" fillId="0" borderId="25" xfId="0" applyNumberFormat="1" applyFont="1" applyBorder="1" applyAlignment="1">
      <alignment horizontal="center" vertical="center" textRotation="90" wrapText="1"/>
    </xf>
    <xf numFmtId="4" fontId="248" fillId="0" borderId="0" xfId="0" applyNumberFormat="1" applyFont="1" applyAlignment="1">
      <alignment horizontal="center" vertical="center" textRotation="90" wrapText="1"/>
    </xf>
    <xf numFmtId="0" fontId="268" fillId="0" borderId="0" xfId="32078" applyFont="1" applyAlignment="1"/>
    <xf numFmtId="4" fontId="0" fillId="0" borderId="0" xfId="0" applyNumberFormat="1" applyAlignment="1">
      <alignment horizontal="center" vertical="center" textRotation="90" wrapText="1"/>
    </xf>
    <xf numFmtId="4" fontId="0" fillId="0" borderId="9" xfId="0" applyNumberFormat="1" applyBorder="1" applyAlignment="1">
      <alignment horizontal="center" vertical="center" textRotation="90" wrapText="1"/>
    </xf>
    <xf numFmtId="4" fontId="0" fillId="0" borderId="0" xfId="0" applyNumberFormat="1" applyAlignment="1">
      <alignment horizontal="center" textRotation="90" wrapText="1"/>
    </xf>
    <xf numFmtId="0" fontId="272" fillId="0" borderId="0" xfId="32078" applyFont="1" applyAlignment="1">
      <alignment horizontal="center"/>
    </xf>
    <xf numFmtId="4" fontId="0" fillId="0" borderId="0" xfId="0" applyNumberFormat="1" applyBorder="1" applyAlignment="1">
      <alignment horizontal="center" vertical="center" textRotation="90" wrapText="1"/>
    </xf>
    <xf numFmtId="43" fontId="271" fillId="0" borderId="0" xfId="32076" applyFont="1" applyAlignment="1">
      <alignment horizontal="center"/>
    </xf>
    <xf numFmtId="0" fontId="252" fillId="0" borderId="0" xfId="0" applyFont="1" applyAlignment="1">
      <alignment horizontal="center" wrapText="1"/>
    </xf>
    <xf numFmtId="0" fontId="251" fillId="0" borderId="0" xfId="14" applyFont="1" applyAlignment="1">
      <alignment horizontal="left"/>
    </xf>
  </cellXfs>
  <cellStyles count="64125">
    <cellStyle name="20% — акцент1" xfId="1" builtinId="30"/>
    <cellStyle name="20% - Акцент1 2" xfId="15"/>
    <cellStyle name="Comma 2" xfId="5375"/>
    <cellStyle name="Comma 3" xfId="64119"/>
    <cellStyle name="Normal 2" xfId="21395"/>
    <cellStyle name="Normal_accounts" xfId="32078"/>
    <cellStyle name="Normal_accounts_1" xfId="64124"/>
    <cellStyle name="Normal_Sheet1" xfId="32077"/>
    <cellStyle name="Акцент3" xfId="2" builtinId="37"/>
    <cellStyle name="Акцент3 2" xfId="16"/>
    <cellStyle name="Акцент5" xfId="3" builtinId="45"/>
    <cellStyle name="Акцент5 2" xfId="17"/>
    <cellStyle name="Заголовок 1" xfId="5" builtinId="16"/>
    <cellStyle name="Заголовок 1 2" xfId="19"/>
    <cellStyle name="Заголовок 2" xfId="6" builtinId="17"/>
    <cellStyle name="Заголовок 2 2" xfId="20"/>
    <cellStyle name="Заголовок 3" xfId="7" builtinId="18"/>
    <cellStyle name="Заголовок 3 2" xfId="21"/>
    <cellStyle name="Заголовок 4" xfId="8" builtinId="19"/>
    <cellStyle name="Заголовок 4 2" xfId="12"/>
    <cellStyle name="Заголовок 4 3" xfId="22"/>
    <cellStyle name="Заголовок 4 4" xfId="32"/>
    <cellStyle name="Название" xfId="9" builtinId="15"/>
    <cellStyle name="Название 2" xfId="23"/>
    <cellStyle name="Обычный" xfId="0" builtinId="0"/>
    <cellStyle name="Обычный 10" xfId="2123"/>
    <cellStyle name="Обычный 10 10" xfId="2393"/>
    <cellStyle name="Обычный 10 10 2" xfId="7735"/>
    <cellStyle name="Обычный 10 10 2 2" xfId="18415"/>
    <cellStyle name="Обычный 10 10 2 2 2" xfId="50459"/>
    <cellStyle name="Обычный 10 10 2 3" xfId="29096"/>
    <cellStyle name="Обычный 10 10 2 3 2" xfId="61139"/>
    <cellStyle name="Обычный 10 10 2 4" xfId="39779"/>
    <cellStyle name="Обычный 10 10 3" xfId="13075"/>
    <cellStyle name="Обычный 10 10 3 2" xfId="45119"/>
    <cellStyle name="Обычный 10 10 4" xfId="23756"/>
    <cellStyle name="Обычный 10 10 4 2" xfId="55799"/>
    <cellStyle name="Обычный 10 10 5" xfId="34439"/>
    <cellStyle name="Обычный 10 100" xfId="5274"/>
    <cellStyle name="Обычный 10 100 2" xfId="10615"/>
    <cellStyle name="Обычный 10 100 2 2" xfId="21295"/>
    <cellStyle name="Обычный 10 100 2 2 2" xfId="53339"/>
    <cellStyle name="Обычный 10 100 2 3" xfId="31976"/>
    <cellStyle name="Обычный 10 100 2 3 2" xfId="64019"/>
    <cellStyle name="Обычный 10 100 2 4" xfId="42659"/>
    <cellStyle name="Обычный 10 100 3" xfId="15955"/>
    <cellStyle name="Обычный 10 100 3 2" xfId="47999"/>
    <cellStyle name="Обычный 10 100 4" xfId="26636"/>
    <cellStyle name="Обычный 10 100 4 2" xfId="58679"/>
    <cellStyle name="Обычный 10 100 5" xfId="37319"/>
    <cellStyle name="Обычный 10 101" xfId="5306"/>
    <cellStyle name="Обычный 10 101 2" xfId="10647"/>
    <cellStyle name="Обычный 10 101 2 2" xfId="21327"/>
    <cellStyle name="Обычный 10 101 2 2 2" xfId="53371"/>
    <cellStyle name="Обычный 10 101 2 3" xfId="32008"/>
    <cellStyle name="Обычный 10 101 2 3 2" xfId="64051"/>
    <cellStyle name="Обычный 10 101 2 4" xfId="42691"/>
    <cellStyle name="Обычный 10 101 3" xfId="15987"/>
    <cellStyle name="Обычный 10 101 3 2" xfId="48031"/>
    <cellStyle name="Обычный 10 101 4" xfId="26668"/>
    <cellStyle name="Обычный 10 101 4 2" xfId="58711"/>
    <cellStyle name="Обычный 10 101 5" xfId="37351"/>
    <cellStyle name="Обычный 10 102" xfId="5338"/>
    <cellStyle name="Обычный 10 102 2" xfId="10679"/>
    <cellStyle name="Обычный 10 102 2 2" xfId="21359"/>
    <cellStyle name="Обычный 10 102 2 2 2" xfId="53403"/>
    <cellStyle name="Обычный 10 102 2 3" xfId="32040"/>
    <cellStyle name="Обычный 10 102 2 3 2" xfId="64083"/>
    <cellStyle name="Обычный 10 102 2 4" xfId="42723"/>
    <cellStyle name="Обычный 10 102 3" xfId="16019"/>
    <cellStyle name="Обычный 10 102 3 2" xfId="48063"/>
    <cellStyle name="Обычный 10 102 4" xfId="26700"/>
    <cellStyle name="Обычный 10 102 4 2" xfId="58743"/>
    <cellStyle name="Обычный 10 102 5" xfId="37383"/>
    <cellStyle name="Обычный 10 103" xfId="5370"/>
    <cellStyle name="Обычный 10 103 2" xfId="10711"/>
    <cellStyle name="Обычный 10 103 2 2" xfId="21391"/>
    <cellStyle name="Обычный 10 103 2 2 2" xfId="53435"/>
    <cellStyle name="Обычный 10 103 2 3" xfId="32072"/>
    <cellStyle name="Обычный 10 103 2 3 2" xfId="64115"/>
    <cellStyle name="Обычный 10 103 2 4" xfId="42755"/>
    <cellStyle name="Обычный 10 103 3" xfId="16051"/>
    <cellStyle name="Обычный 10 103 3 2" xfId="48095"/>
    <cellStyle name="Обычный 10 103 4" xfId="26732"/>
    <cellStyle name="Обычный 10 103 4 2" xfId="58775"/>
    <cellStyle name="Обычный 10 103 5" xfId="37415"/>
    <cellStyle name="Обычный 10 104" xfId="7465"/>
    <cellStyle name="Обычный 10 104 2" xfId="18145"/>
    <cellStyle name="Обычный 10 104 2 2" xfId="50189"/>
    <cellStyle name="Обычный 10 104 3" xfId="28826"/>
    <cellStyle name="Обычный 10 104 3 2" xfId="60869"/>
    <cellStyle name="Обычный 10 104 4" xfId="39509"/>
    <cellStyle name="Обычный 10 105" xfId="12805"/>
    <cellStyle name="Обычный 10 105 2" xfId="44849"/>
    <cellStyle name="Обычный 10 106" xfId="23486"/>
    <cellStyle name="Обычный 10 106 2" xfId="55529"/>
    <cellStyle name="Обычный 10 107" xfId="34169"/>
    <cellStyle name="Обычный 10 11" xfId="2423"/>
    <cellStyle name="Обычный 10 11 2" xfId="7765"/>
    <cellStyle name="Обычный 10 11 2 2" xfId="18445"/>
    <cellStyle name="Обычный 10 11 2 2 2" xfId="50489"/>
    <cellStyle name="Обычный 10 11 2 3" xfId="29126"/>
    <cellStyle name="Обычный 10 11 2 3 2" xfId="61169"/>
    <cellStyle name="Обычный 10 11 2 4" xfId="39809"/>
    <cellStyle name="Обычный 10 11 3" xfId="13105"/>
    <cellStyle name="Обычный 10 11 3 2" xfId="45149"/>
    <cellStyle name="Обычный 10 11 4" xfId="23786"/>
    <cellStyle name="Обычный 10 11 4 2" xfId="55829"/>
    <cellStyle name="Обычный 10 11 5" xfId="34469"/>
    <cellStyle name="Обычный 10 12" xfId="2453"/>
    <cellStyle name="Обычный 10 12 2" xfId="7795"/>
    <cellStyle name="Обычный 10 12 2 2" xfId="18475"/>
    <cellStyle name="Обычный 10 12 2 2 2" xfId="50519"/>
    <cellStyle name="Обычный 10 12 2 3" xfId="29156"/>
    <cellStyle name="Обычный 10 12 2 3 2" xfId="61199"/>
    <cellStyle name="Обычный 10 12 2 4" xfId="39839"/>
    <cellStyle name="Обычный 10 12 3" xfId="13135"/>
    <cellStyle name="Обычный 10 12 3 2" xfId="45179"/>
    <cellStyle name="Обычный 10 12 4" xfId="23816"/>
    <cellStyle name="Обычный 10 12 4 2" xfId="55859"/>
    <cellStyle name="Обычный 10 12 5" xfId="34499"/>
    <cellStyle name="Обычный 10 13" xfId="2483"/>
    <cellStyle name="Обычный 10 13 2" xfId="7825"/>
    <cellStyle name="Обычный 10 13 2 2" xfId="18505"/>
    <cellStyle name="Обычный 10 13 2 2 2" xfId="50549"/>
    <cellStyle name="Обычный 10 13 2 3" xfId="29186"/>
    <cellStyle name="Обычный 10 13 2 3 2" xfId="61229"/>
    <cellStyle name="Обычный 10 13 2 4" xfId="39869"/>
    <cellStyle name="Обычный 10 13 3" xfId="13165"/>
    <cellStyle name="Обычный 10 13 3 2" xfId="45209"/>
    <cellStyle name="Обычный 10 13 4" xfId="23846"/>
    <cellStyle name="Обычный 10 13 4 2" xfId="55889"/>
    <cellStyle name="Обычный 10 13 5" xfId="34529"/>
    <cellStyle name="Обычный 10 14" xfId="2515"/>
    <cellStyle name="Обычный 10 14 2" xfId="7857"/>
    <cellStyle name="Обычный 10 14 2 2" xfId="18537"/>
    <cellStyle name="Обычный 10 14 2 2 2" xfId="50581"/>
    <cellStyle name="Обычный 10 14 2 3" xfId="29218"/>
    <cellStyle name="Обычный 10 14 2 3 2" xfId="61261"/>
    <cellStyle name="Обычный 10 14 2 4" xfId="39901"/>
    <cellStyle name="Обычный 10 14 3" xfId="13197"/>
    <cellStyle name="Обычный 10 14 3 2" xfId="45241"/>
    <cellStyle name="Обычный 10 14 4" xfId="23878"/>
    <cellStyle name="Обычный 10 14 4 2" xfId="55921"/>
    <cellStyle name="Обычный 10 14 5" xfId="34561"/>
    <cellStyle name="Обычный 10 15" xfId="2549"/>
    <cellStyle name="Обычный 10 15 2" xfId="7891"/>
    <cellStyle name="Обычный 10 15 2 2" xfId="18571"/>
    <cellStyle name="Обычный 10 15 2 2 2" xfId="50615"/>
    <cellStyle name="Обычный 10 15 2 3" xfId="29252"/>
    <cellStyle name="Обычный 10 15 2 3 2" xfId="61295"/>
    <cellStyle name="Обычный 10 15 2 4" xfId="39935"/>
    <cellStyle name="Обычный 10 15 3" xfId="13231"/>
    <cellStyle name="Обычный 10 15 3 2" xfId="45275"/>
    <cellStyle name="Обычный 10 15 4" xfId="23912"/>
    <cellStyle name="Обычный 10 15 4 2" xfId="55955"/>
    <cellStyle name="Обычный 10 15 5" xfId="34595"/>
    <cellStyle name="Обычный 10 16" xfId="2581"/>
    <cellStyle name="Обычный 10 16 2" xfId="7923"/>
    <cellStyle name="Обычный 10 16 2 2" xfId="18603"/>
    <cellStyle name="Обычный 10 16 2 2 2" xfId="50647"/>
    <cellStyle name="Обычный 10 16 2 3" xfId="29284"/>
    <cellStyle name="Обычный 10 16 2 3 2" xfId="61327"/>
    <cellStyle name="Обычный 10 16 2 4" xfId="39967"/>
    <cellStyle name="Обычный 10 16 3" xfId="13263"/>
    <cellStyle name="Обычный 10 16 3 2" xfId="45307"/>
    <cellStyle name="Обычный 10 16 4" xfId="23944"/>
    <cellStyle name="Обычный 10 16 4 2" xfId="55987"/>
    <cellStyle name="Обычный 10 16 5" xfId="34627"/>
    <cellStyle name="Обычный 10 17" xfId="2613"/>
    <cellStyle name="Обычный 10 17 2" xfId="7955"/>
    <cellStyle name="Обычный 10 17 2 2" xfId="18635"/>
    <cellStyle name="Обычный 10 17 2 2 2" xfId="50679"/>
    <cellStyle name="Обычный 10 17 2 3" xfId="29316"/>
    <cellStyle name="Обычный 10 17 2 3 2" xfId="61359"/>
    <cellStyle name="Обычный 10 17 2 4" xfId="39999"/>
    <cellStyle name="Обычный 10 17 3" xfId="13295"/>
    <cellStyle name="Обычный 10 17 3 2" xfId="45339"/>
    <cellStyle name="Обычный 10 17 4" xfId="23976"/>
    <cellStyle name="Обычный 10 17 4 2" xfId="56019"/>
    <cellStyle name="Обычный 10 17 5" xfId="34659"/>
    <cellStyle name="Обычный 10 18" xfId="2645"/>
    <cellStyle name="Обычный 10 18 2" xfId="7987"/>
    <cellStyle name="Обычный 10 18 2 2" xfId="18667"/>
    <cellStyle name="Обычный 10 18 2 2 2" xfId="50711"/>
    <cellStyle name="Обычный 10 18 2 3" xfId="29348"/>
    <cellStyle name="Обычный 10 18 2 3 2" xfId="61391"/>
    <cellStyle name="Обычный 10 18 2 4" xfId="40031"/>
    <cellStyle name="Обычный 10 18 3" xfId="13327"/>
    <cellStyle name="Обычный 10 18 3 2" xfId="45371"/>
    <cellStyle name="Обычный 10 18 4" xfId="24008"/>
    <cellStyle name="Обычный 10 18 4 2" xfId="56051"/>
    <cellStyle name="Обычный 10 18 5" xfId="34691"/>
    <cellStyle name="Обычный 10 19" xfId="2677"/>
    <cellStyle name="Обычный 10 19 2" xfId="8019"/>
    <cellStyle name="Обычный 10 19 2 2" xfId="18699"/>
    <cellStyle name="Обычный 10 19 2 2 2" xfId="50743"/>
    <cellStyle name="Обычный 10 19 2 3" xfId="29380"/>
    <cellStyle name="Обычный 10 19 2 3 2" xfId="61423"/>
    <cellStyle name="Обычный 10 19 2 4" xfId="40063"/>
    <cellStyle name="Обычный 10 19 3" xfId="13359"/>
    <cellStyle name="Обычный 10 19 3 2" xfId="45403"/>
    <cellStyle name="Обычный 10 19 4" xfId="24040"/>
    <cellStyle name="Обычный 10 19 4 2" xfId="56083"/>
    <cellStyle name="Обычный 10 19 5" xfId="34723"/>
    <cellStyle name="Обычный 10 2" xfId="2153"/>
    <cellStyle name="Обычный 10 2 2" xfId="7495"/>
    <cellStyle name="Обычный 10 2 2 2" xfId="18175"/>
    <cellStyle name="Обычный 10 2 2 2 2" xfId="50219"/>
    <cellStyle name="Обычный 10 2 2 3" xfId="28856"/>
    <cellStyle name="Обычный 10 2 2 3 2" xfId="60899"/>
    <cellStyle name="Обычный 10 2 2 4" xfId="39539"/>
    <cellStyle name="Обычный 10 2 3" xfId="12835"/>
    <cellStyle name="Обычный 10 2 3 2" xfId="44879"/>
    <cellStyle name="Обычный 10 2 4" xfId="23516"/>
    <cellStyle name="Обычный 10 2 4 2" xfId="55559"/>
    <cellStyle name="Обычный 10 2 5" xfId="34199"/>
    <cellStyle name="Обычный 10 20" xfId="2709"/>
    <cellStyle name="Обычный 10 20 2" xfId="8051"/>
    <cellStyle name="Обычный 10 20 2 2" xfId="18731"/>
    <cellStyle name="Обычный 10 20 2 2 2" xfId="50775"/>
    <cellStyle name="Обычный 10 20 2 3" xfId="29412"/>
    <cellStyle name="Обычный 10 20 2 3 2" xfId="61455"/>
    <cellStyle name="Обычный 10 20 2 4" xfId="40095"/>
    <cellStyle name="Обычный 10 20 3" xfId="13391"/>
    <cellStyle name="Обычный 10 20 3 2" xfId="45435"/>
    <cellStyle name="Обычный 10 20 4" xfId="24072"/>
    <cellStyle name="Обычный 10 20 4 2" xfId="56115"/>
    <cellStyle name="Обычный 10 20 5" xfId="34755"/>
    <cellStyle name="Обычный 10 21" xfId="2741"/>
    <cellStyle name="Обычный 10 21 2" xfId="8083"/>
    <cellStyle name="Обычный 10 21 2 2" xfId="18763"/>
    <cellStyle name="Обычный 10 21 2 2 2" xfId="50807"/>
    <cellStyle name="Обычный 10 21 2 3" xfId="29444"/>
    <cellStyle name="Обычный 10 21 2 3 2" xfId="61487"/>
    <cellStyle name="Обычный 10 21 2 4" xfId="40127"/>
    <cellStyle name="Обычный 10 21 3" xfId="13423"/>
    <cellStyle name="Обычный 10 21 3 2" xfId="45467"/>
    <cellStyle name="Обычный 10 21 4" xfId="24104"/>
    <cellStyle name="Обычный 10 21 4 2" xfId="56147"/>
    <cellStyle name="Обычный 10 21 5" xfId="34787"/>
    <cellStyle name="Обычный 10 22" xfId="2775"/>
    <cellStyle name="Обычный 10 22 2" xfId="8117"/>
    <cellStyle name="Обычный 10 22 2 2" xfId="18797"/>
    <cellStyle name="Обычный 10 22 2 2 2" xfId="50841"/>
    <cellStyle name="Обычный 10 22 2 3" xfId="29478"/>
    <cellStyle name="Обычный 10 22 2 3 2" xfId="61521"/>
    <cellStyle name="Обычный 10 22 2 4" xfId="40161"/>
    <cellStyle name="Обычный 10 22 3" xfId="13457"/>
    <cellStyle name="Обычный 10 22 3 2" xfId="45501"/>
    <cellStyle name="Обычный 10 22 4" xfId="24138"/>
    <cellStyle name="Обычный 10 22 4 2" xfId="56181"/>
    <cellStyle name="Обычный 10 22 5" xfId="34821"/>
    <cellStyle name="Обычный 10 23" xfId="2807"/>
    <cellStyle name="Обычный 10 23 2" xfId="8149"/>
    <cellStyle name="Обычный 10 23 2 2" xfId="18829"/>
    <cellStyle name="Обычный 10 23 2 2 2" xfId="50873"/>
    <cellStyle name="Обычный 10 23 2 3" xfId="29510"/>
    <cellStyle name="Обычный 10 23 2 3 2" xfId="61553"/>
    <cellStyle name="Обычный 10 23 2 4" xfId="40193"/>
    <cellStyle name="Обычный 10 23 3" xfId="13489"/>
    <cellStyle name="Обычный 10 23 3 2" xfId="45533"/>
    <cellStyle name="Обычный 10 23 4" xfId="24170"/>
    <cellStyle name="Обычный 10 23 4 2" xfId="56213"/>
    <cellStyle name="Обычный 10 23 5" xfId="34853"/>
    <cellStyle name="Обычный 10 24" xfId="2839"/>
    <cellStyle name="Обычный 10 24 2" xfId="8181"/>
    <cellStyle name="Обычный 10 24 2 2" xfId="18861"/>
    <cellStyle name="Обычный 10 24 2 2 2" xfId="50905"/>
    <cellStyle name="Обычный 10 24 2 3" xfId="29542"/>
    <cellStyle name="Обычный 10 24 2 3 2" xfId="61585"/>
    <cellStyle name="Обычный 10 24 2 4" xfId="40225"/>
    <cellStyle name="Обычный 10 24 3" xfId="13521"/>
    <cellStyle name="Обычный 10 24 3 2" xfId="45565"/>
    <cellStyle name="Обычный 10 24 4" xfId="24202"/>
    <cellStyle name="Обычный 10 24 4 2" xfId="56245"/>
    <cellStyle name="Обычный 10 24 5" xfId="34885"/>
    <cellStyle name="Обычный 10 25" xfId="2871"/>
    <cellStyle name="Обычный 10 25 2" xfId="8213"/>
    <cellStyle name="Обычный 10 25 2 2" xfId="18893"/>
    <cellStyle name="Обычный 10 25 2 2 2" xfId="50937"/>
    <cellStyle name="Обычный 10 25 2 3" xfId="29574"/>
    <cellStyle name="Обычный 10 25 2 3 2" xfId="61617"/>
    <cellStyle name="Обычный 10 25 2 4" xfId="40257"/>
    <cellStyle name="Обычный 10 25 3" xfId="13553"/>
    <cellStyle name="Обычный 10 25 3 2" xfId="45597"/>
    <cellStyle name="Обычный 10 25 4" xfId="24234"/>
    <cellStyle name="Обычный 10 25 4 2" xfId="56277"/>
    <cellStyle name="Обычный 10 25 5" xfId="34917"/>
    <cellStyle name="Обычный 10 26" xfId="2903"/>
    <cellStyle name="Обычный 10 26 2" xfId="8245"/>
    <cellStyle name="Обычный 10 26 2 2" xfId="18925"/>
    <cellStyle name="Обычный 10 26 2 2 2" xfId="50969"/>
    <cellStyle name="Обычный 10 26 2 3" xfId="29606"/>
    <cellStyle name="Обычный 10 26 2 3 2" xfId="61649"/>
    <cellStyle name="Обычный 10 26 2 4" xfId="40289"/>
    <cellStyle name="Обычный 10 26 3" xfId="13585"/>
    <cellStyle name="Обычный 10 26 3 2" xfId="45629"/>
    <cellStyle name="Обычный 10 26 4" xfId="24266"/>
    <cellStyle name="Обычный 10 26 4 2" xfId="56309"/>
    <cellStyle name="Обычный 10 26 5" xfId="34949"/>
    <cellStyle name="Обычный 10 27" xfId="2935"/>
    <cellStyle name="Обычный 10 27 2" xfId="8277"/>
    <cellStyle name="Обычный 10 27 2 2" xfId="18957"/>
    <cellStyle name="Обычный 10 27 2 2 2" xfId="51001"/>
    <cellStyle name="Обычный 10 27 2 3" xfId="29638"/>
    <cellStyle name="Обычный 10 27 2 3 2" xfId="61681"/>
    <cellStyle name="Обычный 10 27 2 4" xfId="40321"/>
    <cellStyle name="Обычный 10 27 3" xfId="13617"/>
    <cellStyle name="Обычный 10 27 3 2" xfId="45661"/>
    <cellStyle name="Обычный 10 27 4" xfId="24298"/>
    <cellStyle name="Обычный 10 27 4 2" xfId="56341"/>
    <cellStyle name="Обычный 10 27 5" xfId="34981"/>
    <cellStyle name="Обычный 10 28" xfId="2967"/>
    <cellStyle name="Обычный 10 28 2" xfId="8309"/>
    <cellStyle name="Обычный 10 28 2 2" xfId="18989"/>
    <cellStyle name="Обычный 10 28 2 2 2" xfId="51033"/>
    <cellStyle name="Обычный 10 28 2 3" xfId="29670"/>
    <cellStyle name="Обычный 10 28 2 3 2" xfId="61713"/>
    <cellStyle name="Обычный 10 28 2 4" xfId="40353"/>
    <cellStyle name="Обычный 10 28 3" xfId="13649"/>
    <cellStyle name="Обычный 10 28 3 2" xfId="45693"/>
    <cellStyle name="Обычный 10 28 4" xfId="24330"/>
    <cellStyle name="Обычный 10 28 4 2" xfId="56373"/>
    <cellStyle name="Обычный 10 28 5" xfId="35013"/>
    <cellStyle name="Обычный 10 29" xfId="2999"/>
    <cellStyle name="Обычный 10 29 2" xfId="8341"/>
    <cellStyle name="Обычный 10 29 2 2" xfId="19021"/>
    <cellStyle name="Обычный 10 29 2 2 2" xfId="51065"/>
    <cellStyle name="Обычный 10 29 2 3" xfId="29702"/>
    <cellStyle name="Обычный 10 29 2 3 2" xfId="61745"/>
    <cellStyle name="Обычный 10 29 2 4" xfId="40385"/>
    <cellStyle name="Обычный 10 29 3" xfId="13681"/>
    <cellStyle name="Обычный 10 29 3 2" xfId="45725"/>
    <cellStyle name="Обычный 10 29 4" xfId="24362"/>
    <cellStyle name="Обычный 10 29 4 2" xfId="56405"/>
    <cellStyle name="Обычный 10 29 5" xfId="35045"/>
    <cellStyle name="Обычный 10 3" xfId="2183"/>
    <cellStyle name="Обычный 10 3 2" xfId="7525"/>
    <cellStyle name="Обычный 10 3 2 2" xfId="18205"/>
    <cellStyle name="Обычный 10 3 2 2 2" xfId="50249"/>
    <cellStyle name="Обычный 10 3 2 3" xfId="28886"/>
    <cellStyle name="Обычный 10 3 2 3 2" xfId="60929"/>
    <cellStyle name="Обычный 10 3 2 4" xfId="39569"/>
    <cellStyle name="Обычный 10 3 3" xfId="12865"/>
    <cellStyle name="Обычный 10 3 3 2" xfId="44909"/>
    <cellStyle name="Обычный 10 3 4" xfId="23546"/>
    <cellStyle name="Обычный 10 3 4 2" xfId="55589"/>
    <cellStyle name="Обычный 10 3 5" xfId="34229"/>
    <cellStyle name="Обычный 10 30" xfId="3031"/>
    <cellStyle name="Обычный 10 30 2" xfId="8373"/>
    <cellStyle name="Обычный 10 30 2 2" xfId="19053"/>
    <cellStyle name="Обычный 10 30 2 2 2" xfId="51097"/>
    <cellStyle name="Обычный 10 30 2 3" xfId="29734"/>
    <cellStyle name="Обычный 10 30 2 3 2" xfId="61777"/>
    <cellStyle name="Обычный 10 30 2 4" xfId="40417"/>
    <cellStyle name="Обычный 10 30 3" xfId="13713"/>
    <cellStyle name="Обычный 10 30 3 2" xfId="45757"/>
    <cellStyle name="Обычный 10 30 4" xfId="24394"/>
    <cellStyle name="Обычный 10 30 4 2" xfId="56437"/>
    <cellStyle name="Обычный 10 30 5" xfId="35077"/>
    <cellStyle name="Обычный 10 31" xfId="3063"/>
    <cellStyle name="Обычный 10 31 2" xfId="8405"/>
    <cellStyle name="Обычный 10 31 2 2" xfId="19085"/>
    <cellStyle name="Обычный 10 31 2 2 2" xfId="51129"/>
    <cellStyle name="Обычный 10 31 2 3" xfId="29766"/>
    <cellStyle name="Обычный 10 31 2 3 2" xfId="61809"/>
    <cellStyle name="Обычный 10 31 2 4" xfId="40449"/>
    <cellStyle name="Обычный 10 31 3" xfId="13745"/>
    <cellStyle name="Обычный 10 31 3 2" xfId="45789"/>
    <cellStyle name="Обычный 10 31 4" xfId="24426"/>
    <cellStyle name="Обычный 10 31 4 2" xfId="56469"/>
    <cellStyle name="Обычный 10 31 5" xfId="35109"/>
    <cellStyle name="Обычный 10 32" xfId="3095"/>
    <cellStyle name="Обычный 10 32 2" xfId="8437"/>
    <cellStyle name="Обычный 10 32 2 2" xfId="19117"/>
    <cellStyle name="Обычный 10 32 2 2 2" xfId="51161"/>
    <cellStyle name="Обычный 10 32 2 3" xfId="29798"/>
    <cellStyle name="Обычный 10 32 2 3 2" xfId="61841"/>
    <cellStyle name="Обычный 10 32 2 4" xfId="40481"/>
    <cellStyle name="Обычный 10 32 3" xfId="13777"/>
    <cellStyle name="Обычный 10 32 3 2" xfId="45821"/>
    <cellStyle name="Обычный 10 32 4" xfId="24458"/>
    <cellStyle name="Обычный 10 32 4 2" xfId="56501"/>
    <cellStyle name="Обычный 10 32 5" xfId="35141"/>
    <cellStyle name="Обычный 10 33" xfId="3128"/>
    <cellStyle name="Обычный 10 33 2" xfId="8469"/>
    <cellStyle name="Обычный 10 33 2 2" xfId="19149"/>
    <cellStyle name="Обычный 10 33 2 2 2" xfId="51193"/>
    <cellStyle name="Обычный 10 33 2 3" xfId="29830"/>
    <cellStyle name="Обычный 10 33 2 3 2" xfId="61873"/>
    <cellStyle name="Обычный 10 33 2 4" xfId="40513"/>
    <cellStyle name="Обычный 10 33 3" xfId="13809"/>
    <cellStyle name="Обычный 10 33 3 2" xfId="45853"/>
    <cellStyle name="Обычный 10 33 4" xfId="24490"/>
    <cellStyle name="Обычный 10 33 4 2" xfId="56533"/>
    <cellStyle name="Обычный 10 33 5" xfId="35173"/>
    <cellStyle name="Обычный 10 34" xfId="3160"/>
    <cellStyle name="Обычный 10 34 2" xfId="8501"/>
    <cellStyle name="Обычный 10 34 2 2" xfId="19181"/>
    <cellStyle name="Обычный 10 34 2 2 2" xfId="51225"/>
    <cellStyle name="Обычный 10 34 2 3" xfId="29862"/>
    <cellStyle name="Обычный 10 34 2 3 2" xfId="61905"/>
    <cellStyle name="Обычный 10 34 2 4" xfId="40545"/>
    <cellStyle name="Обычный 10 34 3" xfId="13841"/>
    <cellStyle name="Обычный 10 34 3 2" xfId="45885"/>
    <cellStyle name="Обычный 10 34 4" xfId="24522"/>
    <cellStyle name="Обычный 10 34 4 2" xfId="56565"/>
    <cellStyle name="Обычный 10 34 5" xfId="35205"/>
    <cellStyle name="Обычный 10 35" xfId="3192"/>
    <cellStyle name="Обычный 10 35 2" xfId="8533"/>
    <cellStyle name="Обычный 10 35 2 2" xfId="19213"/>
    <cellStyle name="Обычный 10 35 2 2 2" xfId="51257"/>
    <cellStyle name="Обычный 10 35 2 3" xfId="29894"/>
    <cellStyle name="Обычный 10 35 2 3 2" xfId="61937"/>
    <cellStyle name="Обычный 10 35 2 4" xfId="40577"/>
    <cellStyle name="Обычный 10 35 3" xfId="13873"/>
    <cellStyle name="Обычный 10 35 3 2" xfId="45917"/>
    <cellStyle name="Обычный 10 35 4" xfId="24554"/>
    <cellStyle name="Обычный 10 35 4 2" xfId="56597"/>
    <cellStyle name="Обычный 10 35 5" xfId="35237"/>
    <cellStyle name="Обычный 10 36" xfId="3224"/>
    <cellStyle name="Обычный 10 36 2" xfId="8565"/>
    <cellStyle name="Обычный 10 36 2 2" xfId="19245"/>
    <cellStyle name="Обычный 10 36 2 2 2" xfId="51289"/>
    <cellStyle name="Обычный 10 36 2 3" xfId="29926"/>
    <cellStyle name="Обычный 10 36 2 3 2" xfId="61969"/>
    <cellStyle name="Обычный 10 36 2 4" xfId="40609"/>
    <cellStyle name="Обычный 10 36 3" xfId="13905"/>
    <cellStyle name="Обычный 10 36 3 2" xfId="45949"/>
    <cellStyle name="Обычный 10 36 4" xfId="24586"/>
    <cellStyle name="Обычный 10 36 4 2" xfId="56629"/>
    <cellStyle name="Обычный 10 36 5" xfId="35269"/>
    <cellStyle name="Обычный 10 37" xfId="3256"/>
    <cellStyle name="Обычный 10 37 2" xfId="8597"/>
    <cellStyle name="Обычный 10 37 2 2" xfId="19277"/>
    <cellStyle name="Обычный 10 37 2 2 2" xfId="51321"/>
    <cellStyle name="Обычный 10 37 2 3" xfId="29958"/>
    <cellStyle name="Обычный 10 37 2 3 2" xfId="62001"/>
    <cellStyle name="Обычный 10 37 2 4" xfId="40641"/>
    <cellStyle name="Обычный 10 37 3" xfId="13937"/>
    <cellStyle name="Обычный 10 37 3 2" xfId="45981"/>
    <cellStyle name="Обычный 10 37 4" xfId="24618"/>
    <cellStyle name="Обычный 10 37 4 2" xfId="56661"/>
    <cellStyle name="Обычный 10 37 5" xfId="35301"/>
    <cellStyle name="Обычный 10 38" xfId="3288"/>
    <cellStyle name="Обычный 10 38 2" xfId="8629"/>
    <cellStyle name="Обычный 10 38 2 2" xfId="19309"/>
    <cellStyle name="Обычный 10 38 2 2 2" xfId="51353"/>
    <cellStyle name="Обычный 10 38 2 3" xfId="29990"/>
    <cellStyle name="Обычный 10 38 2 3 2" xfId="62033"/>
    <cellStyle name="Обычный 10 38 2 4" xfId="40673"/>
    <cellStyle name="Обычный 10 38 3" xfId="13969"/>
    <cellStyle name="Обычный 10 38 3 2" xfId="46013"/>
    <cellStyle name="Обычный 10 38 4" xfId="24650"/>
    <cellStyle name="Обычный 10 38 4 2" xfId="56693"/>
    <cellStyle name="Обычный 10 38 5" xfId="35333"/>
    <cellStyle name="Обычный 10 39" xfId="3320"/>
    <cellStyle name="Обычный 10 39 2" xfId="8661"/>
    <cellStyle name="Обычный 10 39 2 2" xfId="19341"/>
    <cellStyle name="Обычный 10 39 2 2 2" xfId="51385"/>
    <cellStyle name="Обычный 10 39 2 3" xfId="30022"/>
    <cellStyle name="Обычный 10 39 2 3 2" xfId="62065"/>
    <cellStyle name="Обычный 10 39 2 4" xfId="40705"/>
    <cellStyle name="Обычный 10 39 3" xfId="14001"/>
    <cellStyle name="Обычный 10 39 3 2" xfId="46045"/>
    <cellStyle name="Обычный 10 39 4" xfId="24682"/>
    <cellStyle name="Обычный 10 39 4 2" xfId="56725"/>
    <cellStyle name="Обычный 10 39 5" xfId="35365"/>
    <cellStyle name="Обычный 10 4" xfId="2213"/>
    <cellStyle name="Обычный 10 4 2" xfId="7555"/>
    <cellStyle name="Обычный 10 4 2 2" xfId="18235"/>
    <cellStyle name="Обычный 10 4 2 2 2" xfId="50279"/>
    <cellStyle name="Обычный 10 4 2 3" xfId="28916"/>
    <cellStyle name="Обычный 10 4 2 3 2" xfId="60959"/>
    <cellStyle name="Обычный 10 4 2 4" xfId="39599"/>
    <cellStyle name="Обычный 10 4 3" xfId="12895"/>
    <cellStyle name="Обычный 10 4 3 2" xfId="44939"/>
    <cellStyle name="Обычный 10 4 4" xfId="23576"/>
    <cellStyle name="Обычный 10 4 4 2" xfId="55619"/>
    <cellStyle name="Обычный 10 4 5" xfId="34259"/>
    <cellStyle name="Обычный 10 40" xfId="3352"/>
    <cellStyle name="Обычный 10 40 2" xfId="8693"/>
    <cellStyle name="Обычный 10 40 2 2" xfId="19373"/>
    <cellStyle name="Обычный 10 40 2 2 2" xfId="51417"/>
    <cellStyle name="Обычный 10 40 2 3" xfId="30054"/>
    <cellStyle name="Обычный 10 40 2 3 2" xfId="62097"/>
    <cellStyle name="Обычный 10 40 2 4" xfId="40737"/>
    <cellStyle name="Обычный 10 40 3" xfId="14033"/>
    <cellStyle name="Обычный 10 40 3 2" xfId="46077"/>
    <cellStyle name="Обычный 10 40 4" xfId="24714"/>
    <cellStyle name="Обычный 10 40 4 2" xfId="56757"/>
    <cellStyle name="Обычный 10 40 5" xfId="35397"/>
    <cellStyle name="Обычный 10 41" xfId="3384"/>
    <cellStyle name="Обычный 10 41 2" xfId="8725"/>
    <cellStyle name="Обычный 10 41 2 2" xfId="19405"/>
    <cellStyle name="Обычный 10 41 2 2 2" xfId="51449"/>
    <cellStyle name="Обычный 10 41 2 3" xfId="30086"/>
    <cellStyle name="Обычный 10 41 2 3 2" xfId="62129"/>
    <cellStyle name="Обычный 10 41 2 4" xfId="40769"/>
    <cellStyle name="Обычный 10 41 3" xfId="14065"/>
    <cellStyle name="Обычный 10 41 3 2" xfId="46109"/>
    <cellStyle name="Обычный 10 41 4" xfId="24746"/>
    <cellStyle name="Обычный 10 41 4 2" xfId="56789"/>
    <cellStyle name="Обычный 10 41 5" xfId="35429"/>
    <cellStyle name="Обычный 10 42" xfId="3416"/>
    <cellStyle name="Обычный 10 42 2" xfId="8757"/>
    <cellStyle name="Обычный 10 42 2 2" xfId="19437"/>
    <cellStyle name="Обычный 10 42 2 2 2" xfId="51481"/>
    <cellStyle name="Обычный 10 42 2 3" xfId="30118"/>
    <cellStyle name="Обычный 10 42 2 3 2" xfId="62161"/>
    <cellStyle name="Обычный 10 42 2 4" xfId="40801"/>
    <cellStyle name="Обычный 10 42 3" xfId="14097"/>
    <cellStyle name="Обычный 10 42 3 2" xfId="46141"/>
    <cellStyle name="Обычный 10 42 4" xfId="24778"/>
    <cellStyle name="Обычный 10 42 4 2" xfId="56821"/>
    <cellStyle name="Обычный 10 42 5" xfId="35461"/>
    <cellStyle name="Обычный 10 43" xfId="3448"/>
    <cellStyle name="Обычный 10 43 2" xfId="8789"/>
    <cellStyle name="Обычный 10 43 2 2" xfId="19469"/>
    <cellStyle name="Обычный 10 43 2 2 2" xfId="51513"/>
    <cellStyle name="Обычный 10 43 2 3" xfId="30150"/>
    <cellStyle name="Обычный 10 43 2 3 2" xfId="62193"/>
    <cellStyle name="Обычный 10 43 2 4" xfId="40833"/>
    <cellStyle name="Обычный 10 43 3" xfId="14129"/>
    <cellStyle name="Обычный 10 43 3 2" xfId="46173"/>
    <cellStyle name="Обычный 10 43 4" xfId="24810"/>
    <cellStyle name="Обычный 10 43 4 2" xfId="56853"/>
    <cellStyle name="Обычный 10 43 5" xfId="35493"/>
    <cellStyle name="Обычный 10 44" xfId="3480"/>
    <cellStyle name="Обычный 10 44 2" xfId="8821"/>
    <cellStyle name="Обычный 10 44 2 2" xfId="19501"/>
    <cellStyle name="Обычный 10 44 2 2 2" xfId="51545"/>
    <cellStyle name="Обычный 10 44 2 3" xfId="30182"/>
    <cellStyle name="Обычный 10 44 2 3 2" xfId="62225"/>
    <cellStyle name="Обычный 10 44 2 4" xfId="40865"/>
    <cellStyle name="Обычный 10 44 3" xfId="14161"/>
    <cellStyle name="Обычный 10 44 3 2" xfId="46205"/>
    <cellStyle name="Обычный 10 44 4" xfId="24842"/>
    <cellStyle name="Обычный 10 44 4 2" xfId="56885"/>
    <cellStyle name="Обычный 10 44 5" xfId="35525"/>
    <cellStyle name="Обычный 10 45" xfId="3512"/>
    <cellStyle name="Обычный 10 45 2" xfId="8853"/>
    <cellStyle name="Обычный 10 45 2 2" xfId="19533"/>
    <cellStyle name="Обычный 10 45 2 2 2" xfId="51577"/>
    <cellStyle name="Обычный 10 45 2 3" xfId="30214"/>
    <cellStyle name="Обычный 10 45 2 3 2" xfId="62257"/>
    <cellStyle name="Обычный 10 45 2 4" xfId="40897"/>
    <cellStyle name="Обычный 10 45 3" xfId="14193"/>
    <cellStyle name="Обычный 10 45 3 2" xfId="46237"/>
    <cellStyle name="Обычный 10 45 4" xfId="24874"/>
    <cellStyle name="Обычный 10 45 4 2" xfId="56917"/>
    <cellStyle name="Обычный 10 45 5" xfId="35557"/>
    <cellStyle name="Обычный 10 46" xfId="3544"/>
    <cellStyle name="Обычный 10 46 2" xfId="8885"/>
    <cellStyle name="Обычный 10 46 2 2" xfId="19565"/>
    <cellStyle name="Обычный 10 46 2 2 2" xfId="51609"/>
    <cellStyle name="Обычный 10 46 2 3" xfId="30246"/>
    <cellStyle name="Обычный 10 46 2 3 2" xfId="62289"/>
    <cellStyle name="Обычный 10 46 2 4" xfId="40929"/>
    <cellStyle name="Обычный 10 46 3" xfId="14225"/>
    <cellStyle name="Обычный 10 46 3 2" xfId="46269"/>
    <cellStyle name="Обычный 10 46 4" xfId="24906"/>
    <cellStyle name="Обычный 10 46 4 2" xfId="56949"/>
    <cellStyle name="Обычный 10 46 5" xfId="35589"/>
    <cellStyle name="Обычный 10 47" xfId="3576"/>
    <cellStyle name="Обычный 10 47 2" xfId="8917"/>
    <cellStyle name="Обычный 10 47 2 2" xfId="19597"/>
    <cellStyle name="Обычный 10 47 2 2 2" xfId="51641"/>
    <cellStyle name="Обычный 10 47 2 3" xfId="30278"/>
    <cellStyle name="Обычный 10 47 2 3 2" xfId="62321"/>
    <cellStyle name="Обычный 10 47 2 4" xfId="40961"/>
    <cellStyle name="Обычный 10 47 3" xfId="14257"/>
    <cellStyle name="Обычный 10 47 3 2" xfId="46301"/>
    <cellStyle name="Обычный 10 47 4" xfId="24938"/>
    <cellStyle name="Обычный 10 47 4 2" xfId="56981"/>
    <cellStyle name="Обычный 10 47 5" xfId="35621"/>
    <cellStyle name="Обычный 10 48" xfId="3608"/>
    <cellStyle name="Обычный 10 48 2" xfId="8949"/>
    <cellStyle name="Обычный 10 48 2 2" xfId="19629"/>
    <cellStyle name="Обычный 10 48 2 2 2" xfId="51673"/>
    <cellStyle name="Обычный 10 48 2 3" xfId="30310"/>
    <cellStyle name="Обычный 10 48 2 3 2" xfId="62353"/>
    <cellStyle name="Обычный 10 48 2 4" xfId="40993"/>
    <cellStyle name="Обычный 10 48 3" xfId="14289"/>
    <cellStyle name="Обычный 10 48 3 2" xfId="46333"/>
    <cellStyle name="Обычный 10 48 4" xfId="24970"/>
    <cellStyle name="Обычный 10 48 4 2" xfId="57013"/>
    <cellStyle name="Обычный 10 48 5" xfId="35653"/>
    <cellStyle name="Обычный 10 49" xfId="3640"/>
    <cellStyle name="Обычный 10 49 2" xfId="8981"/>
    <cellStyle name="Обычный 10 49 2 2" xfId="19661"/>
    <cellStyle name="Обычный 10 49 2 2 2" xfId="51705"/>
    <cellStyle name="Обычный 10 49 2 3" xfId="30342"/>
    <cellStyle name="Обычный 10 49 2 3 2" xfId="62385"/>
    <cellStyle name="Обычный 10 49 2 4" xfId="41025"/>
    <cellStyle name="Обычный 10 49 3" xfId="14321"/>
    <cellStyle name="Обычный 10 49 3 2" xfId="46365"/>
    <cellStyle name="Обычный 10 49 4" xfId="25002"/>
    <cellStyle name="Обычный 10 49 4 2" xfId="57045"/>
    <cellStyle name="Обычный 10 49 5" xfId="35685"/>
    <cellStyle name="Обычный 10 5" xfId="2243"/>
    <cellStyle name="Обычный 10 5 2" xfId="7585"/>
    <cellStyle name="Обычный 10 5 2 2" xfId="18265"/>
    <cellStyle name="Обычный 10 5 2 2 2" xfId="50309"/>
    <cellStyle name="Обычный 10 5 2 3" xfId="28946"/>
    <cellStyle name="Обычный 10 5 2 3 2" xfId="60989"/>
    <cellStyle name="Обычный 10 5 2 4" xfId="39629"/>
    <cellStyle name="Обычный 10 5 3" xfId="12925"/>
    <cellStyle name="Обычный 10 5 3 2" xfId="44969"/>
    <cellStyle name="Обычный 10 5 4" xfId="23606"/>
    <cellStyle name="Обычный 10 5 4 2" xfId="55649"/>
    <cellStyle name="Обычный 10 5 5" xfId="34289"/>
    <cellStyle name="Обычный 10 50" xfId="3672"/>
    <cellStyle name="Обычный 10 50 2" xfId="9013"/>
    <cellStyle name="Обычный 10 50 2 2" xfId="19693"/>
    <cellStyle name="Обычный 10 50 2 2 2" xfId="51737"/>
    <cellStyle name="Обычный 10 50 2 3" xfId="30374"/>
    <cellStyle name="Обычный 10 50 2 3 2" xfId="62417"/>
    <cellStyle name="Обычный 10 50 2 4" xfId="41057"/>
    <cellStyle name="Обычный 10 50 3" xfId="14353"/>
    <cellStyle name="Обычный 10 50 3 2" xfId="46397"/>
    <cellStyle name="Обычный 10 50 4" xfId="25034"/>
    <cellStyle name="Обычный 10 50 4 2" xfId="57077"/>
    <cellStyle name="Обычный 10 50 5" xfId="35717"/>
    <cellStyle name="Обычный 10 51" xfId="3704"/>
    <cellStyle name="Обычный 10 51 2" xfId="9045"/>
    <cellStyle name="Обычный 10 51 2 2" xfId="19725"/>
    <cellStyle name="Обычный 10 51 2 2 2" xfId="51769"/>
    <cellStyle name="Обычный 10 51 2 3" xfId="30406"/>
    <cellStyle name="Обычный 10 51 2 3 2" xfId="62449"/>
    <cellStyle name="Обычный 10 51 2 4" xfId="41089"/>
    <cellStyle name="Обычный 10 51 3" xfId="14385"/>
    <cellStyle name="Обычный 10 51 3 2" xfId="46429"/>
    <cellStyle name="Обычный 10 51 4" xfId="25066"/>
    <cellStyle name="Обычный 10 51 4 2" xfId="57109"/>
    <cellStyle name="Обычный 10 51 5" xfId="35749"/>
    <cellStyle name="Обычный 10 52" xfId="3736"/>
    <cellStyle name="Обычный 10 52 2" xfId="9077"/>
    <cellStyle name="Обычный 10 52 2 2" xfId="19757"/>
    <cellStyle name="Обычный 10 52 2 2 2" xfId="51801"/>
    <cellStyle name="Обычный 10 52 2 3" xfId="30438"/>
    <cellStyle name="Обычный 10 52 2 3 2" xfId="62481"/>
    <cellStyle name="Обычный 10 52 2 4" xfId="41121"/>
    <cellStyle name="Обычный 10 52 3" xfId="14417"/>
    <cellStyle name="Обычный 10 52 3 2" xfId="46461"/>
    <cellStyle name="Обычный 10 52 4" xfId="25098"/>
    <cellStyle name="Обычный 10 52 4 2" xfId="57141"/>
    <cellStyle name="Обычный 10 52 5" xfId="35781"/>
    <cellStyle name="Обычный 10 53" xfId="3768"/>
    <cellStyle name="Обычный 10 53 2" xfId="9109"/>
    <cellStyle name="Обычный 10 53 2 2" xfId="19789"/>
    <cellStyle name="Обычный 10 53 2 2 2" xfId="51833"/>
    <cellStyle name="Обычный 10 53 2 3" xfId="30470"/>
    <cellStyle name="Обычный 10 53 2 3 2" xfId="62513"/>
    <cellStyle name="Обычный 10 53 2 4" xfId="41153"/>
    <cellStyle name="Обычный 10 53 3" xfId="14449"/>
    <cellStyle name="Обычный 10 53 3 2" xfId="46493"/>
    <cellStyle name="Обычный 10 53 4" xfId="25130"/>
    <cellStyle name="Обычный 10 53 4 2" xfId="57173"/>
    <cellStyle name="Обычный 10 53 5" xfId="35813"/>
    <cellStyle name="Обычный 10 54" xfId="3800"/>
    <cellStyle name="Обычный 10 54 2" xfId="9141"/>
    <cellStyle name="Обычный 10 54 2 2" xfId="19821"/>
    <cellStyle name="Обычный 10 54 2 2 2" xfId="51865"/>
    <cellStyle name="Обычный 10 54 2 3" xfId="30502"/>
    <cellStyle name="Обычный 10 54 2 3 2" xfId="62545"/>
    <cellStyle name="Обычный 10 54 2 4" xfId="41185"/>
    <cellStyle name="Обычный 10 54 3" xfId="14481"/>
    <cellStyle name="Обычный 10 54 3 2" xfId="46525"/>
    <cellStyle name="Обычный 10 54 4" xfId="25162"/>
    <cellStyle name="Обычный 10 54 4 2" xfId="57205"/>
    <cellStyle name="Обычный 10 54 5" xfId="35845"/>
    <cellStyle name="Обычный 10 55" xfId="3832"/>
    <cellStyle name="Обычный 10 55 2" xfId="9173"/>
    <cellStyle name="Обычный 10 55 2 2" xfId="19853"/>
    <cellStyle name="Обычный 10 55 2 2 2" xfId="51897"/>
    <cellStyle name="Обычный 10 55 2 3" xfId="30534"/>
    <cellStyle name="Обычный 10 55 2 3 2" xfId="62577"/>
    <cellStyle name="Обычный 10 55 2 4" xfId="41217"/>
    <cellStyle name="Обычный 10 55 3" xfId="14513"/>
    <cellStyle name="Обычный 10 55 3 2" xfId="46557"/>
    <cellStyle name="Обычный 10 55 4" xfId="25194"/>
    <cellStyle name="Обычный 10 55 4 2" xfId="57237"/>
    <cellStyle name="Обычный 10 55 5" xfId="35877"/>
    <cellStyle name="Обычный 10 56" xfId="3864"/>
    <cellStyle name="Обычный 10 56 2" xfId="9205"/>
    <cellStyle name="Обычный 10 56 2 2" xfId="19885"/>
    <cellStyle name="Обычный 10 56 2 2 2" xfId="51929"/>
    <cellStyle name="Обычный 10 56 2 3" xfId="30566"/>
    <cellStyle name="Обычный 10 56 2 3 2" xfId="62609"/>
    <cellStyle name="Обычный 10 56 2 4" xfId="41249"/>
    <cellStyle name="Обычный 10 56 3" xfId="14545"/>
    <cellStyle name="Обычный 10 56 3 2" xfId="46589"/>
    <cellStyle name="Обычный 10 56 4" xfId="25226"/>
    <cellStyle name="Обычный 10 56 4 2" xfId="57269"/>
    <cellStyle name="Обычный 10 56 5" xfId="35909"/>
    <cellStyle name="Обычный 10 57" xfId="3896"/>
    <cellStyle name="Обычный 10 57 2" xfId="9237"/>
    <cellStyle name="Обычный 10 57 2 2" xfId="19917"/>
    <cellStyle name="Обычный 10 57 2 2 2" xfId="51961"/>
    <cellStyle name="Обычный 10 57 2 3" xfId="30598"/>
    <cellStyle name="Обычный 10 57 2 3 2" xfId="62641"/>
    <cellStyle name="Обычный 10 57 2 4" xfId="41281"/>
    <cellStyle name="Обычный 10 57 3" xfId="14577"/>
    <cellStyle name="Обычный 10 57 3 2" xfId="46621"/>
    <cellStyle name="Обычный 10 57 4" xfId="25258"/>
    <cellStyle name="Обычный 10 57 4 2" xfId="57301"/>
    <cellStyle name="Обычный 10 57 5" xfId="35941"/>
    <cellStyle name="Обычный 10 58" xfId="3928"/>
    <cellStyle name="Обычный 10 58 2" xfId="9269"/>
    <cellStyle name="Обычный 10 58 2 2" xfId="19949"/>
    <cellStyle name="Обычный 10 58 2 2 2" xfId="51993"/>
    <cellStyle name="Обычный 10 58 2 3" xfId="30630"/>
    <cellStyle name="Обычный 10 58 2 3 2" xfId="62673"/>
    <cellStyle name="Обычный 10 58 2 4" xfId="41313"/>
    <cellStyle name="Обычный 10 58 3" xfId="14609"/>
    <cellStyle name="Обычный 10 58 3 2" xfId="46653"/>
    <cellStyle name="Обычный 10 58 4" xfId="25290"/>
    <cellStyle name="Обычный 10 58 4 2" xfId="57333"/>
    <cellStyle name="Обычный 10 58 5" xfId="35973"/>
    <cellStyle name="Обычный 10 59" xfId="3960"/>
    <cellStyle name="Обычный 10 59 2" xfId="9301"/>
    <cellStyle name="Обычный 10 59 2 2" xfId="19981"/>
    <cellStyle name="Обычный 10 59 2 2 2" xfId="52025"/>
    <cellStyle name="Обычный 10 59 2 3" xfId="30662"/>
    <cellStyle name="Обычный 10 59 2 3 2" xfId="62705"/>
    <cellStyle name="Обычный 10 59 2 4" xfId="41345"/>
    <cellStyle name="Обычный 10 59 3" xfId="14641"/>
    <cellStyle name="Обычный 10 59 3 2" xfId="46685"/>
    <cellStyle name="Обычный 10 59 4" xfId="25322"/>
    <cellStyle name="Обычный 10 59 4 2" xfId="57365"/>
    <cellStyle name="Обычный 10 59 5" xfId="36005"/>
    <cellStyle name="Обычный 10 6" xfId="2273"/>
    <cellStyle name="Обычный 10 6 2" xfId="7615"/>
    <cellStyle name="Обычный 10 6 2 2" xfId="18295"/>
    <cellStyle name="Обычный 10 6 2 2 2" xfId="50339"/>
    <cellStyle name="Обычный 10 6 2 3" xfId="28976"/>
    <cellStyle name="Обычный 10 6 2 3 2" xfId="61019"/>
    <cellStyle name="Обычный 10 6 2 4" xfId="39659"/>
    <cellStyle name="Обычный 10 6 3" xfId="12955"/>
    <cellStyle name="Обычный 10 6 3 2" xfId="44999"/>
    <cellStyle name="Обычный 10 6 4" xfId="23636"/>
    <cellStyle name="Обычный 10 6 4 2" xfId="55679"/>
    <cellStyle name="Обычный 10 6 5" xfId="34319"/>
    <cellStyle name="Обычный 10 60" xfId="3992"/>
    <cellStyle name="Обычный 10 60 2" xfId="9333"/>
    <cellStyle name="Обычный 10 60 2 2" xfId="20013"/>
    <cellStyle name="Обычный 10 60 2 2 2" xfId="52057"/>
    <cellStyle name="Обычный 10 60 2 3" xfId="30694"/>
    <cellStyle name="Обычный 10 60 2 3 2" xfId="62737"/>
    <cellStyle name="Обычный 10 60 2 4" xfId="41377"/>
    <cellStyle name="Обычный 10 60 3" xfId="14673"/>
    <cellStyle name="Обычный 10 60 3 2" xfId="46717"/>
    <cellStyle name="Обычный 10 60 4" xfId="25354"/>
    <cellStyle name="Обычный 10 60 4 2" xfId="57397"/>
    <cellStyle name="Обычный 10 60 5" xfId="36037"/>
    <cellStyle name="Обычный 10 61" xfId="4024"/>
    <cellStyle name="Обычный 10 61 2" xfId="9365"/>
    <cellStyle name="Обычный 10 61 2 2" xfId="20045"/>
    <cellStyle name="Обычный 10 61 2 2 2" xfId="52089"/>
    <cellStyle name="Обычный 10 61 2 3" xfId="30726"/>
    <cellStyle name="Обычный 10 61 2 3 2" xfId="62769"/>
    <cellStyle name="Обычный 10 61 2 4" xfId="41409"/>
    <cellStyle name="Обычный 10 61 3" xfId="14705"/>
    <cellStyle name="Обычный 10 61 3 2" xfId="46749"/>
    <cellStyle name="Обычный 10 61 4" xfId="25386"/>
    <cellStyle name="Обычный 10 61 4 2" xfId="57429"/>
    <cellStyle name="Обычный 10 61 5" xfId="36069"/>
    <cellStyle name="Обычный 10 62" xfId="4056"/>
    <cellStyle name="Обычный 10 62 2" xfId="9397"/>
    <cellStyle name="Обычный 10 62 2 2" xfId="20077"/>
    <cellStyle name="Обычный 10 62 2 2 2" xfId="52121"/>
    <cellStyle name="Обычный 10 62 2 3" xfId="30758"/>
    <cellStyle name="Обычный 10 62 2 3 2" xfId="62801"/>
    <cellStyle name="Обычный 10 62 2 4" xfId="41441"/>
    <cellStyle name="Обычный 10 62 3" xfId="14737"/>
    <cellStyle name="Обычный 10 62 3 2" xfId="46781"/>
    <cellStyle name="Обычный 10 62 4" xfId="25418"/>
    <cellStyle name="Обычный 10 62 4 2" xfId="57461"/>
    <cellStyle name="Обычный 10 62 5" xfId="36101"/>
    <cellStyle name="Обычный 10 63" xfId="4088"/>
    <cellStyle name="Обычный 10 63 2" xfId="9429"/>
    <cellStyle name="Обычный 10 63 2 2" xfId="20109"/>
    <cellStyle name="Обычный 10 63 2 2 2" xfId="52153"/>
    <cellStyle name="Обычный 10 63 2 3" xfId="30790"/>
    <cellStyle name="Обычный 10 63 2 3 2" xfId="62833"/>
    <cellStyle name="Обычный 10 63 2 4" xfId="41473"/>
    <cellStyle name="Обычный 10 63 3" xfId="14769"/>
    <cellStyle name="Обычный 10 63 3 2" xfId="46813"/>
    <cellStyle name="Обычный 10 63 4" xfId="25450"/>
    <cellStyle name="Обычный 10 63 4 2" xfId="57493"/>
    <cellStyle name="Обычный 10 63 5" xfId="36133"/>
    <cellStyle name="Обычный 10 64" xfId="4120"/>
    <cellStyle name="Обычный 10 64 2" xfId="9461"/>
    <cellStyle name="Обычный 10 64 2 2" xfId="20141"/>
    <cellStyle name="Обычный 10 64 2 2 2" xfId="52185"/>
    <cellStyle name="Обычный 10 64 2 3" xfId="30822"/>
    <cellStyle name="Обычный 10 64 2 3 2" xfId="62865"/>
    <cellStyle name="Обычный 10 64 2 4" xfId="41505"/>
    <cellStyle name="Обычный 10 64 3" xfId="14801"/>
    <cellStyle name="Обычный 10 64 3 2" xfId="46845"/>
    <cellStyle name="Обычный 10 64 4" xfId="25482"/>
    <cellStyle name="Обычный 10 64 4 2" xfId="57525"/>
    <cellStyle name="Обычный 10 64 5" xfId="36165"/>
    <cellStyle name="Обычный 10 65" xfId="4152"/>
    <cellStyle name="Обычный 10 65 2" xfId="9493"/>
    <cellStyle name="Обычный 10 65 2 2" xfId="20173"/>
    <cellStyle name="Обычный 10 65 2 2 2" xfId="52217"/>
    <cellStyle name="Обычный 10 65 2 3" xfId="30854"/>
    <cellStyle name="Обычный 10 65 2 3 2" xfId="62897"/>
    <cellStyle name="Обычный 10 65 2 4" xfId="41537"/>
    <cellStyle name="Обычный 10 65 3" xfId="14833"/>
    <cellStyle name="Обычный 10 65 3 2" xfId="46877"/>
    <cellStyle name="Обычный 10 65 4" xfId="25514"/>
    <cellStyle name="Обычный 10 65 4 2" xfId="57557"/>
    <cellStyle name="Обычный 10 65 5" xfId="36197"/>
    <cellStyle name="Обычный 10 66" xfId="4184"/>
    <cellStyle name="Обычный 10 66 2" xfId="9525"/>
    <cellStyle name="Обычный 10 66 2 2" xfId="20205"/>
    <cellStyle name="Обычный 10 66 2 2 2" xfId="52249"/>
    <cellStyle name="Обычный 10 66 2 3" xfId="30886"/>
    <cellStyle name="Обычный 10 66 2 3 2" xfId="62929"/>
    <cellStyle name="Обычный 10 66 2 4" xfId="41569"/>
    <cellStyle name="Обычный 10 66 3" xfId="14865"/>
    <cellStyle name="Обычный 10 66 3 2" xfId="46909"/>
    <cellStyle name="Обычный 10 66 4" xfId="25546"/>
    <cellStyle name="Обычный 10 66 4 2" xfId="57589"/>
    <cellStyle name="Обычный 10 66 5" xfId="36229"/>
    <cellStyle name="Обычный 10 67" xfId="4216"/>
    <cellStyle name="Обычный 10 67 2" xfId="9557"/>
    <cellStyle name="Обычный 10 67 2 2" xfId="20237"/>
    <cellStyle name="Обычный 10 67 2 2 2" xfId="52281"/>
    <cellStyle name="Обычный 10 67 2 3" xfId="30918"/>
    <cellStyle name="Обычный 10 67 2 3 2" xfId="62961"/>
    <cellStyle name="Обычный 10 67 2 4" xfId="41601"/>
    <cellStyle name="Обычный 10 67 3" xfId="14897"/>
    <cellStyle name="Обычный 10 67 3 2" xfId="46941"/>
    <cellStyle name="Обычный 10 67 4" xfId="25578"/>
    <cellStyle name="Обычный 10 67 4 2" xfId="57621"/>
    <cellStyle name="Обычный 10 67 5" xfId="36261"/>
    <cellStyle name="Обычный 10 68" xfId="4248"/>
    <cellStyle name="Обычный 10 68 2" xfId="9589"/>
    <cellStyle name="Обычный 10 68 2 2" xfId="20269"/>
    <cellStyle name="Обычный 10 68 2 2 2" xfId="52313"/>
    <cellStyle name="Обычный 10 68 2 3" xfId="30950"/>
    <cellStyle name="Обычный 10 68 2 3 2" xfId="62993"/>
    <cellStyle name="Обычный 10 68 2 4" xfId="41633"/>
    <cellStyle name="Обычный 10 68 3" xfId="14929"/>
    <cellStyle name="Обычный 10 68 3 2" xfId="46973"/>
    <cellStyle name="Обычный 10 68 4" xfId="25610"/>
    <cellStyle name="Обычный 10 68 4 2" xfId="57653"/>
    <cellStyle name="Обычный 10 68 5" xfId="36293"/>
    <cellStyle name="Обычный 10 69" xfId="4280"/>
    <cellStyle name="Обычный 10 69 2" xfId="9621"/>
    <cellStyle name="Обычный 10 69 2 2" xfId="20301"/>
    <cellStyle name="Обычный 10 69 2 2 2" xfId="52345"/>
    <cellStyle name="Обычный 10 69 2 3" xfId="30982"/>
    <cellStyle name="Обычный 10 69 2 3 2" xfId="63025"/>
    <cellStyle name="Обычный 10 69 2 4" xfId="41665"/>
    <cellStyle name="Обычный 10 69 3" xfId="14961"/>
    <cellStyle name="Обычный 10 69 3 2" xfId="47005"/>
    <cellStyle name="Обычный 10 69 4" xfId="25642"/>
    <cellStyle name="Обычный 10 69 4 2" xfId="57685"/>
    <cellStyle name="Обычный 10 69 5" xfId="36325"/>
    <cellStyle name="Обычный 10 7" xfId="2303"/>
    <cellStyle name="Обычный 10 7 2" xfId="7645"/>
    <cellStyle name="Обычный 10 7 2 2" xfId="18325"/>
    <cellStyle name="Обычный 10 7 2 2 2" xfId="50369"/>
    <cellStyle name="Обычный 10 7 2 3" xfId="29006"/>
    <cellStyle name="Обычный 10 7 2 3 2" xfId="61049"/>
    <cellStyle name="Обычный 10 7 2 4" xfId="39689"/>
    <cellStyle name="Обычный 10 7 3" xfId="12985"/>
    <cellStyle name="Обычный 10 7 3 2" xfId="45029"/>
    <cellStyle name="Обычный 10 7 4" xfId="23666"/>
    <cellStyle name="Обычный 10 7 4 2" xfId="55709"/>
    <cellStyle name="Обычный 10 7 5" xfId="34349"/>
    <cellStyle name="Обычный 10 70" xfId="4312"/>
    <cellStyle name="Обычный 10 70 2" xfId="9653"/>
    <cellStyle name="Обычный 10 70 2 2" xfId="20333"/>
    <cellStyle name="Обычный 10 70 2 2 2" xfId="52377"/>
    <cellStyle name="Обычный 10 70 2 3" xfId="31014"/>
    <cellStyle name="Обычный 10 70 2 3 2" xfId="63057"/>
    <cellStyle name="Обычный 10 70 2 4" xfId="41697"/>
    <cellStyle name="Обычный 10 70 3" xfId="14993"/>
    <cellStyle name="Обычный 10 70 3 2" xfId="47037"/>
    <cellStyle name="Обычный 10 70 4" xfId="25674"/>
    <cellStyle name="Обычный 10 70 4 2" xfId="57717"/>
    <cellStyle name="Обычный 10 70 5" xfId="36357"/>
    <cellStyle name="Обычный 10 71" xfId="4344"/>
    <cellStyle name="Обычный 10 71 2" xfId="9685"/>
    <cellStyle name="Обычный 10 71 2 2" xfId="20365"/>
    <cellStyle name="Обычный 10 71 2 2 2" xfId="52409"/>
    <cellStyle name="Обычный 10 71 2 3" xfId="31046"/>
    <cellStyle name="Обычный 10 71 2 3 2" xfId="63089"/>
    <cellStyle name="Обычный 10 71 2 4" xfId="41729"/>
    <cellStyle name="Обычный 10 71 3" xfId="15025"/>
    <cellStyle name="Обычный 10 71 3 2" xfId="47069"/>
    <cellStyle name="Обычный 10 71 4" xfId="25706"/>
    <cellStyle name="Обычный 10 71 4 2" xfId="57749"/>
    <cellStyle name="Обычный 10 71 5" xfId="36389"/>
    <cellStyle name="Обычный 10 72" xfId="4376"/>
    <cellStyle name="Обычный 10 72 2" xfId="9717"/>
    <cellStyle name="Обычный 10 72 2 2" xfId="20397"/>
    <cellStyle name="Обычный 10 72 2 2 2" xfId="52441"/>
    <cellStyle name="Обычный 10 72 2 3" xfId="31078"/>
    <cellStyle name="Обычный 10 72 2 3 2" xfId="63121"/>
    <cellStyle name="Обычный 10 72 2 4" xfId="41761"/>
    <cellStyle name="Обычный 10 72 3" xfId="15057"/>
    <cellStyle name="Обычный 10 72 3 2" xfId="47101"/>
    <cellStyle name="Обычный 10 72 4" xfId="25738"/>
    <cellStyle name="Обычный 10 72 4 2" xfId="57781"/>
    <cellStyle name="Обычный 10 72 5" xfId="36421"/>
    <cellStyle name="Обычный 10 73" xfId="4408"/>
    <cellStyle name="Обычный 10 73 2" xfId="9749"/>
    <cellStyle name="Обычный 10 73 2 2" xfId="20429"/>
    <cellStyle name="Обычный 10 73 2 2 2" xfId="52473"/>
    <cellStyle name="Обычный 10 73 2 3" xfId="31110"/>
    <cellStyle name="Обычный 10 73 2 3 2" xfId="63153"/>
    <cellStyle name="Обычный 10 73 2 4" xfId="41793"/>
    <cellStyle name="Обычный 10 73 3" xfId="15089"/>
    <cellStyle name="Обычный 10 73 3 2" xfId="47133"/>
    <cellStyle name="Обычный 10 73 4" xfId="25770"/>
    <cellStyle name="Обычный 10 73 4 2" xfId="57813"/>
    <cellStyle name="Обычный 10 73 5" xfId="36453"/>
    <cellStyle name="Обычный 10 74" xfId="4440"/>
    <cellStyle name="Обычный 10 74 2" xfId="9781"/>
    <cellStyle name="Обычный 10 74 2 2" xfId="20461"/>
    <cellStyle name="Обычный 10 74 2 2 2" xfId="52505"/>
    <cellStyle name="Обычный 10 74 2 3" xfId="31142"/>
    <cellStyle name="Обычный 10 74 2 3 2" xfId="63185"/>
    <cellStyle name="Обычный 10 74 2 4" xfId="41825"/>
    <cellStyle name="Обычный 10 74 3" xfId="15121"/>
    <cellStyle name="Обычный 10 74 3 2" xfId="47165"/>
    <cellStyle name="Обычный 10 74 4" xfId="25802"/>
    <cellStyle name="Обычный 10 74 4 2" xfId="57845"/>
    <cellStyle name="Обычный 10 74 5" xfId="36485"/>
    <cellStyle name="Обычный 10 75" xfId="4472"/>
    <cellStyle name="Обычный 10 75 2" xfId="9813"/>
    <cellStyle name="Обычный 10 75 2 2" xfId="20493"/>
    <cellStyle name="Обычный 10 75 2 2 2" xfId="52537"/>
    <cellStyle name="Обычный 10 75 2 3" xfId="31174"/>
    <cellStyle name="Обычный 10 75 2 3 2" xfId="63217"/>
    <cellStyle name="Обычный 10 75 2 4" xfId="41857"/>
    <cellStyle name="Обычный 10 75 3" xfId="15153"/>
    <cellStyle name="Обычный 10 75 3 2" xfId="47197"/>
    <cellStyle name="Обычный 10 75 4" xfId="25834"/>
    <cellStyle name="Обычный 10 75 4 2" xfId="57877"/>
    <cellStyle name="Обычный 10 75 5" xfId="36517"/>
    <cellStyle name="Обычный 10 76" xfId="4504"/>
    <cellStyle name="Обычный 10 76 2" xfId="9845"/>
    <cellStyle name="Обычный 10 76 2 2" xfId="20525"/>
    <cellStyle name="Обычный 10 76 2 2 2" xfId="52569"/>
    <cellStyle name="Обычный 10 76 2 3" xfId="31206"/>
    <cellStyle name="Обычный 10 76 2 3 2" xfId="63249"/>
    <cellStyle name="Обычный 10 76 2 4" xfId="41889"/>
    <cellStyle name="Обычный 10 76 3" xfId="15185"/>
    <cellStyle name="Обычный 10 76 3 2" xfId="47229"/>
    <cellStyle name="Обычный 10 76 4" xfId="25866"/>
    <cellStyle name="Обычный 10 76 4 2" xfId="57909"/>
    <cellStyle name="Обычный 10 76 5" xfId="36549"/>
    <cellStyle name="Обычный 10 77" xfId="4536"/>
    <cellStyle name="Обычный 10 77 2" xfId="9877"/>
    <cellStyle name="Обычный 10 77 2 2" xfId="20557"/>
    <cellStyle name="Обычный 10 77 2 2 2" xfId="52601"/>
    <cellStyle name="Обычный 10 77 2 3" xfId="31238"/>
    <cellStyle name="Обычный 10 77 2 3 2" xfId="63281"/>
    <cellStyle name="Обычный 10 77 2 4" xfId="41921"/>
    <cellStyle name="Обычный 10 77 3" xfId="15217"/>
    <cellStyle name="Обычный 10 77 3 2" xfId="47261"/>
    <cellStyle name="Обычный 10 77 4" xfId="25898"/>
    <cellStyle name="Обычный 10 77 4 2" xfId="57941"/>
    <cellStyle name="Обычный 10 77 5" xfId="36581"/>
    <cellStyle name="Обычный 10 78" xfId="4568"/>
    <cellStyle name="Обычный 10 78 2" xfId="9909"/>
    <cellStyle name="Обычный 10 78 2 2" xfId="20589"/>
    <cellStyle name="Обычный 10 78 2 2 2" xfId="52633"/>
    <cellStyle name="Обычный 10 78 2 3" xfId="31270"/>
    <cellStyle name="Обычный 10 78 2 3 2" xfId="63313"/>
    <cellStyle name="Обычный 10 78 2 4" xfId="41953"/>
    <cellStyle name="Обычный 10 78 3" xfId="15249"/>
    <cellStyle name="Обычный 10 78 3 2" xfId="47293"/>
    <cellStyle name="Обычный 10 78 4" xfId="25930"/>
    <cellStyle name="Обычный 10 78 4 2" xfId="57973"/>
    <cellStyle name="Обычный 10 78 5" xfId="36613"/>
    <cellStyle name="Обычный 10 79" xfId="4600"/>
    <cellStyle name="Обычный 10 79 2" xfId="9941"/>
    <cellStyle name="Обычный 10 79 2 2" xfId="20621"/>
    <cellStyle name="Обычный 10 79 2 2 2" xfId="52665"/>
    <cellStyle name="Обычный 10 79 2 3" xfId="31302"/>
    <cellStyle name="Обычный 10 79 2 3 2" xfId="63345"/>
    <cellStyle name="Обычный 10 79 2 4" xfId="41985"/>
    <cellStyle name="Обычный 10 79 3" xfId="15281"/>
    <cellStyle name="Обычный 10 79 3 2" xfId="47325"/>
    <cellStyle name="Обычный 10 79 4" xfId="25962"/>
    <cellStyle name="Обычный 10 79 4 2" xfId="58005"/>
    <cellStyle name="Обычный 10 79 5" xfId="36645"/>
    <cellStyle name="Обычный 10 8" xfId="2333"/>
    <cellStyle name="Обычный 10 8 2" xfId="7675"/>
    <cellStyle name="Обычный 10 8 2 2" xfId="18355"/>
    <cellStyle name="Обычный 10 8 2 2 2" xfId="50399"/>
    <cellStyle name="Обычный 10 8 2 3" xfId="29036"/>
    <cellStyle name="Обычный 10 8 2 3 2" xfId="61079"/>
    <cellStyle name="Обычный 10 8 2 4" xfId="39719"/>
    <cellStyle name="Обычный 10 8 3" xfId="13015"/>
    <cellStyle name="Обычный 10 8 3 2" xfId="45059"/>
    <cellStyle name="Обычный 10 8 4" xfId="23696"/>
    <cellStyle name="Обычный 10 8 4 2" xfId="55739"/>
    <cellStyle name="Обычный 10 8 5" xfId="34379"/>
    <cellStyle name="Обычный 10 80" xfId="4632"/>
    <cellStyle name="Обычный 10 80 2" xfId="9973"/>
    <cellStyle name="Обычный 10 80 2 2" xfId="20653"/>
    <cellStyle name="Обычный 10 80 2 2 2" xfId="52697"/>
    <cellStyle name="Обычный 10 80 2 3" xfId="31334"/>
    <cellStyle name="Обычный 10 80 2 3 2" xfId="63377"/>
    <cellStyle name="Обычный 10 80 2 4" xfId="42017"/>
    <cellStyle name="Обычный 10 80 3" xfId="15313"/>
    <cellStyle name="Обычный 10 80 3 2" xfId="47357"/>
    <cellStyle name="Обычный 10 80 4" xfId="25994"/>
    <cellStyle name="Обычный 10 80 4 2" xfId="58037"/>
    <cellStyle name="Обычный 10 80 5" xfId="36677"/>
    <cellStyle name="Обычный 10 81" xfId="4664"/>
    <cellStyle name="Обычный 10 81 2" xfId="10005"/>
    <cellStyle name="Обычный 10 81 2 2" xfId="20685"/>
    <cellStyle name="Обычный 10 81 2 2 2" xfId="52729"/>
    <cellStyle name="Обычный 10 81 2 3" xfId="31366"/>
    <cellStyle name="Обычный 10 81 2 3 2" xfId="63409"/>
    <cellStyle name="Обычный 10 81 2 4" xfId="42049"/>
    <cellStyle name="Обычный 10 81 3" xfId="15345"/>
    <cellStyle name="Обычный 10 81 3 2" xfId="47389"/>
    <cellStyle name="Обычный 10 81 4" xfId="26026"/>
    <cellStyle name="Обычный 10 81 4 2" xfId="58069"/>
    <cellStyle name="Обычный 10 81 5" xfId="36709"/>
    <cellStyle name="Обычный 10 82" xfId="4696"/>
    <cellStyle name="Обычный 10 82 2" xfId="10037"/>
    <cellStyle name="Обычный 10 82 2 2" xfId="20717"/>
    <cellStyle name="Обычный 10 82 2 2 2" xfId="52761"/>
    <cellStyle name="Обычный 10 82 2 3" xfId="31398"/>
    <cellStyle name="Обычный 10 82 2 3 2" xfId="63441"/>
    <cellStyle name="Обычный 10 82 2 4" xfId="42081"/>
    <cellStyle name="Обычный 10 82 3" xfId="15377"/>
    <cellStyle name="Обычный 10 82 3 2" xfId="47421"/>
    <cellStyle name="Обычный 10 82 4" xfId="26058"/>
    <cellStyle name="Обычный 10 82 4 2" xfId="58101"/>
    <cellStyle name="Обычный 10 82 5" xfId="36741"/>
    <cellStyle name="Обычный 10 83" xfId="4730"/>
    <cellStyle name="Обычный 10 83 2" xfId="10071"/>
    <cellStyle name="Обычный 10 83 2 2" xfId="20751"/>
    <cellStyle name="Обычный 10 83 2 2 2" xfId="52795"/>
    <cellStyle name="Обычный 10 83 2 3" xfId="31432"/>
    <cellStyle name="Обычный 10 83 2 3 2" xfId="63475"/>
    <cellStyle name="Обычный 10 83 2 4" xfId="42115"/>
    <cellStyle name="Обычный 10 83 3" xfId="15411"/>
    <cellStyle name="Обычный 10 83 3 2" xfId="47455"/>
    <cellStyle name="Обычный 10 83 4" xfId="26092"/>
    <cellStyle name="Обычный 10 83 4 2" xfId="58135"/>
    <cellStyle name="Обычный 10 83 5" xfId="36775"/>
    <cellStyle name="Обычный 10 84" xfId="4762"/>
    <cellStyle name="Обычный 10 84 2" xfId="10103"/>
    <cellStyle name="Обычный 10 84 2 2" xfId="20783"/>
    <cellStyle name="Обычный 10 84 2 2 2" xfId="52827"/>
    <cellStyle name="Обычный 10 84 2 3" xfId="31464"/>
    <cellStyle name="Обычный 10 84 2 3 2" xfId="63507"/>
    <cellStyle name="Обычный 10 84 2 4" xfId="42147"/>
    <cellStyle name="Обычный 10 84 3" xfId="15443"/>
    <cellStyle name="Обычный 10 84 3 2" xfId="47487"/>
    <cellStyle name="Обычный 10 84 4" xfId="26124"/>
    <cellStyle name="Обычный 10 84 4 2" xfId="58167"/>
    <cellStyle name="Обычный 10 84 5" xfId="36807"/>
    <cellStyle name="Обычный 10 85" xfId="4794"/>
    <cellStyle name="Обычный 10 85 2" xfId="10135"/>
    <cellStyle name="Обычный 10 85 2 2" xfId="20815"/>
    <cellStyle name="Обычный 10 85 2 2 2" xfId="52859"/>
    <cellStyle name="Обычный 10 85 2 3" xfId="31496"/>
    <cellStyle name="Обычный 10 85 2 3 2" xfId="63539"/>
    <cellStyle name="Обычный 10 85 2 4" xfId="42179"/>
    <cellStyle name="Обычный 10 85 3" xfId="15475"/>
    <cellStyle name="Обычный 10 85 3 2" xfId="47519"/>
    <cellStyle name="Обычный 10 85 4" xfId="26156"/>
    <cellStyle name="Обычный 10 85 4 2" xfId="58199"/>
    <cellStyle name="Обычный 10 85 5" xfId="36839"/>
    <cellStyle name="Обычный 10 86" xfId="4826"/>
    <cellStyle name="Обычный 10 86 2" xfId="10167"/>
    <cellStyle name="Обычный 10 86 2 2" xfId="20847"/>
    <cellStyle name="Обычный 10 86 2 2 2" xfId="52891"/>
    <cellStyle name="Обычный 10 86 2 3" xfId="31528"/>
    <cellStyle name="Обычный 10 86 2 3 2" xfId="63571"/>
    <cellStyle name="Обычный 10 86 2 4" xfId="42211"/>
    <cellStyle name="Обычный 10 86 3" xfId="15507"/>
    <cellStyle name="Обычный 10 86 3 2" xfId="47551"/>
    <cellStyle name="Обычный 10 86 4" xfId="26188"/>
    <cellStyle name="Обычный 10 86 4 2" xfId="58231"/>
    <cellStyle name="Обычный 10 86 5" xfId="36871"/>
    <cellStyle name="Обычный 10 87" xfId="4858"/>
    <cellStyle name="Обычный 10 87 2" xfId="10199"/>
    <cellStyle name="Обычный 10 87 2 2" xfId="20879"/>
    <cellStyle name="Обычный 10 87 2 2 2" xfId="52923"/>
    <cellStyle name="Обычный 10 87 2 3" xfId="31560"/>
    <cellStyle name="Обычный 10 87 2 3 2" xfId="63603"/>
    <cellStyle name="Обычный 10 87 2 4" xfId="42243"/>
    <cellStyle name="Обычный 10 87 3" xfId="15539"/>
    <cellStyle name="Обычный 10 87 3 2" xfId="47583"/>
    <cellStyle name="Обычный 10 87 4" xfId="26220"/>
    <cellStyle name="Обычный 10 87 4 2" xfId="58263"/>
    <cellStyle name="Обычный 10 87 5" xfId="36903"/>
    <cellStyle name="Обычный 10 88" xfId="4890"/>
    <cellStyle name="Обычный 10 88 2" xfId="10231"/>
    <cellStyle name="Обычный 10 88 2 2" xfId="20911"/>
    <cellStyle name="Обычный 10 88 2 2 2" xfId="52955"/>
    <cellStyle name="Обычный 10 88 2 3" xfId="31592"/>
    <cellStyle name="Обычный 10 88 2 3 2" xfId="63635"/>
    <cellStyle name="Обычный 10 88 2 4" xfId="42275"/>
    <cellStyle name="Обычный 10 88 3" xfId="15571"/>
    <cellStyle name="Обычный 10 88 3 2" xfId="47615"/>
    <cellStyle name="Обычный 10 88 4" xfId="26252"/>
    <cellStyle name="Обычный 10 88 4 2" xfId="58295"/>
    <cellStyle name="Обычный 10 88 5" xfId="36935"/>
    <cellStyle name="Обычный 10 89" xfId="4922"/>
    <cellStyle name="Обычный 10 89 2" xfId="10263"/>
    <cellStyle name="Обычный 10 89 2 2" xfId="20943"/>
    <cellStyle name="Обычный 10 89 2 2 2" xfId="52987"/>
    <cellStyle name="Обычный 10 89 2 3" xfId="31624"/>
    <cellStyle name="Обычный 10 89 2 3 2" xfId="63667"/>
    <cellStyle name="Обычный 10 89 2 4" xfId="42307"/>
    <cellStyle name="Обычный 10 89 3" xfId="15603"/>
    <cellStyle name="Обычный 10 89 3 2" xfId="47647"/>
    <cellStyle name="Обычный 10 89 4" xfId="26284"/>
    <cellStyle name="Обычный 10 89 4 2" xfId="58327"/>
    <cellStyle name="Обычный 10 89 5" xfId="36967"/>
    <cellStyle name="Обычный 10 9" xfId="2363"/>
    <cellStyle name="Обычный 10 9 2" xfId="7705"/>
    <cellStyle name="Обычный 10 9 2 2" xfId="18385"/>
    <cellStyle name="Обычный 10 9 2 2 2" xfId="50429"/>
    <cellStyle name="Обычный 10 9 2 3" xfId="29066"/>
    <cellStyle name="Обычный 10 9 2 3 2" xfId="61109"/>
    <cellStyle name="Обычный 10 9 2 4" xfId="39749"/>
    <cellStyle name="Обычный 10 9 3" xfId="13045"/>
    <cellStyle name="Обычный 10 9 3 2" xfId="45089"/>
    <cellStyle name="Обычный 10 9 4" xfId="23726"/>
    <cellStyle name="Обычный 10 9 4 2" xfId="55769"/>
    <cellStyle name="Обычный 10 9 5" xfId="34409"/>
    <cellStyle name="Обычный 10 90" xfId="4954"/>
    <cellStyle name="Обычный 10 90 2" xfId="10295"/>
    <cellStyle name="Обычный 10 90 2 2" xfId="20975"/>
    <cellStyle name="Обычный 10 90 2 2 2" xfId="53019"/>
    <cellStyle name="Обычный 10 90 2 3" xfId="31656"/>
    <cellStyle name="Обычный 10 90 2 3 2" xfId="63699"/>
    <cellStyle name="Обычный 10 90 2 4" xfId="42339"/>
    <cellStyle name="Обычный 10 90 3" xfId="15635"/>
    <cellStyle name="Обычный 10 90 3 2" xfId="47679"/>
    <cellStyle name="Обычный 10 90 4" xfId="26316"/>
    <cellStyle name="Обычный 10 90 4 2" xfId="58359"/>
    <cellStyle name="Обычный 10 90 5" xfId="36999"/>
    <cellStyle name="Обычный 10 91" xfId="4986"/>
    <cellStyle name="Обычный 10 91 2" xfId="10327"/>
    <cellStyle name="Обычный 10 91 2 2" xfId="21007"/>
    <cellStyle name="Обычный 10 91 2 2 2" xfId="53051"/>
    <cellStyle name="Обычный 10 91 2 3" xfId="31688"/>
    <cellStyle name="Обычный 10 91 2 3 2" xfId="63731"/>
    <cellStyle name="Обычный 10 91 2 4" xfId="42371"/>
    <cellStyle name="Обычный 10 91 3" xfId="15667"/>
    <cellStyle name="Обычный 10 91 3 2" xfId="47711"/>
    <cellStyle name="Обычный 10 91 4" xfId="26348"/>
    <cellStyle name="Обычный 10 91 4 2" xfId="58391"/>
    <cellStyle name="Обычный 10 91 5" xfId="37031"/>
    <cellStyle name="Обычный 10 92" xfId="5018"/>
    <cellStyle name="Обычный 10 92 2" xfId="10359"/>
    <cellStyle name="Обычный 10 92 2 2" xfId="21039"/>
    <cellStyle name="Обычный 10 92 2 2 2" xfId="53083"/>
    <cellStyle name="Обычный 10 92 2 3" xfId="31720"/>
    <cellStyle name="Обычный 10 92 2 3 2" xfId="63763"/>
    <cellStyle name="Обычный 10 92 2 4" xfId="42403"/>
    <cellStyle name="Обычный 10 92 3" xfId="15699"/>
    <cellStyle name="Обычный 10 92 3 2" xfId="47743"/>
    <cellStyle name="Обычный 10 92 4" xfId="26380"/>
    <cellStyle name="Обычный 10 92 4 2" xfId="58423"/>
    <cellStyle name="Обычный 10 92 5" xfId="37063"/>
    <cellStyle name="Обычный 10 93" xfId="5050"/>
    <cellStyle name="Обычный 10 93 2" xfId="10391"/>
    <cellStyle name="Обычный 10 93 2 2" xfId="21071"/>
    <cellStyle name="Обычный 10 93 2 2 2" xfId="53115"/>
    <cellStyle name="Обычный 10 93 2 3" xfId="31752"/>
    <cellStyle name="Обычный 10 93 2 3 2" xfId="63795"/>
    <cellStyle name="Обычный 10 93 2 4" xfId="42435"/>
    <cellStyle name="Обычный 10 93 3" xfId="15731"/>
    <cellStyle name="Обычный 10 93 3 2" xfId="47775"/>
    <cellStyle name="Обычный 10 93 4" xfId="26412"/>
    <cellStyle name="Обычный 10 93 4 2" xfId="58455"/>
    <cellStyle name="Обычный 10 93 5" xfId="37095"/>
    <cellStyle name="Обычный 10 94" xfId="5082"/>
    <cellStyle name="Обычный 10 94 2" xfId="10423"/>
    <cellStyle name="Обычный 10 94 2 2" xfId="21103"/>
    <cellStyle name="Обычный 10 94 2 2 2" xfId="53147"/>
    <cellStyle name="Обычный 10 94 2 3" xfId="31784"/>
    <cellStyle name="Обычный 10 94 2 3 2" xfId="63827"/>
    <cellStyle name="Обычный 10 94 2 4" xfId="42467"/>
    <cellStyle name="Обычный 10 94 3" xfId="15763"/>
    <cellStyle name="Обычный 10 94 3 2" xfId="47807"/>
    <cellStyle name="Обычный 10 94 4" xfId="26444"/>
    <cellStyle name="Обычный 10 94 4 2" xfId="58487"/>
    <cellStyle name="Обычный 10 94 5" xfId="37127"/>
    <cellStyle name="Обычный 10 95" xfId="5114"/>
    <cellStyle name="Обычный 10 95 2" xfId="10455"/>
    <cellStyle name="Обычный 10 95 2 2" xfId="21135"/>
    <cellStyle name="Обычный 10 95 2 2 2" xfId="53179"/>
    <cellStyle name="Обычный 10 95 2 3" xfId="31816"/>
    <cellStyle name="Обычный 10 95 2 3 2" xfId="63859"/>
    <cellStyle name="Обычный 10 95 2 4" xfId="42499"/>
    <cellStyle name="Обычный 10 95 3" xfId="15795"/>
    <cellStyle name="Обычный 10 95 3 2" xfId="47839"/>
    <cellStyle name="Обычный 10 95 4" xfId="26476"/>
    <cellStyle name="Обычный 10 95 4 2" xfId="58519"/>
    <cellStyle name="Обычный 10 95 5" xfId="37159"/>
    <cellStyle name="Обычный 10 96" xfId="5146"/>
    <cellStyle name="Обычный 10 96 2" xfId="10487"/>
    <cellStyle name="Обычный 10 96 2 2" xfId="21167"/>
    <cellStyle name="Обычный 10 96 2 2 2" xfId="53211"/>
    <cellStyle name="Обычный 10 96 2 3" xfId="31848"/>
    <cellStyle name="Обычный 10 96 2 3 2" xfId="63891"/>
    <cellStyle name="Обычный 10 96 2 4" xfId="42531"/>
    <cellStyle name="Обычный 10 96 3" xfId="15827"/>
    <cellStyle name="Обычный 10 96 3 2" xfId="47871"/>
    <cellStyle name="Обычный 10 96 4" xfId="26508"/>
    <cellStyle name="Обычный 10 96 4 2" xfId="58551"/>
    <cellStyle name="Обычный 10 96 5" xfId="37191"/>
    <cellStyle name="Обычный 10 97" xfId="5178"/>
    <cellStyle name="Обычный 10 97 2" xfId="10519"/>
    <cellStyle name="Обычный 10 97 2 2" xfId="21199"/>
    <cellStyle name="Обычный 10 97 2 2 2" xfId="53243"/>
    <cellStyle name="Обычный 10 97 2 3" xfId="31880"/>
    <cellStyle name="Обычный 10 97 2 3 2" xfId="63923"/>
    <cellStyle name="Обычный 10 97 2 4" xfId="42563"/>
    <cellStyle name="Обычный 10 97 3" xfId="15859"/>
    <cellStyle name="Обычный 10 97 3 2" xfId="47903"/>
    <cellStyle name="Обычный 10 97 4" xfId="26540"/>
    <cellStyle name="Обычный 10 97 4 2" xfId="58583"/>
    <cellStyle name="Обычный 10 97 5" xfId="37223"/>
    <cellStyle name="Обычный 10 98" xfId="5210"/>
    <cellStyle name="Обычный 10 98 2" xfId="10551"/>
    <cellStyle name="Обычный 10 98 2 2" xfId="21231"/>
    <cellStyle name="Обычный 10 98 2 2 2" xfId="53275"/>
    <cellStyle name="Обычный 10 98 2 3" xfId="31912"/>
    <cellStyle name="Обычный 10 98 2 3 2" xfId="63955"/>
    <cellStyle name="Обычный 10 98 2 4" xfId="42595"/>
    <cellStyle name="Обычный 10 98 3" xfId="15891"/>
    <cellStyle name="Обычный 10 98 3 2" xfId="47935"/>
    <cellStyle name="Обычный 10 98 4" xfId="26572"/>
    <cellStyle name="Обычный 10 98 4 2" xfId="58615"/>
    <cellStyle name="Обычный 10 98 5" xfId="37255"/>
    <cellStyle name="Обычный 10 99" xfId="5242"/>
    <cellStyle name="Обычный 10 99 2" xfId="10583"/>
    <cellStyle name="Обычный 10 99 2 2" xfId="21263"/>
    <cellStyle name="Обычный 10 99 2 2 2" xfId="53307"/>
    <cellStyle name="Обычный 10 99 2 3" xfId="31944"/>
    <cellStyle name="Обычный 10 99 2 3 2" xfId="63987"/>
    <cellStyle name="Обычный 10 99 2 4" xfId="42627"/>
    <cellStyle name="Обычный 10 99 3" xfId="15923"/>
    <cellStyle name="Обычный 10 99 3 2" xfId="47967"/>
    <cellStyle name="Обычный 10 99 4" xfId="26604"/>
    <cellStyle name="Обычный 10 99 4 2" xfId="58647"/>
    <cellStyle name="Обычный 10 99 5" xfId="37287"/>
    <cellStyle name="Обычный 11" xfId="2485"/>
    <cellStyle name="Обычный 11 10" xfId="2777"/>
    <cellStyle name="Обычный 11 10 2" xfId="8119"/>
    <cellStyle name="Обычный 11 10 2 2" xfId="18799"/>
    <cellStyle name="Обычный 11 10 2 2 2" xfId="50843"/>
    <cellStyle name="Обычный 11 10 2 3" xfId="29480"/>
    <cellStyle name="Обычный 11 10 2 3 2" xfId="61523"/>
    <cellStyle name="Обычный 11 10 2 4" xfId="40163"/>
    <cellStyle name="Обычный 11 10 3" xfId="13459"/>
    <cellStyle name="Обычный 11 10 3 2" xfId="45503"/>
    <cellStyle name="Обычный 11 10 4" xfId="24140"/>
    <cellStyle name="Обычный 11 10 4 2" xfId="56183"/>
    <cellStyle name="Обычный 11 10 5" xfId="34823"/>
    <cellStyle name="Обычный 11 11" xfId="2809"/>
    <cellStyle name="Обычный 11 11 2" xfId="8151"/>
    <cellStyle name="Обычный 11 11 2 2" xfId="18831"/>
    <cellStyle name="Обычный 11 11 2 2 2" xfId="50875"/>
    <cellStyle name="Обычный 11 11 2 3" xfId="29512"/>
    <cellStyle name="Обычный 11 11 2 3 2" xfId="61555"/>
    <cellStyle name="Обычный 11 11 2 4" xfId="40195"/>
    <cellStyle name="Обычный 11 11 3" xfId="13491"/>
    <cellStyle name="Обычный 11 11 3 2" xfId="45535"/>
    <cellStyle name="Обычный 11 11 4" xfId="24172"/>
    <cellStyle name="Обычный 11 11 4 2" xfId="56215"/>
    <cellStyle name="Обычный 11 11 5" xfId="34855"/>
    <cellStyle name="Обычный 11 12" xfId="2841"/>
    <cellStyle name="Обычный 11 12 2" xfId="8183"/>
    <cellStyle name="Обычный 11 12 2 2" xfId="18863"/>
    <cellStyle name="Обычный 11 12 2 2 2" xfId="50907"/>
    <cellStyle name="Обычный 11 12 2 3" xfId="29544"/>
    <cellStyle name="Обычный 11 12 2 3 2" xfId="61587"/>
    <cellStyle name="Обычный 11 12 2 4" xfId="40227"/>
    <cellStyle name="Обычный 11 12 3" xfId="13523"/>
    <cellStyle name="Обычный 11 12 3 2" xfId="45567"/>
    <cellStyle name="Обычный 11 12 4" xfId="24204"/>
    <cellStyle name="Обычный 11 12 4 2" xfId="56247"/>
    <cellStyle name="Обычный 11 12 5" xfId="34887"/>
    <cellStyle name="Обычный 11 13" xfId="2873"/>
    <cellStyle name="Обычный 11 13 2" xfId="8215"/>
    <cellStyle name="Обычный 11 13 2 2" xfId="18895"/>
    <cellStyle name="Обычный 11 13 2 2 2" xfId="50939"/>
    <cellStyle name="Обычный 11 13 2 3" xfId="29576"/>
    <cellStyle name="Обычный 11 13 2 3 2" xfId="61619"/>
    <cellStyle name="Обычный 11 13 2 4" xfId="40259"/>
    <cellStyle name="Обычный 11 13 3" xfId="13555"/>
    <cellStyle name="Обычный 11 13 3 2" xfId="45599"/>
    <cellStyle name="Обычный 11 13 4" xfId="24236"/>
    <cellStyle name="Обычный 11 13 4 2" xfId="56279"/>
    <cellStyle name="Обычный 11 13 5" xfId="34919"/>
    <cellStyle name="Обычный 11 14" xfId="2905"/>
    <cellStyle name="Обычный 11 14 2" xfId="8247"/>
    <cellStyle name="Обычный 11 14 2 2" xfId="18927"/>
    <cellStyle name="Обычный 11 14 2 2 2" xfId="50971"/>
    <cellStyle name="Обычный 11 14 2 3" xfId="29608"/>
    <cellStyle name="Обычный 11 14 2 3 2" xfId="61651"/>
    <cellStyle name="Обычный 11 14 2 4" xfId="40291"/>
    <cellStyle name="Обычный 11 14 3" xfId="13587"/>
    <cellStyle name="Обычный 11 14 3 2" xfId="45631"/>
    <cellStyle name="Обычный 11 14 4" xfId="24268"/>
    <cellStyle name="Обычный 11 14 4 2" xfId="56311"/>
    <cellStyle name="Обычный 11 14 5" xfId="34951"/>
    <cellStyle name="Обычный 11 15" xfId="2937"/>
    <cellStyle name="Обычный 11 15 2" xfId="8279"/>
    <cellStyle name="Обычный 11 15 2 2" xfId="18959"/>
    <cellStyle name="Обычный 11 15 2 2 2" xfId="51003"/>
    <cellStyle name="Обычный 11 15 2 3" xfId="29640"/>
    <cellStyle name="Обычный 11 15 2 3 2" xfId="61683"/>
    <cellStyle name="Обычный 11 15 2 4" xfId="40323"/>
    <cellStyle name="Обычный 11 15 3" xfId="13619"/>
    <cellStyle name="Обычный 11 15 3 2" xfId="45663"/>
    <cellStyle name="Обычный 11 15 4" xfId="24300"/>
    <cellStyle name="Обычный 11 15 4 2" xfId="56343"/>
    <cellStyle name="Обычный 11 15 5" xfId="34983"/>
    <cellStyle name="Обычный 11 16" xfId="2969"/>
    <cellStyle name="Обычный 11 16 2" xfId="8311"/>
    <cellStyle name="Обычный 11 16 2 2" xfId="18991"/>
    <cellStyle name="Обычный 11 16 2 2 2" xfId="51035"/>
    <cellStyle name="Обычный 11 16 2 3" xfId="29672"/>
    <cellStyle name="Обычный 11 16 2 3 2" xfId="61715"/>
    <cellStyle name="Обычный 11 16 2 4" xfId="40355"/>
    <cellStyle name="Обычный 11 16 3" xfId="13651"/>
    <cellStyle name="Обычный 11 16 3 2" xfId="45695"/>
    <cellStyle name="Обычный 11 16 4" xfId="24332"/>
    <cellStyle name="Обычный 11 16 4 2" xfId="56375"/>
    <cellStyle name="Обычный 11 16 5" xfId="35015"/>
    <cellStyle name="Обычный 11 17" xfId="3001"/>
    <cellStyle name="Обычный 11 17 2" xfId="8343"/>
    <cellStyle name="Обычный 11 17 2 2" xfId="19023"/>
    <cellStyle name="Обычный 11 17 2 2 2" xfId="51067"/>
    <cellStyle name="Обычный 11 17 2 3" xfId="29704"/>
    <cellStyle name="Обычный 11 17 2 3 2" xfId="61747"/>
    <cellStyle name="Обычный 11 17 2 4" xfId="40387"/>
    <cellStyle name="Обычный 11 17 3" xfId="13683"/>
    <cellStyle name="Обычный 11 17 3 2" xfId="45727"/>
    <cellStyle name="Обычный 11 17 4" xfId="24364"/>
    <cellStyle name="Обычный 11 17 4 2" xfId="56407"/>
    <cellStyle name="Обычный 11 17 5" xfId="35047"/>
    <cellStyle name="Обычный 11 18" xfId="3033"/>
    <cellStyle name="Обычный 11 18 2" xfId="8375"/>
    <cellStyle name="Обычный 11 18 2 2" xfId="19055"/>
    <cellStyle name="Обычный 11 18 2 2 2" xfId="51099"/>
    <cellStyle name="Обычный 11 18 2 3" xfId="29736"/>
    <cellStyle name="Обычный 11 18 2 3 2" xfId="61779"/>
    <cellStyle name="Обычный 11 18 2 4" xfId="40419"/>
    <cellStyle name="Обычный 11 18 3" xfId="13715"/>
    <cellStyle name="Обычный 11 18 3 2" xfId="45759"/>
    <cellStyle name="Обычный 11 18 4" xfId="24396"/>
    <cellStyle name="Обычный 11 18 4 2" xfId="56439"/>
    <cellStyle name="Обычный 11 18 5" xfId="35079"/>
    <cellStyle name="Обычный 11 19" xfId="3065"/>
    <cellStyle name="Обычный 11 19 2" xfId="8407"/>
    <cellStyle name="Обычный 11 19 2 2" xfId="19087"/>
    <cellStyle name="Обычный 11 19 2 2 2" xfId="51131"/>
    <cellStyle name="Обычный 11 19 2 3" xfId="29768"/>
    <cellStyle name="Обычный 11 19 2 3 2" xfId="61811"/>
    <cellStyle name="Обычный 11 19 2 4" xfId="40451"/>
    <cellStyle name="Обычный 11 19 3" xfId="13747"/>
    <cellStyle name="Обычный 11 19 3 2" xfId="45791"/>
    <cellStyle name="Обычный 11 19 4" xfId="24428"/>
    <cellStyle name="Обычный 11 19 4 2" xfId="56471"/>
    <cellStyle name="Обычный 11 19 5" xfId="35111"/>
    <cellStyle name="Обычный 11 2" xfId="2517"/>
    <cellStyle name="Обычный 11 2 2" xfId="7859"/>
    <cellStyle name="Обычный 11 2 2 2" xfId="18539"/>
    <cellStyle name="Обычный 11 2 2 2 2" xfId="50583"/>
    <cellStyle name="Обычный 11 2 2 3" xfId="29220"/>
    <cellStyle name="Обычный 11 2 2 3 2" xfId="61263"/>
    <cellStyle name="Обычный 11 2 2 4" xfId="39903"/>
    <cellStyle name="Обычный 11 2 3" xfId="13199"/>
    <cellStyle name="Обычный 11 2 3 2" xfId="45243"/>
    <cellStyle name="Обычный 11 2 4" xfId="23880"/>
    <cellStyle name="Обычный 11 2 4 2" xfId="55923"/>
    <cellStyle name="Обычный 11 2 5" xfId="34563"/>
    <cellStyle name="Обычный 11 20" xfId="3097"/>
    <cellStyle name="Обычный 11 20 2" xfId="8439"/>
    <cellStyle name="Обычный 11 20 2 2" xfId="19119"/>
    <cellStyle name="Обычный 11 20 2 2 2" xfId="51163"/>
    <cellStyle name="Обычный 11 20 2 3" xfId="29800"/>
    <cellStyle name="Обычный 11 20 2 3 2" xfId="61843"/>
    <cellStyle name="Обычный 11 20 2 4" xfId="40483"/>
    <cellStyle name="Обычный 11 20 3" xfId="13779"/>
    <cellStyle name="Обычный 11 20 3 2" xfId="45823"/>
    <cellStyle name="Обычный 11 20 4" xfId="24460"/>
    <cellStyle name="Обычный 11 20 4 2" xfId="56503"/>
    <cellStyle name="Обычный 11 20 5" xfId="35143"/>
    <cellStyle name="Обычный 11 21" xfId="3130"/>
    <cellStyle name="Обычный 11 21 2" xfId="8471"/>
    <cellStyle name="Обычный 11 21 2 2" xfId="19151"/>
    <cellStyle name="Обычный 11 21 2 2 2" xfId="51195"/>
    <cellStyle name="Обычный 11 21 2 3" xfId="29832"/>
    <cellStyle name="Обычный 11 21 2 3 2" xfId="61875"/>
    <cellStyle name="Обычный 11 21 2 4" xfId="40515"/>
    <cellStyle name="Обычный 11 21 3" xfId="13811"/>
    <cellStyle name="Обычный 11 21 3 2" xfId="45855"/>
    <cellStyle name="Обычный 11 21 4" xfId="24492"/>
    <cellStyle name="Обычный 11 21 4 2" xfId="56535"/>
    <cellStyle name="Обычный 11 21 5" xfId="35175"/>
    <cellStyle name="Обычный 11 22" xfId="3162"/>
    <cellStyle name="Обычный 11 22 2" xfId="8503"/>
    <cellStyle name="Обычный 11 22 2 2" xfId="19183"/>
    <cellStyle name="Обычный 11 22 2 2 2" xfId="51227"/>
    <cellStyle name="Обычный 11 22 2 3" xfId="29864"/>
    <cellStyle name="Обычный 11 22 2 3 2" xfId="61907"/>
    <cellStyle name="Обычный 11 22 2 4" xfId="40547"/>
    <cellStyle name="Обычный 11 22 3" xfId="13843"/>
    <cellStyle name="Обычный 11 22 3 2" xfId="45887"/>
    <cellStyle name="Обычный 11 22 4" xfId="24524"/>
    <cellStyle name="Обычный 11 22 4 2" xfId="56567"/>
    <cellStyle name="Обычный 11 22 5" xfId="35207"/>
    <cellStyle name="Обычный 11 23" xfId="3194"/>
    <cellStyle name="Обычный 11 23 2" xfId="8535"/>
    <cellStyle name="Обычный 11 23 2 2" xfId="19215"/>
    <cellStyle name="Обычный 11 23 2 2 2" xfId="51259"/>
    <cellStyle name="Обычный 11 23 2 3" xfId="29896"/>
    <cellStyle name="Обычный 11 23 2 3 2" xfId="61939"/>
    <cellStyle name="Обычный 11 23 2 4" xfId="40579"/>
    <cellStyle name="Обычный 11 23 3" xfId="13875"/>
    <cellStyle name="Обычный 11 23 3 2" xfId="45919"/>
    <cellStyle name="Обычный 11 23 4" xfId="24556"/>
    <cellStyle name="Обычный 11 23 4 2" xfId="56599"/>
    <cellStyle name="Обычный 11 23 5" xfId="35239"/>
    <cellStyle name="Обычный 11 24" xfId="3226"/>
    <cellStyle name="Обычный 11 24 2" xfId="8567"/>
    <cellStyle name="Обычный 11 24 2 2" xfId="19247"/>
    <cellStyle name="Обычный 11 24 2 2 2" xfId="51291"/>
    <cellStyle name="Обычный 11 24 2 3" xfId="29928"/>
    <cellStyle name="Обычный 11 24 2 3 2" xfId="61971"/>
    <cellStyle name="Обычный 11 24 2 4" xfId="40611"/>
    <cellStyle name="Обычный 11 24 3" xfId="13907"/>
    <cellStyle name="Обычный 11 24 3 2" xfId="45951"/>
    <cellStyle name="Обычный 11 24 4" xfId="24588"/>
    <cellStyle name="Обычный 11 24 4 2" xfId="56631"/>
    <cellStyle name="Обычный 11 24 5" xfId="35271"/>
    <cellStyle name="Обычный 11 25" xfId="3258"/>
    <cellStyle name="Обычный 11 25 2" xfId="8599"/>
    <cellStyle name="Обычный 11 25 2 2" xfId="19279"/>
    <cellStyle name="Обычный 11 25 2 2 2" xfId="51323"/>
    <cellStyle name="Обычный 11 25 2 3" xfId="29960"/>
    <cellStyle name="Обычный 11 25 2 3 2" xfId="62003"/>
    <cellStyle name="Обычный 11 25 2 4" xfId="40643"/>
    <cellStyle name="Обычный 11 25 3" xfId="13939"/>
    <cellStyle name="Обычный 11 25 3 2" xfId="45983"/>
    <cellStyle name="Обычный 11 25 4" xfId="24620"/>
    <cellStyle name="Обычный 11 25 4 2" xfId="56663"/>
    <cellStyle name="Обычный 11 25 5" xfId="35303"/>
    <cellStyle name="Обычный 11 26" xfId="3290"/>
    <cellStyle name="Обычный 11 26 2" xfId="8631"/>
    <cellStyle name="Обычный 11 26 2 2" xfId="19311"/>
    <cellStyle name="Обычный 11 26 2 2 2" xfId="51355"/>
    <cellStyle name="Обычный 11 26 2 3" xfId="29992"/>
    <cellStyle name="Обычный 11 26 2 3 2" xfId="62035"/>
    <cellStyle name="Обычный 11 26 2 4" xfId="40675"/>
    <cellStyle name="Обычный 11 26 3" xfId="13971"/>
    <cellStyle name="Обычный 11 26 3 2" xfId="46015"/>
    <cellStyle name="Обычный 11 26 4" xfId="24652"/>
    <cellStyle name="Обычный 11 26 4 2" xfId="56695"/>
    <cellStyle name="Обычный 11 26 5" xfId="35335"/>
    <cellStyle name="Обычный 11 27" xfId="3322"/>
    <cellStyle name="Обычный 11 27 2" xfId="8663"/>
    <cellStyle name="Обычный 11 27 2 2" xfId="19343"/>
    <cellStyle name="Обычный 11 27 2 2 2" xfId="51387"/>
    <cellStyle name="Обычный 11 27 2 3" xfId="30024"/>
    <cellStyle name="Обычный 11 27 2 3 2" xfId="62067"/>
    <cellStyle name="Обычный 11 27 2 4" xfId="40707"/>
    <cellStyle name="Обычный 11 27 3" xfId="14003"/>
    <cellStyle name="Обычный 11 27 3 2" xfId="46047"/>
    <cellStyle name="Обычный 11 27 4" xfId="24684"/>
    <cellStyle name="Обычный 11 27 4 2" xfId="56727"/>
    <cellStyle name="Обычный 11 27 5" xfId="35367"/>
    <cellStyle name="Обычный 11 28" xfId="3354"/>
    <cellStyle name="Обычный 11 28 2" xfId="8695"/>
    <cellStyle name="Обычный 11 28 2 2" xfId="19375"/>
    <cellStyle name="Обычный 11 28 2 2 2" xfId="51419"/>
    <cellStyle name="Обычный 11 28 2 3" xfId="30056"/>
    <cellStyle name="Обычный 11 28 2 3 2" xfId="62099"/>
    <cellStyle name="Обычный 11 28 2 4" xfId="40739"/>
    <cellStyle name="Обычный 11 28 3" xfId="14035"/>
    <cellStyle name="Обычный 11 28 3 2" xfId="46079"/>
    <cellStyle name="Обычный 11 28 4" xfId="24716"/>
    <cellStyle name="Обычный 11 28 4 2" xfId="56759"/>
    <cellStyle name="Обычный 11 28 5" xfId="35399"/>
    <cellStyle name="Обычный 11 29" xfId="3386"/>
    <cellStyle name="Обычный 11 29 2" xfId="8727"/>
    <cellStyle name="Обычный 11 29 2 2" xfId="19407"/>
    <cellStyle name="Обычный 11 29 2 2 2" xfId="51451"/>
    <cellStyle name="Обычный 11 29 2 3" xfId="30088"/>
    <cellStyle name="Обычный 11 29 2 3 2" xfId="62131"/>
    <cellStyle name="Обычный 11 29 2 4" xfId="40771"/>
    <cellStyle name="Обычный 11 29 3" xfId="14067"/>
    <cellStyle name="Обычный 11 29 3 2" xfId="46111"/>
    <cellStyle name="Обычный 11 29 4" xfId="24748"/>
    <cellStyle name="Обычный 11 29 4 2" xfId="56791"/>
    <cellStyle name="Обычный 11 29 5" xfId="35431"/>
    <cellStyle name="Обычный 11 3" xfId="2551"/>
    <cellStyle name="Обычный 11 3 2" xfId="7893"/>
    <cellStyle name="Обычный 11 3 2 2" xfId="18573"/>
    <cellStyle name="Обычный 11 3 2 2 2" xfId="50617"/>
    <cellStyle name="Обычный 11 3 2 3" xfId="29254"/>
    <cellStyle name="Обычный 11 3 2 3 2" xfId="61297"/>
    <cellStyle name="Обычный 11 3 2 4" xfId="39937"/>
    <cellStyle name="Обычный 11 3 3" xfId="13233"/>
    <cellStyle name="Обычный 11 3 3 2" xfId="45277"/>
    <cellStyle name="Обычный 11 3 4" xfId="23914"/>
    <cellStyle name="Обычный 11 3 4 2" xfId="55957"/>
    <cellStyle name="Обычный 11 3 5" xfId="34597"/>
    <cellStyle name="Обычный 11 30" xfId="3418"/>
    <cellStyle name="Обычный 11 30 2" xfId="8759"/>
    <cellStyle name="Обычный 11 30 2 2" xfId="19439"/>
    <cellStyle name="Обычный 11 30 2 2 2" xfId="51483"/>
    <cellStyle name="Обычный 11 30 2 3" xfId="30120"/>
    <cellStyle name="Обычный 11 30 2 3 2" xfId="62163"/>
    <cellStyle name="Обычный 11 30 2 4" xfId="40803"/>
    <cellStyle name="Обычный 11 30 3" xfId="14099"/>
    <cellStyle name="Обычный 11 30 3 2" xfId="46143"/>
    <cellStyle name="Обычный 11 30 4" xfId="24780"/>
    <cellStyle name="Обычный 11 30 4 2" xfId="56823"/>
    <cellStyle name="Обычный 11 30 5" xfId="35463"/>
    <cellStyle name="Обычный 11 31" xfId="3450"/>
    <cellStyle name="Обычный 11 31 2" xfId="8791"/>
    <cellStyle name="Обычный 11 31 2 2" xfId="19471"/>
    <cellStyle name="Обычный 11 31 2 2 2" xfId="51515"/>
    <cellStyle name="Обычный 11 31 2 3" xfId="30152"/>
    <cellStyle name="Обычный 11 31 2 3 2" xfId="62195"/>
    <cellStyle name="Обычный 11 31 2 4" xfId="40835"/>
    <cellStyle name="Обычный 11 31 3" xfId="14131"/>
    <cellStyle name="Обычный 11 31 3 2" xfId="46175"/>
    <cellStyle name="Обычный 11 31 4" xfId="24812"/>
    <cellStyle name="Обычный 11 31 4 2" xfId="56855"/>
    <cellStyle name="Обычный 11 31 5" xfId="35495"/>
    <cellStyle name="Обычный 11 32" xfId="3482"/>
    <cellStyle name="Обычный 11 32 2" xfId="8823"/>
    <cellStyle name="Обычный 11 32 2 2" xfId="19503"/>
    <cellStyle name="Обычный 11 32 2 2 2" xfId="51547"/>
    <cellStyle name="Обычный 11 32 2 3" xfId="30184"/>
    <cellStyle name="Обычный 11 32 2 3 2" xfId="62227"/>
    <cellStyle name="Обычный 11 32 2 4" xfId="40867"/>
    <cellStyle name="Обычный 11 32 3" xfId="14163"/>
    <cellStyle name="Обычный 11 32 3 2" xfId="46207"/>
    <cellStyle name="Обычный 11 32 4" xfId="24844"/>
    <cellStyle name="Обычный 11 32 4 2" xfId="56887"/>
    <cellStyle name="Обычный 11 32 5" xfId="35527"/>
    <cellStyle name="Обычный 11 33" xfId="3514"/>
    <cellStyle name="Обычный 11 33 2" xfId="8855"/>
    <cellStyle name="Обычный 11 33 2 2" xfId="19535"/>
    <cellStyle name="Обычный 11 33 2 2 2" xfId="51579"/>
    <cellStyle name="Обычный 11 33 2 3" xfId="30216"/>
    <cellStyle name="Обычный 11 33 2 3 2" xfId="62259"/>
    <cellStyle name="Обычный 11 33 2 4" xfId="40899"/>
    <cellStyle name="Обычный 11 33 3" xfId="14195"/>
    <cellStyle name="Обычный 11 33 3 2" xfId="46239"/>
    <cellStyle name="Обычный 11 33 4" xfId="24876"/>
    <cellStyle name="Обычный 11 33 4 2" xfId="56919"/>
    <cellStyle name="Обычный 11 33 5" xfId="35559"/>
    <cellStyle name="Обычный 11 34" xfId="3546"/>
    <cellStyle name="Обычный 11 34 2" xfId="8887"/>
    <cellStyle name="Обычный 11 34 2 2" xfId="19567"/>
    <cellStyle name="Обычный 11 34 2 2 2" xfId="51611"/>
    <cellStyle name="Обычный 11 34 2 3" xfId="30248"/>
    <cellStyle name="Обычный 11 34 2 3 2" xfId="62291"/>
    <cellStyle name="Обычный 11 34 2 4" xfId="40931"/>
    <cellStyle name="Обычный 11 34 3" xfId="14227"/>
    <cellStyle name="Обычный 11 34 3 2" xfId="46271"/>
    <cellStyle name="Обычный 11 34 4" xfId="24908"/>
    <cellStyle name="Обычный 11 34 4 2" xfId="56951"/>
    <cellStyle name="Обычный 11 34 5" xfId="35591"/>
    <cellStyle name="Обычный 11 35" xfId="3578"/>
    <cellStyle name="Обычный 11 35 2" xfId="8919"/>
    <cellStyle name="Обычный 11 35 2 2" xfId="19599"/>
    <cellStyle name="Обычный 11 35 2 2 2" xfId="51643"/>
    <cellStyle name="Обычный 11 35 2 3" xfId="30280"/>
    <cellStyle name="Обычный 11 35 2 3 2" xfId="62323"/>
    <cellStyle name="Обычный 11 35 2 4" xfId="40963"/>
    <cellStyle name="Обычный 11 35 3" xfId="14259"/>
    <cellStyle name="Обычный 11 35 3 2" xfId="46303"/>
    <cellStyle name="Обычный 11 35 4" xfId="24940"/>
    <cellStyle name="Обычный 11 35 4 2" xfId="56983"/>
    <cellStyle name="Обычный 11 35 5" xfId="35623"/>
    <cellStyle name="Обычный 11 36" xfId="3610"/>
    <cellStyle name="Обычный 11 36 2" xfId="8951"/>
    <cellStyle name="Обычный 11 36 2 2" xfId="19631"/>
    <cellStyle name="Обычный 11 36 2 2 2" xfId="51675"/>
    <cellStyle name="Обычный 11 36 2 3" xfId="30312"/>
    <cellStyle name="Обычный 11 36 2 3 2" xfId="62355"/>
    <cellStyle name="Обычный 11 36 2 4" xfId="40995"/>
    <cellStyle name="Обычный 11 36 3" xfId="14291"/>
    <cellStyle name="Обычный 11 36 3 2" xfId="46335"/>
    <cellStyle name="Обычный 11 36 4" xfId="24972"/>
    <cellStyle name="Обычный 11 36 4 2" xfId="57015"/>
    <cellStyle name="Обычный 11 36 5" xfId="35655"/>
    <cellStyle name="Обычный 11 37" xfId="3642"/>
    <cellStyle name="Обычный 11 37 2" xfId="8983"/>
    <cellStyle name="Обычный 11 37 2 2" xfId="19663"/>
    <cellStyle name="Обычный 11 37 2 2 2" xfId="51707"/>
    <cellStyle name="Обычный 11 37 2 3" xfId="30344"/>
    <cellStyle name="Обычный 11 37 2 3 2" xfId="62387"/>
    <cellStyle name="Обычный 11 37 2 4" xfId="41027"/>
    <cellStyle name="Обычный 11 37 3" xfId="14323"/>
    <cellStyle name="Обычный 11 37 3 2" xfId="46367"/>
    <cellStyle name="Обычный 11 37 4" xfId="25004"/>
    <cellStyle name="Обычный 11 37 4 2" xfId="57047"/>
    <cellStyle name="Обычный 11 37 5" xfId="35687"/>
    <cellStyle name="Обычный 11 38" xfId="3674"/>
    <cellStyle name="Обычный 11 38 2" xfId="9015"/>
    <cellStyle name="Обычный 11 38 2 2" xfId="19695"/>
    <cellStyle name="Обычный 11 38 2 2 2" xfId="51739"/>
    <cellStyle name="Обычный 11 38 2 3" xfId="30376"/>
    <cellStyle name="Обычный 11 38 2 3 2" xfId="62419"/>
    <cellStyle name="Обычный 11 38 2 4" xfId="41059"/>
    <cellStyle name="Обычный 11 38 3" xfId="14355"/>
    <cellStyle name="Обычный 11 38 3 2" xfId="46399"/>
    <cellStyle name="Обычный 11 38 4" xfId="25036"/>
    <cellStyle name="Обычный 11 38 4 2" xfId="57079"/>
    <cellStyle name="Обычный 11 38 5" xfId="35719"/>
    <cellStyle name="Обычный 11 39" xfId="3706"/>
    <cellStyle name="Обычный 11 39 2" xfId="9047"/>
    <cellStyle name="Обычный 11 39 2 2" xfId="19727"/>
    <cellStyle name="Обычный 11 39 2 2 2" xfId="51771"/>
    <cellStyle name="Обычный 11 39 2 3" xfId="30408"/>
    <cellStyle name="Обычный 11 39 2 3 2" xfId="62451"/>
    <cellStyle name="Обычный 11 39 2 4" xfId="41091"/>
    <cellStyle name="Обычный 11 39 3" xfId="14387"/>
    <cellStyle name="Обычный 11 39 3 2" xfId="46431"/>
    <cellStyle name="Обычный 11 39 4" xfId="25068"/>
    <cellStyle name="Обычный 11 39 4 2" xfId="57111"/>
    <cellStyle name="Обычный 11 39 5" xfId="35751"/>
    <cellStyle name="Обычный 11 4" xfId="2583"/>
    <cellStyle name="Обычный 11 4 2" xfId="7925"/>
    <cellStyle name="Обычный 11 4 2 2" xfId="18605"/>
    <cellStyle name="Обычный 11 4 2 2 2" xfId="50649"/>
    <cellStyle name="Обычный 11 4 2 3" xfId="29286"/>
    <cellStyle name="Обычный 11 4 2 3 2" xfId="61329"/>
    <cellStyle name="Обычный 11 4 2 4" xfId="39969"/>
    <cellStyle name="Обычный 11 4 3" xfId="13265"/>
    <cellStyle name="Обычный 11 4 3 2" xfId="45309"/>
    <cellStyle name="Обычный 11 4 4" xfId="23946"/>
    <cellStyle name="Обычный 11 4 4 2" xfId="55989"/>
    <cellStyle name="Обычный 11 4 5" xfId="34629"/>
    <cellStyle name="Обычный 11 40" xfId="3738"/>
    <cellStyle name="Обычный 11 40 2" xfId="9079"/>
    <cellStyle name="Обычный 11 40 2 2" xfId="19759"/>
    <cellStyle name="Обычный 11 40 2 2 2" xfId="51803"/>
    <cellStyle name="Обычный 11 40 2 3" xfId="30440"/>
    <cellStyle name="Обычный 11 40 2 3 2" xfId="62483"/>
    <cellStyle name="Обычный 11 40 2 4" xfId="41123"/>
    <cellStyle name="Обычный 11 40 3" xfId="14419"/>
    <cellStyle name="Обычный 11 40 3 2" xfId="46463"/>
    <cellStyle name="Обычный 11 40 4" xfId="25100"/>
    <cellStyle name="Обычный 11 40 4 2" xfId="57143"/>
    <cellStyle name="Обычный 11 40 5" xfId="35783"/>
    <cellStyle name="Обычный 11 41" xfId="3770"/>
    <cellStyle name="Обычный 11 41 2" xfId="9111"/>
    <cellStyle name="Обычный 11 41 2 2" xfId="19791"/>
    <cellStyle name="Обычный 11 41 2 2 2" xfId="51835"/>
    <cellStyle name="Обычный 11 41 2 3" xfId="30472"/>
    <cellStyle name="Обычный 11 41 2 3 2" xfId="62515"/>
    <cellStyle name="Обычный 11 41 2 4" xfId="41155"/>
    <cellStyle name="Обычный 11 41 3" xfId="14451"/>
    <cellStyle name="Обычный 11 41 3 2" xfId="46495"/>
    <cellStyle name="Обычный 11 41 4" xfId="25132"/>
    <cellStyle name="Обычный 11 41 4 2" xfId="57175"/>
    <cellStyle name="Обычный 11 41 5" xfId="35815"/>
    <cellStyle name="Обычный 11 42" xfId="3802"/>
    <cellStyle name="Обычный 11 42 2" xfId="9143"/>
    <cellStyle name="Обычный 11 42 2 2" xfId="19823"/>
    <cellStyle name="Обычный 11 42 2 2 2" xfId="51867"/>
    <cellStyle name="Обычный 11 42 2 3" xfId="30504"/>
    <cellStyle name="Обычный 11 42 2 3 2" xfId="62547"/>
    <cellStyle name="Обычный 11 42 2 4" xfId="41187"/>
    <cellStyle name="Обычный 11 42 3" xfId="14483"/>
    <cellStyle name="Обычный 11 42 3 2" xfId="46527"/>
    <cellStyle name="Обычный 11 42 4" xfId="25164"/>
    <cellStyle name="Обычный 11 42 4 2" xfId="57207"/>
    <cellStyle name="Обычный 11 42 5" xfId="35847"/>
    <cellStyle name="Обычный 11 43" xfId="3834"/>
    <cellStyle name="Обычный 11 43 2" xfId="9175"/>
    <cellStyle name="Обычный 11 43 2 2" xfId="19855"/>
    <cellStyle name="Обычный 11 43 2 2 2" xfId="51899"/>
    <cellStyle name="Обычный 11 43 2 3" xfId="30536"/>
    <cellStyle name="Обычный 11 43 2 3 2" xfId="62579"/>
    <cellStyle name="Обычный 11 43 2 4" xfId="41219"/>
    <cellStyle name="Обычный 11 43 3" xfId="14515"/>
    <cellStyle name="Обычный 11 43 3 2" xfId="46559"/>
    <cellStyle name="Обычный 11 43 4" xfId="25196"/>
    <cellStyle name="Обычный 11 43 4 2" xfId="57239"/>
    <cellStyle name="Обычный 11 43 5" xfId="35879"/>
    <cellStyle name="Обычный 11 44" xfId="3866"/>
    <cellStyle name="Обычный 11 44 2" xfId="9207"/>
    <cellStyle name="Обычный 11 44 2 2" xfId="19887"/>
    <cellStyle name="Обычный 11 44 2 2 2" xfId="51931"/>
    <cellStyle name="Обычный 11 44 2 3" xfId="30568"/>
    <cellStyle name="Обычный 11 44 2 3 2" xfId="62611"/>
    <cellStyle name="Обычный 11 44 2 4" xfId="41251"/>
    <cellStyle name="Обычный 11 44 3" xfId="14547"/>
    <cellStyle name="Обычный 11 44 3 2" xfId="46591"/>
    <cellStyle name="Обычный 11 44 4" xfId="25228"/>
    <cellStyle name="Обычный 11 44 4 2" xfId="57271"/>
    <cellStyle name="Обычный 11 44 5" xfId="35911"/>
    <cellStyle name="Обычный 11 45" xfId="3898"/>
    <cellStyle name="Обычный 11 45 2" xfId="9239"/>
    <cellStyle name="Обычный 11 45 2 2" xfId="19919"/>
    <cellStyle name="Обычный 11 45 2 2 2" xfId="51963"/>
    <cellStyle name="Обычный 11 45 2 3" xfId="30600"/>
    <cellStyle name="Обычный 11 45 2 3 2" xfId="62643"/>
    <cellStyle name="Обычный 11 45 2 4" xfId="41283"/>
    <cellStyle name="Обычный 11 45 3" xfId="14579"/>
    <cellStyle name="Обычный 11 45 3 2" xfId="46623"/>
    <cellStyle name="Обычный 11 45 4" xfId="25260"/>
    <cellStyle name="Обычный 11 45 4 2" xfId="57303"/>
    <cellStyle name="Обычный 11 45 5" xfId="35943"/>
    <cellStyle name="Обычный 11 46" xfId="3930"/>
    <cellStyle name="Обычный 11 46 2" xfId="9271"/>
    <cellStyle name="Обычный 11 46 2 2" xfId="19951"/>
    <cellStyle name="Обычный 11 46 2 2 2" xfId="51995"/>
    <cellStyle name="Обычный 11 46 2 3" xfId="30632"/>
    <cellStyle name="Обычный 11 46 2 3 2" xfId="62675"/>
    <cellStyle name="Обычный 11 46 2 4" xfId="41315"/>
    <cellStyle name="Обычный 11 46 3" xfId="14611"/>
    <cellStyle name="Обычный 11 46 3 2" xfId="46655"/>
    <cellStyle name="Обычный 11 46 4" xfId="25292"/>
    <cellStyle name="Обычный 11 46 4 2" xfId="57335"/>
    <cellStyle name="Обычный 11 46 5" xfId="35975"/>
    <cellStyle name="Обычный 11 47" xfId="3962"/>
    <cellStyle name="Обычный 11 47 2" xfId="9303"/>
    <cellStyle name="Обычный 11 47 2 2" xfId="19983"/>
    <cellStyle name="Обычный 11 47 2 2 2" xfId="52027"/>
    <cellStyle name="Обычный 11 47 2 3" xfId="30664"/>
    <cellStyle name="Обычный 11 47 2 3 2" xfId="62707"/>
    <cellStyle name="Обычный 11 47 2 4" xfId="41347"/>
    <cellStyle name="Обычный 11 47 3" xfId="14643"/>
    <cellStyle name="Обычный 11 47 3 2" xfId="46687"/>
    <cellStyle name="Обычный 11 47 4" xfId="25324"/>
    <cellStyle name="Обычный 11 47 4 2" xfId="57367"/>
    <cellStyle name="Обычный 11 47 5" xfId="36007"/>
    <cellStyle name="Обычный 11 48" xfId="3994"/>
    <cellStyle name="Обычный 11 48 2" xfId="9335"/>
    <cellStyle name="Обычный 11 48 2 2" xfId="20015"/>
    <cellStyle name="Обычный 11 48 2 2 2" xfId="52059"/>
    <cellStyle name="Обычный 11 48 2 3" xfId="30696"/>
    <cellStyle name="Обычный 11 48 2 3 2" xfId="62739"/>
    <cellStyle name="Обычный 11 48 2 4" xfId="41379"/>
    <cellStyle name="Обычный 11 48 3" xfId="14675"/>
    <cellStyle name="Обычный 11 48 3 2" xfId="46719"/>
    <cellStyle name="Обычный 11 48 4" xfId="25356"/>
    <cellStyle name="Обычный 11 48 4 2" xfId="57399"/>
    <cellStyle name="Обычный 11 48 5" xfId="36039"/>
    <cellStyle name="Обычный 11 49" xfId="4026"/>
    <cellStyle name="Обычный 11 49 2" xfId="9367"/>
    <cellStyle name="Обычный 11 49 2 2" xfId="20047"/>
    <cellStyle name="Обычный 11 49 2 2 2" xfId="52091"/>
    <cellStyle name="Обычный 11 49 2 3" xfId="30728"/>
    <cellStyle name="Обычный 11 49 2 3 2" xfId="62771"/>
    <cellStyle name="Обычный 11 49 2 4" xfId="41411"/>
    <cellStyle name="Обычный 11 49 3" xfId="14707"/>
    <cellStyle name="Обычный 11 49 3 2" xfId="46751"/>
    <cellStyle name="Обычный 11 49 4" xfId="25388"/>
    <cellStyle name="Обычный 11 49 4 2" xfId="57431"/>
    <cellStyle name="Обычный 11 49 5" xfId="36071"/>
    <cellStyle name="Обычный 11 5" xfId="2615"/>
    <cellStyle name="Обычный 11 5 2" xfId="7957"/>
    <cellStyle name="Обычный 11 5 2 2" xfId="18637"/>
    <cellStyle name="Обычный 11 5 2 2 2" xfId="50681"/>
    <cellStyle name="Обычный 11 5 2 3" xfId="29318"/>
    <cellStyle name="Обычный 11 5 2 3 2" xfId="61361"/>
    <cellStyle name="Обычный 11 5 2 4" xfId="40001"/>
    <cellStyle name="Обычный 11 5 3" xfId="13297"/>
    <cellStyle name="Обычный 11 5 3 2" xfId="45341"/>
    <cellStyle name="Обычный 11 5 4" xfId="23978"/>
    <cellStyle name="Обычный 11 5 4 2" xfId="56021"/>
    <cellStyle name="Обычный 11 5 5" xfId="34661"/>
    <cellStyle name="Обычный 11 50" xfId="4058"/>
    <cellStyle name="Обычный 11 50 2" xfId="9399"/>
    <cellStyle name="Обычный 11 50 2 2" xfId="20079"/>
    <cellStyle name="Обычный 11 50 2 2 2" xfId="52123"/>
    <cellStyle name="Обычный 11 50 2 3" xfId="30760"/>
    <cellStyle name="Обычный 11 50 2 3 2" xfId="62803"/>
    <cellStyle name="Обычный 11 50 2 4" xfId="41443"/>
    <cellStyle name="Обычный 11 50 3" xfId="14739"/>
    <cellStyle name="Обычный 11 50 3 2" xfId="46783"/>
    <cellStyle name="Обычный 11 50 4" xfId="25420"/>
    <cellStyle name="Обычный 11 50 4 2" xfId="57463"/>
    <cellStyle name="Обычный 11 50 5" xfId="36103"/>
    <cellStyle name="Обычный 11 51" xfId="4090"/>
    <cellStyle name="Обычный 11 51 2" xfId="9431"/>
    <cellStyle name="Обычный 11 51 2 2" xfId="20111"/>
    <cellStyle name="Обычный 11 51 2 2 2" xfId="52155"/>
    <cellStyle name="Обычный 11 51 2 3" xfId="30792"/>
    <cellStyle name="Обычный 11 51 2 3 2" xfId="62835"/>
    <cellStyle name="Обычный 11 51 2 4" xfId="41475"/>
    <cellStyle name="Обычный 11 51 3" xfId="14771"/>
    <cellStyle name="Обычный 11 51 3 2" xfId="46815"/>
    <cellStyle name="Обычный 11 51 4" xfId="25452"/>
    <cellStyle name="Обычный 11 51 4 2" xfId="57495"/>
    <cellStyle name="Обычный 11 51 5" xfId="36135"/>
    <cellStyle name="Обычный 11 52" xfId="4122"/>
    <cellStyle name="Обычный 11 52 2" xfId="9463"/>
    <cellStyle name="Обычный 11 52 2 2" xfId="20143"/>
    <cellStyle name="Обычный 11 52 2 2 2" xfId="52187"/>
    <cellStyle name="Обычный 11 52 2 3" xfId="30824"/>
    <cellStyle name="Обычный 11 52 2 3 2" xfId="62867"/>
    <cellStyle name="Обычный 11 52 2 4" xfId="41507"/>
    <cellStyle name="Обычный 11 52 3" xfId="14803"/>
    <cellStyle name="Обычный 11 52 3 2" xfId="46847"/>
    <cellStyle name="Обычный 11 52 4" xfId="25484"/>
    <cellStyle name="Обычный 11 52 4 2" xfId="57527"/>
    <cellStyle name="Обычный 11 52 5" xfId="36167"/>
    <cellStyle name="Обычный 11 53" xfId="4154"/>
    <cellStyle name="Обычный 11 53 2" xfId="9495"/>
    <cellStyle name="Обычный 11 53 2 2" xfId="20175"/>
    <cellStyle name="Обычный 11 53 2 2 2" xfId="52219"/>
    <cellStyle name="Обычный 11 53 2 3" xfId="30856"/>
    <cellStyle name="Обычный 11 53 2 3 2" xfId="62899"/>
    <cellStyle name="Обычный 11 53 2 4" xfId="41539"/>
    <cellStyle name="Обычный 11 53 3" xfId="14835"/>
    <cellStyle name="Обычный 11 53 3 2" xfId="46879"/>
    <cellStyle name="Обычный 11 53 4" xfId="25516"/>
    <cellStyle name="Обычный 11 53 4 2" xfId="57559"/>
    <cellStyle name="Обычный 11 53 5" xfId="36199"/>
    <cellStyle name="Обычный 11 54" xfId="4186"/>
    <cellStyle name="Обычный 11 54 2" xfId="9527"/>
    <cellStyle name="Обычный 11 54 2 2" xfId="20207"/>
    <cellStyle name="Обычный 11 54 2 2 2" xfId="52251"/>
    <cellStyle name="Обычный 11 54 2 3" xfId="30888"/>
    <cellStyle name="Обычный 11 54 2 3 2" xfId="62931"/>
    <cellStyle name="Обычный 11 54 2 4" xfId="41571"/>
    <cellStyle name="Обычный 11 54 3" xfId="14867"/>
    <cellStyle name="Обычный 11 54 3 2" xfId="46911"/>
    <cellStyle name="Обычный 11 54 4" xfId="25548"/>
    <cellStyle name="Обычный 11 54 4 2" xfId="57591"/>
    <cellStyle name="Обычный 11 54 5" xfId="36231"/>
    <cellStyle name="Обычный 11 55" xfId="4218"/>
    <cellStyle name="Обычный 11 55 2" xfId="9559"/>
    <cellStyle name="Обычный 11 55 2 2" xfId="20239"/>
    <cellStyle name="Обычный 11 55 2 2 2" xfId="52283"/>
    <cellStyle name="Обычный 11 55 2 3" xfId="30920"/>
    <cellStyle name="Обычный 11 55 2 3 2" xfId="62963"/>
    <cellStyle name="Обычный 11 55 2 4" xfId="41603"/>
    <cellStyle name="Обычный 11 55 3" xfId="14899"/>
    <cellStyle name="Обычный 11 55 3 2" xfId="46943"/>
    <cellStyle name="Обычный 11 55 4" xfId="25580"/>
    <cellStyle name="Обычный 11 55 4 2" xfId="57623"/>
    <cellStyle name="Обычный 11 55 5" xfId="36263"/>
    <cellStyle name="Обычный 11 56" xfId="4250"/>
    <cellStyle name="Обычный 11 56 2" xfId="9591"/>
    <cellStyle name="Обычный 11 56 2 2" xfId="20271"/>
    <cellStyle name="Обычный 11 56 2 2 2" xfId="52315"/>
    <cellStyle name="Обычный 11 56 2 3" xfId="30952"/>
    <cellStyle name="Обычный 11 56 2 3 2" xfId="62995"/>
    <cellStyle name="Обычный 11 56 2 4" xfId="41635"/>
    <cellStyle name="Обычный 11 56 3" xfId="14931"/>
    <cellStyle name="Обычный 11 56 3 2" xfId="46975"/>
    <cellStyle name="Обычный 11 56 4" xfId="25612"/>
    <cellStyle name="Обычный 11 56 4 2" xfId="57655"/>
    <cellStyle name="Обычный 11 56 5" xfId="36295"/>
    <cellStyle name="Обычный 11 57" xfId="4282"/>
    <cellStyle name="Обычный 11 57 2" xfId="9623"/>
    <cellStyle name="Обычный 11 57 2 2" xfId="20303"/>
    <cellStyle name="Обычный 11 57 2 2 2" xfId="52347"/>
    <cellStyle name="Обычный 11 57 2 3" xfId="30984"/>
    <cellStyle name="Обычный 11 57 2 3 2" xfId="63027"/>
    <cellStyle name="Обычный 11 57 2 4" xfId="41667"/>
    <cellStyle name="Обычный 11 57 3" xfId="14963"/>
    <cellStyle name="Обычный 11 57 3 2" xfId="47007"/>
    <cellStyle name="Обычный 11 57 4" xfId="25644"/>
    <cellStyle name="Обычный 11 57 4 2" xfId="57687"/>
    <cellStyle name="Обычный 11 57 5" xfId="36327"/>
    <cellStyle name="Обычный 11 58" xfId="4314"/>
    <cellStyle name="Обычный 11 58 2" xfId="9655"/>
    <cellStyle name="Обычный 11 58 2 2" xfId="20335"/>
    <cellStyle name="Обычный 11 58 2 2 2" xfId="52379"/>
    <cellStyle name="Обычный 11 58 2 3" xfId="31016"/>
    <cellStyle name="Обычный 11 58 2 3 2" xfId="63059"/>
    <cellStyle name="Обычный 11 58 2 4" xfId="41699"/>
    <cellStyle name="Обычный 11 58 3" xfId="14995"/>
    <cellStyle name="Обычный 11 58 3 2" xfId="47039"/>
    <cellStyle name="Обычный 11 58 4" xfId="25676"/>
    <cellStyle name="Обычный 11 58 4 2" xfId="57719"/>
    <cellStyle name="Обычный 11 58 5" xfId="36359"/>
    <cellStyle name="Обычный 11 59" xfId="4346"/>
    <cellStyle name="Обычный 11 59 2" xfId="9687"/>
    <cellStyle name="Обычный 11 59 2 2" xfId="20367"/>
    <cellStyle name="Обычный 11 59 2 2 2" xfId="52411"/>
    <cellStyle name="Обычный 11 59 2 3" xfId="31048"/>
    <cellStyle name="Обычный 11 59 2 3 2" xfId="63091"/>
    <cellStyle name="Обычный 11 59 2 4" xfId="41731"/>
    <cellStyle name="Обычный 11 59 3" xfId="15027"/>
    <cellStyle name="Обычный 11 59 3 2" xfId="47071"/>
    <cellStyle name="Обычный 11 59 4" xfId="25708"/>
    <cellStyle name="Обычный 11 59 4 2" xfId="57751"/>
    <cellStyle name="Обычный 11 59 5" xfId="36391"/>
    <cellStyle name="Обычный 11 6" xfId="2647"/>
    <cellStyle name="Обычный 11 6 2" xfId="7989"/>
    <cellStyle name="Обычный 11 6 2 2" xfId="18669"/>
    <cellStyle name="Обычный 11 6 2 2 2" xfId="50713"/>
    <cellStyle name="Обычный 11 6 2 3" xfId="29350"/>
    <cellStyle name="Обычный 11 6 2 3 2" xfId="61393"/>
    <cellStyle name="Обычный 11 6 2 4" xfId="40033"/>
    <cellStyle name="Обычный 11 6 3" xfId="13329"/>
    <cellStyle name="Обычный 11 6 3 2" xfId="45373"/>
    <cellStyle name="Обычный 11 6 4" xfId="24010"/>
    <cellStyle name="Обычный 11 6 4 2" xfId="56053"/>
    <cellStyle name="Обычный 11 6 5" xfId="34693"/>
    <cellStyle name="Обычный 11 60" xfId="4378"/>
    <cellStyle name="Обычный 11 60 2" xfId="9719"/>
    <cellStyle name="Обычный 11 60 2 2" xfId="20399"/>
    <cellStyle name="Обычный 11 60 2 2 2" xfId="52443"/>
    <cellStyle name="Обычный 11 60 2 3" xfId="31080"/>
    <cellStyle name="Обычный 11 60 2 3 2" xfId="63123"/>
    <cellStyle name="Обычный 11 60 2 4" xfId="41763"/>
    <cellStyle name="Обычный 11 60 3" xfId="15059"/>
    <cellStyle name="Обычный 11 60 3 2" xfId="47103"/>
    <cellStyle name="Обычный 11 60 4" xfId="25740"/>
    <cellStyle name="Обычный 11 60 4 2" xfId="57783"/>
    <cellStyle name="Обычный 11 60 5" xfId="36423"/>
    <cellStyle name="Обычный 11 61" xfId="4410"/>
    <cellStyle name="Обычный 11 61 2" xfId="9751"/>
    <cellStyle name="Обычный 11 61 2 2" xfId="20431"/>
    <cellStyle name="Обычный 11 61 2 2 2" xfId="52475"/>
    <cellStyle name="Обычный 11 61 2 3" xfId="31112"/>
    <cellStyle name="Обычный 11 61 2 3 2" xfId="63155"/>
    <cellStyle name="Обычный 11 61 2 4" xfId="41795"/>
    <cellStyle name="Обычный 11 61 3" xfId="15091"/>
    <cellStyle name="Обычный 11 61 3 2" xfId="47135"/>
    <cellStyle name="Обычный 11 61 4" xfId="25772"/>
    <cellStyle name="Обычный 11 61 4 2" xfId="57815"/>
    <cellStyle name="Обычный 11 61 5" xfId="36455"/>
    <cellStyle name="Обычный 11 62" xfId="4442"/>
    <cellStyle name="Обычный 11 62 2" xfId="9783"/>
    <cellStyle name="Обычный 11 62 2 2" xfId="20463"/>
    <cellStyle name="Обычный 11 62 2 2 2" xfId="52507"/>
    <cellStyle name="Обычный 11 62 2 3" xfId="31144"/>
    <cellStyle name="Обычный 11 62 2 3 2" xfId="63187"/>
    <cellStyle name="Обычный 11 62 2 4" xfId="41827"/>
    <cellStyle name="Обычный 11 62 3" xfId="15123"/>
    <cellStyle name="Обычный 11 62 3 2" xfId="47167"/>
    <cellStyle name="Обычный 11 62 4" xfId="25804"/>
    <cellStyle name="Обычный 11 62 4 2" xfId="57847"/>
    <cellStyle name="Обычный 11 62 5" xfId="36487"/>
    <cellStyle name="Обычный 11 63" xfId="4474"/>
    <cellStyle name="Обычный 11 63 2" xfId="9815"/>
    <cellStyle name="Обычный 11 63 2 2" xfId="20495"/>
    <cellStyle name="Обычный 11 63 2 2 2" xfId="52539"/>
    <cellStyle name="Обычный 11 63 2 3" xfId="31176"/>
    <cellStyle name="Обычный 11 63 2 3 2" xfId="63219"/>
    <cellStyle name="Обычный 11 63 2 4" xfId="41859"/>
    <cellStyle name="Обычный 11 63 3" xfId="15155"/>
    <cellStyle name="Обычный 11 63 3 2" xfId="47199"/>
    <cellStyle name="Обычный 11 63 4" xfId="25836"/>
    <cellStyle name="Обычный 11 63 4 2" xfId="57879"/>
    <cellStyle name="Обычный 11 63 5" xfId="36519"/>
    <cellStyle name="Обычный 11 64" xfId="4506"/>
    <cellStyle name="Обычный 11 64 2" xfId="9847"/>
    <cellStyle name="Обычный 11 64 2 2" xfId="20527"/>
    <cellStyle name="Обычный 11 64 2 2 2" xfId="52571"/>
    <cellStyle name="Обычный 11 64 2 3" xfId="31208"/>
    <cellStyle name="Обычный 11 64 2 3 2" xfId="63251"/>
    <cellStyle name="Обычный 11 64 2 4" xfId="41891"/>
    <cellStyle name="Обычный 11 64 3" xfId="15187"/>
    <cellStyle name="Обычный 11 64 3 2" xfId="47231"/>
    <cellStyle name="Обычный 11 64 4" xfId="25868"/>
    <cellStyle name="Обычный 11 64 4 2" xfId="57911"/>
    <cellStyle name="Обычный 11 64 5" xfId="36551"/>
    <cellStyle name="Обычный 11 65" xfId="4538"/>
    <cellStyle name="Обычный 11 65 2" xfId="9879"/>
    <cellStyle name="Обычный 11 65 2 2" xfId="20559"/>
    <cellStyle name="Обычный 11 65 2 2 2" xfId="52603"/>
    <cellStyle name="Обычный 11 65 2 3" xfId="31240"/>
    <cellStyle name="Обычный 11 65 2 3 2" xfId="63283"/>
    <cellStyle name="Обычный 11 65 2 4" xfId="41923"/>
    <cellStyle name="Обычный 11 65 3" xfId="15219"/>
    <cellStyle name="Обычный 11 65 3 2" xfId="47263"/>
    <cellStyle name="Обычный 11 65 4" xfId="25900"/>
    <cellStyle name="Обычный 11 65 4 2" xfId="57943"/>
    <cellStyle name="Обычный 11 65 5" xfId="36583"/>
    <cellStyle name="Обычный 11 66" xfId="4570"/>
    <cellStyle name="Обычный 11 66 2" xfId="9911"/>
    <cellStyle name="Обычный 11 66 2 2" xfId="20591"/>
    <cellStyle name="Обычный 11 66 2 2 2" xfId="52635"/>
    <cellStyle name="Обычный 11 66 2 3" xfId="31272"/>
    <cellStyle name="Обычный 11 66 2 3 2" xfId="63315"/>
    <cellStyle name="Обычный 11 66 2 4" xfId="41955"/>
    <cellStyle name="Обычный 11 66 3" xfId="15251"/>
    <cellStyle name="Обычный 11 66 3 2" xfId="47295"/>
    <cellStyle name="Обычный 11 66 4" xfId="25932"/>
    <cellStyle name="Обычный 11 66 4 2" xfId="57975"/>
    <cellStyle name="Обычный 11 66 5" xfId="36615"/>
    <cellStyle name="Обычный 11 67" xfId="4602"/>
    <cellStyle name="Обычный 11 67 2" xfId="9943"/>
    <cellStyle name="Обычный 11 67 2 2" xfId="20623"/>
    <cellStyle name="Обычный 11 67 2 2 2" xfId="52667"/>
    <cellStyle name="Обычный 11 67 2 3" xfId="31304"/>
    <cellStyle name="Обычный 11 67 2 3 2" xfId="63347"/>
    <cellStyle name="Обычный 11 67 2 4" xfId="41987"/>
    <cellStyle name="Обычный 11 67 3" xfId="15283"/>
    <cellStyle name="Обычный 11 67 3 2" xfId="47327"/>
    <cellStyle name="Обычный 11 67 4" xfId="25964"/>
    <cellStyle name="Обычный 11 67 4 2" xfId="58007"/>
    <cellStyle name="Обычный 11 67 5" xfId="36647"/>
    <cellStyle name="Обычный 11 68" xfId="4634"/>
    <cellStyle name="Обычный 11 68 2" xfId="9975"/>
    <cellStyle name="Обычный 11 68 2 2" xfId="20655"/>
    <cellStyle name="Обычный 11 68 2 2 2" xfId="52699"/>
    <cellStyle name="Обычный 11 68 2 3" xfId="31336"/>
    <cellStyle name="Обычный 11 68 2 3 2" xfId="63379"/>
    <cellStyle name="Обычный 11 68 2 4" xfId="42019"/>
    <cellStyle name="Обычный 11 68 3" xfId="15315"/>
    <cellStyle name="Обычный 11 68 3 2" xfId="47359"/>
    <cellStyle name="Обычный 11 68 4" xfId="25996"/>
    <cellStyle name="Обычный 11 68 4 2" xfId="58039"/>
    <cellStyle name="Обычный 11 68 5" xfId="36679"/>
    <cellStyle name="Обычный 11 69" xfId="4666"/>
    <cellStyle name="Обычный 11 69 2" xfId="10007"/>
    <cellStyle name="Обычный 11 69 2 2" xfId="20687"/>
    <cellStyle name="Обычный 11 69 2 2 2" xfId="52731"/>
    <cellStyle name="Обычный 11 69 2 3" xfId="31368"/>
    <cellStyle name="Обычный 11 69 2 3 2" xfId="63411"/>
    <cellStyle name="Обычный 11 69 2 4" xfId="42051"/>
    <cellStyle name="Обычный 11 69 3" xfId="15347"/>
    <cellStyle name="Обычный 11 69 3 2" xfId="47391"/>
    <cellStyle name="Обычный 11 69 4" xfId="26028"/>
    <cellStyle name="Обычный 11 69 4 2" xfId="58071"/>
    <cellStyle name="Обычный 11 69 5" xfId="36711"/>
    <cellStyle name="Обычный 11 7" xfId="2679"/>
    <cellStyle name="Обычный 11 7 2" xfId="8021"/>
    <cellStyle name="Обычный 11 7 2 2" xfId="18701"/>
    <cellStyle name="Обычный 11 7 2 2 2" xfId="50745"/>
    <cellStyle name="Обычный 11 7 2 3" xfId="29382"/>
    <cellStyle name="Обычный 11 7 2 3 2" xfId="61425"/>
    <cellStyle name="Обычный 11 7 2 4" xfId="40065"/>
    <cellStyle name="Обычный 11 7 3" xfId="13361"/>
    <cellStyle name="Обычный 11 7 3 2" xfId="45405"/>
    <cellStyle name="Обычный 11 7 4" xfId="24042"/>
    <cellStyle name="Обычный 11 7 4 2" xfId="56085"/>
    <cellStyle name="Обычный 11 7 5" xfId="34725"/>
    <cellStyle name="Обычный 11 70" xfId="4698"/>
    <cellStyle name="Обычный 11 70 2" xfId="10039"/>
    <cellStyle name="Обычный 11 70 2 2" xfId="20719"/>
    <cellStyle name="Обычный 11 70 2 2 2" xfId="52763"/>
    <cellStyle name="Обычный 11 70 2 3" xfId="31400"/>
    <cellStyle name="Обычный 11 70 2 3 2" xfId="63443"/>
    <cellStyle name="Обычный 11 70 2 4" xfId="42083"/>
    <cellStyle name="Обычный 11 70 3" xfId="15379"/>
    <cellStyle name="Обычный 11 70 3 2" xfId="47423"/>
    <cellStyle name="Обычный 11 70 4" xfId="26060"/>
    <cellStyle name="Обычный 11 70 4 2" xfId="58103"/>
    <cellStyle name="Обычный 11 70 5" xfId="36743"/>
    <cellStyle name="Обычный 11 71" xfId="4732"/>
    <cellStyle name="Обычный 11 71 2" xfId="10073"/>
    <cellStyle name="Обычный 11 71 2 2" xfId="20753"/>
    <cellStyle name="Обычный 11 71 2 2 2" xfId="52797"/>
    <cellStyle name="Обычный 11 71 2 3" xfId="31434"/>
    <cellStyle name="Обычный 11 71 2 3 2" xfId="63477"/>
    <cellStyle name="Обычный 11 71 2 4" xfId="42117"/>
    <cellStyle name="Обычный 11 71 3" xfId="15413"/>
    <cellStyle name="Обычный 11 71 3 2" xfId="47457"/>
    <cellStyle name="Обычный 11 71 4" xfId="26094"/>
    <cellStyle name="Обычный 11 71 4 2" xfId="58137"/>
    <cellStyle name="Обычный 11 71 5" xfId="36777"/>
    <cellStyle name="Обычный 11 72" xfId="4764"/>
    <cellStyle name="Обычный 11 72 2" xfId="10105"/>
    <cellStyle name="Обычный 11 72 2 2" xfId="20785"/>
    <cellStyle name="Обычный 11 72 2 2 2" xfId="52829"/>
    <cellStyle name="Обычный 11 72 2 3" xfId="31466"/>
    <cellStyle name="Обычный 11 72 2 3 2" xfId="63509"/>
    <cellStyle name="Обычный 11 72 2 4" xfId="42149"/>
    <cellStyle name="Обычный 11 72 3" xfId="15445"/>
    <cellStyle name="Обычный 11 72 3 2" xfId="47489"/>
    <cellStyle name="Обычный 11 72 4" xfId="26126"/>
    <cellStyle name="Обычный 11 72 4 2" xfId="58169"/>
    <cellStyle name="Обычный 11 72 5" xfId="36809"/>
    <cellStyle name="Обычный 11 73" xfId="4796"/>
    <cellStyle name="Обычный 11 73 2" xfId="10137"/>
    <cellStyle name="Обычный 11 73 2 2" xfId="20817"/>
    <cellStyle name="Обычный 11 73 2 2 2" xfId="52861"/>
    <cellStyle name="Обычный 11 73 2 3" xfId="31498"/>
    <cellStyle name="Обычный 11 73 2 3 2" xfId="63541"/>
    <cellStyle name="Обычный 11 73 2 4" xfId="42181"/>
    <cellStyle name="Обычный 11 73 3" xfId="15477"/>
    <cellStyle name="Обычный 11 73 3 2" xfId="47521"/>
    <cellStyle name="Обычный 11 73 4" xfId="26158"/>
    <cellStyle name="Обычный 11 73 4 2" xfId="58201"/>
    <cellStyle name="Обычный 11 73 5" xfId="36841"/>
    <cellStyle name="Обычный 11 74" xfId="4828"/>
    <cellStyle name="Обычный 11 74 2" xfId="10169"/>
    <cellStyle name="Обычный 11 74 2 2" xfId="20849"/>
    <cellStyle name="Обычный 11 74 2 2 2" xfId="52893"/>
    <cellStyle name="Обычный 11 74 2 3" xfId="31530"/>
    <cellStyle name="Обычный 11 74 2 3 2" xfId="63573"/>
    <cellStyle name="Обычный 11 74 2 4" xfId="42213"/>
    <cellStyle name="Обычный 11 74 3" xfId="15509"/>
    <cellStyle name="Обычный 11 74 3 2" xfId="47553"/>
    <cellStyle name="Обычный 11 74 4" xfId="26190"/>
    <cellStyle name="Обычный 11 74 4 2" xfId="58233"/>
    <cellStyle name="Обычный 11 74 5" xfId="36873"/>
    <cellStyle name="Обычный 11 75" xfId="4860"/>
    <cellStyle name="Обычный 11 75 2" xfId="10201"/>
    <cellStyle name="Обычный 11 75 2 2" xfId="20881"/>
    <cellStyle name="Обычный 11 75 2 2 2" xfId="52925"/>
    <cellStyle name="Обычный 11 75 2 3" xfId="31562"/>
    <cellStyle name="Обычный 11 75 2 3 2" xfId="63605"/>
    <cellStyle name="Обычный 11 75 2 4" xfId="42245"/>
    <cellStyle name="Обычный 11 75 3" xfId="15541"/>
    <cellStyle name="Обычный 11 75 3 2" xfId="47585"/>
    <cellStyle name="Обычный 11 75 4" xfId="26222"/>
    <cellStyle name="Обычный 11 75 4 2" xfId="58265"/>
    <cellStyle name="Обычный 11 75 5" xfId="36905"/>
    <cellStyle name="Обычный 11 76" xfId="4892"/>
    <cellStyle name="Обычный 11 76 2" xfId="10233"/>
    <cellStyle name="Обычный 11 76 2 2" xfId="20913"/>
    <cellStyle name="Обычный 11 76 2 2 2" xfId="52957"/>
    <cellStyle name="Обычный 11 76 2 3" xfId="31594"/>
    <cellStyle name="Обычный 11 76 2 3 2" xfId="63637"/>
    <cellStyle name="Обычный 11 76 2 4" xfId="42277"/>
    <cellStyle name="Обычный 11 76 3" xfId="15573"/>
    <cellStyle name="Обычный 11 76 3 2" xfId="47617"/>
    <cellStyle name="Обычный 11 76 4" xfId="26254"/>
    <cellStyle name="Обычный 11 76 4 2" xfId="58297"/>
    <cellStyle name="Обычный 11 76 5" xfId="36937"/>
    <cellStyle name="Обычный 11 77" xfId="4924"/>
    <cellStyle name="Обычный 11 77 2" xfId="10265"/>
    <cellStyle name="Обычный 11 77 2 2" xfId="20945"/>
    <cellStyle name="Обычный 11 77 2 2 2" xfId="52989"/>
    <cellStyle name="Обычный 11 77 2 3" xfId="31626"/>
    <cellStyle name="Обычный 11 77 2 3 2" xfId="63669"/>
    <cellStyle name="Обычный 11 77 2 4" xfId="42309"/>
    <cellStyle name="Обычный 11 77 3" xfId="15605"/>
    <cellStyle name="Обычный 11 77 3 2" xfId="47649"/>
    <cellStyle name="Обычный 11 77 4" xfId="26286"/>
    <cellStyle name="Обычный 11 77 4 2" xfId="58329"/>
    <cellStyle name="Обычный 11 77 5" xfId="36969"/>
    <cellStyle name="Обычный 11 78" xfId="4956"/>
    <cellStyle name="Обычный 11 78 2" xfId="10297"/>
    <cellStyle name="Обычный 11 78 2 2" xfId="20977"/>
    <cellStyle name="Обычный 11 78 2 2 2" xfId="53021"/>
    <cellStyle name="Обычный 11 78 2 3" xfId="31658"/>
    <cellStyle name="Обычный 11 78 2 3 2" xfId="63701"/>
    <cellStyle name="Обычный 11 78 2 4" xfId="42341"/>
    <cellStyle name="Обычный 11 78 3" xfId="15637"/>
    <cellStyle name="Обычный 11 78 3 2" xfId="47681"/>
    <cellStyle name="Обычный 11 78 4" xfId="26318"/>
    <cellStyle name="Обычный 11 78 4 2" xfId="58361"/>
    <cellStyle name="Обычный 11 78 5" xfId="37001"/>
    <cellStyle name="Обычный 11 79" xfId="4988"/>
    <cellStyle name="Обычный 11 79 2" xfId="10329"/>
    <cellStyle name="Обычный 11 79 2 2" xfId="21009"/>
    <cellStyle name="Обычный 11 79 2 2 2" xfId="53053"/>
    <cellStyle name="Обычный 11 79 2 3" xfId="31690"/>
    <cellStyle name="Обычный 11 79 2 3 2" xfId="63733"/>
    <cellStyle name="Обычный 11 79 2 4" xfId="42373"/>
    <cellStyle name="Обычный 11 79 3" xfId="15669"/>
    <cellStyle name="Обычный 11 79 3 2" xfId="47713"/>
    <cellStyle name="Обычный 11 79 4" xfId="26350"/>
    <cellStyle name="Обычный 11 79 4 2" xfId="58393"/>
    <cellStyle name="Обычный 11 79 5" xfId="37033"/>
    <cellStyle name="Обычный 11 8" xfId="2711"/>
    <cellStyle name="Обычный 11 8 2" xfId="8053"/>
    <cellStyle name="Обычный 11 8 2 2" xfId="18733"/>
    <cellStyle name="Обычный 11 8 2 2 2" xfId="50777"/>
    <cellStyle name="Обычный 11 8 2 3" xfId="29414"/>
    <cellStyle name="Обычный 11 8 2 3 2" xfId="61457"/>
    <cellStyle name="Обычный 11 8 2 4" xfId="40097"/>
    <cellStyle name="Обычный 11 8 3" xfId="13393"/>
    <cellStyle name="Обычный 11 8 3 2" xfId="45437"/>
    <cellStyle name="Обычный 11 8 4" xfId="24074"/>
    <cellStyle name="Обычный 11 8 4 2" xfId="56117"/>
    <cellStyle name="Обычный 11 8 5" xfId="34757"/>
    <cellStyle name="Обычный 11 80" xfId="5020"/>
    <cellStyle name="Обычный 11 80 2" xfId="10361"/>
    <cellStyle name="Обычный 11 80 2 2" xfId="21041"/>
    <cellStyle name="Обычный 11 80 2 2 2" xfId="53085"/>
    <cellStyle name="Обычный 11 80 2 3" xfId="31722"/>
    <cellStyle name="Обычный 11 80 2 3 2" xfId="63765"/>
    <cellStyle name="Обычный 11 80 2 4" xfId="42405"/>
    <cellStyle name="Обычный 11 80 3" xfId="15701"/>
    <cellStyle name="Обычный 11 80 3 2" xfId="47745"/>
    <cellStyle name="Обычный 11 80 4" xfId="26382"/>
    <cellStyle name="Обычный 11 80 4 2" xfId="58425"/>
    <cellStyle name="Обычный 11 80 5" xfId="37065"/>
    <cellStyle name="Обычный 11 81" xfId="5052"/>
    <cellStyle name="Обычный 11 81 2" xfId="10393"/>
    <cellStyle name="Обычный 11 81 2 2" xfId="21073"/>
    <cellStyle name="Обычный 11 81 2 2 2" xfId="53117"/>
    <cellStyle name="Обычный 11 81 2 3" xfId="31754"/>
    <cellStyle name="Обычный 11 81 2 3 2" xfId="63797"/>
    <cellStyle name="Обычный 11 81 2 4" xfId="42437"/>
    <cellStyle name="Обычный 11 81 3" xfId="15733"/>
    <cellStyle name="Обычный 11 81 3 2" xfId="47777"/>
    <cellStyle name="Обычный 11 81 4" xfId="26414"/>
    <cellStyle name="Обычный 11 81 4 2" xfId="58457"/>
    <cellStyle name="Обычный 11 81 5" xfId="37097"/>
    <cellStyle name="Обычный 11 82" xfId="5084"/>
    <cellStyle name="Обычный 11 82 2" xfId="10425"/>
    <cellStyle name="Обычный 11 82 2 2" xfId="21105"/>
    <cellStyle name="Обычный 11 82 2 2 2" xfId="53149"/>
    <cellStyle name="Обычный 11 82 2 3" xfId="31786"/>
    <cellStyle name="Обычный 11 82 2 3 2" xfId="63829"/>
    <cellStyle name="Обычный 11 82 2 4" xfId="42469"/>
    <cellStyle name="Обычный 11 82 3" xfId="15765"/>
    <cellStyle name="Обычный 11 82 3 2" xfId="47809"/>
    <cellStyle name="Обычный 11 82 4" xfId="26446"/>
    <cellStyle name="Обычный 11 82 4 2" xfId="58489"/>
    <cellStyle name="Обычный 11 82 5" xfId="37129"/>
    <cellStyle name="Обычный 11 83" xfId="5116"/>
    <cellStyle name="Обычный 11 83 2" xfId="10457"/>
    <cellStyle name="Обычный 11 83 2 2" xfId="21137"/>
    <cellStyle name="Обычный 11 83 2 2 2" xfId="53181"/>
    <cellStyle name="Обычный 11 83 2 3" xfId="31818"/>
    <cellStyle name="Обычный 11 83 2 3 2" xfId="63861"/>
    <cellStyle name="Обычный 11 83 2 4" xfId="42501"/>
    <cellStyle name="Обычный 11 83 3" xfId="15797"/>
    <cellStyle name="Обычный 11 83 3 2" xfId="47841"/>
    <cellStyle name="Обычный 11 83 4" xfId="26478"/>
    <cellStyle name="Обычный 11 83 4 2" xfId="58521"/>
    <cellStyle name="Обычный 11 83 5" xfId="37161"/>
    <cellStyle name="Обычный 11 84" xfId="5148"/>
    <cellStyle name="Обычный 11 84 2" xfId="10489"/>
    <cellStyle name="Обычный 11 84 2 2" xfId="21169"/>
    <cellStyle name="Обычный 11 84 2 2 2" xfId="53213"/>
    <cellStyle name="Обычный 11 84 2 3" xfId="31850"/>
    <cellStyle name="Обычный 11 84 2 3 2" xfId="63893"/>
    <cellStyle name="Обычный 11 84 2 4" xfId="42533"/>
    <cellStyle name="Обычный 11 84 3" xfId="15829"/>
    <cellStyle name="Обычный 11 84 3 2" xfId="47873"/>
    <cellStyle name="Обычный 11 84 4" xfId="26510"/>
    <cellStyle name="Обычный 11 84 4 2" xfId="58553"/>
    <cellStyle name="Обычный 11 84 5" xfId="37193"/>
    <cellStyle name="Обычный 11 85" xfId="5180"/>
    <cellStyle name="Обычный 11 85 2" xfId="10521"/>
    <cellStyle name="Обычный 11 85 2 2" xfId="21201"/>
    <cellStyle name="Обычный 11 85 2 2 2" xfId="53245"/>
    <cellStyle name="Обычный 11 85 2 3" xfId="31882"/>
    <cellStyle name="Обычный 11 85 2 3 2" xfId="63925"/>
    <cellStyle name="Обычный 11 85 2 4" xfId="42565"/>
    <cellStyle name="Обычный 11 85 3" xfId="15861"/>
    <cellStyle name="Обычный 11 85 3 2" xfId="47905"/>
    <cellStyle name="Обычный 11 85 4" xfId="26542"/>
    <cellStyle name="Обычный 11 85 4 2" xfId="58585"/>
    <cellStyle name="Обычный 11 85 5" xfId="37225"/>
    <cellStyle name="Обычный 11 86" xfId="5212"/>
    <cellStyle name="Обычный 11 86 2" xfId="10553"/>
    <cellStyle name="Обычный 11 86 2 2" xfId="21233"/>
    <cellStyle name="Обычный 11 86 2 2 2" xfId="53277"/>
    <cellStyle name="Обычный 11 86 2 3" xfId="31914"/>
    <cellStyle name="Обычный 11 86 2 3 2" xfId="63957"/>
    <cellStyle name="Обычный 11 86 2 4" xfId="42597"/>
    <cellStyle name="Обычный 11 86 3" xfId="15893"/>
    <cellStyle name="Обычный 11 86 3 2" xfId="47937"/>
    <cellStyle name="Обычный 11 86 4" xfId="26574"/>
    <cellStyle name="Обычный 11 86 4 2" xfId="58617"/>
    <cellStyle name="Обычный 11 86 5" xfId="37257"/>
    <cellStyle name="Обычный 11 87" xfId="5244"/>
    <cellStyle name="Обычный 11 87 2" xfId="10585"/>
    <cellStyle name="Обычный 11 87 2 2" xfId="21265"/>
    <cellStyle name="Обычный 11 87 2 2 2" xfId="53309"/>
    <cellStyle name="Обычный 11 87 2 3" xfId="31946"/>
    <cellStyle name="Обычный 11 87 2 3 2" xfId="63989"/>
    <cellStyle name="Обычный 11 87 2 4" xfId="42629"/>
    <cellStyle name="Обычный 11 87 3" xfId="15925"/>
    <cellStyle name="Обычный 11 87 3 2" xfId="47969"/>
    <cellStyle name="Обычный 11 87 4" xfId="26606"/>
    <cellStyle name="Обычный 11 87 4 2" xfId="58649"/>
    <cellStyle name="Обычный 11 87 5" xfId="37289"/>
    <cellStyle name="Обычный 11 88" xfId="5276"/>
    <cellStyle name="Обычный 11 88 2" xfId="10617"/>
    <cellStyle name="Обычный 11 88 2 2" xfId="21297"/>
    <cellStyle name="Обычный 11 88 2 2 2" xfId="53341"/>
    <cellStyle name="Обычный 11 88 2 3" xfId="31978"/>
    <cellStyle name="Обычный 11 88 2 3 2" xfId="64021"/>
    <cellStyle name="Обычный 11 88 2 4" xfId="42661"/>
    <cellStyle name="Обычный 11 88 3" xfId="15957"/>
    <cellStyle name="Обычный 11 88 3 2" xfId="48001"/>
    <cellStyle name="Обычный 11 88 4" xfId="26638"/>
    <cellStyle name="Обычный 11 88 4 2" xfId="58681"/>
    <cellStyle name="Обычный 11 88 5" xfId="37321"/>
    <cellStyle name="Обычный 11 89" xfId="5308"/>
    <cellStyle name="Обычный 11 89 2" xfId="10649"/>
    <cellStyle name="Обычный 11 89 2 2" xfId="21329"/>
    <cellStyle name="Обычный 11 89 2 2 2" xfId="53373"/>
    <cellStyle name="Обычный 11 89 2 3" xfId="32010"/>
    <cellStyle name="Обычный 11 89 2 3 2" xfId="64053"/>
    <cellStyle name="Обычный 11 89 2 4" xfId="42693"/>
    <cellStyle name="Обычный 11 89 3" xfId="15989"/>
    <cellStyle name="Обычный 11 89 3 2" xfId="48033"/>
    <cellStyle name="Обычный 11 89 4" xfId="26670"/>
    <cellStyle name="Обычный 11 89 4 2" xfId="58713"/>
    <cellStyle name="Обычный 11 89 5" xfId="37353"/>
    <cellStyle name="Обычный 11 9" xfId="2743"/>
    <cellStyle name="Обычный 11 9 2" xfId="8085"/>
    <cellStyle name="Обычный 11 9 2 2" xfId="18765"/>
    <cellStyle name="Обычный 11 9 2 2 2" xfId="50809"/>
    <cellStyle name="Обычный 11 9 2 3" xfId="29446"/>
    <cellStyle name="Обычный 11 9 2 3 2" xfId="61489"/>
    <cellStyle name="Обычный 11 9 2 4" xfId="40129"/>
    <cellStyle name="Обычный 11 9 3" xfId="13425"/>
    <cellStyle name="Обычный 11 9 3 2" xfId="45469"/>
    <cellStyle name="Обычный 11 9 4" xfId="24106"/>
    <cellStyle name="Обычный 11 9 4 2" xfId="56149"/>
    <cellStyle name="Обычный 11 9 5" xfId="34789"/>
    <cellStyle name="Обычный 11 90" xfId="5340"/>
    <cellStyle name="Обычный 11 90 2" xfId="10681"/>
    <cellStyle name="Обычный 11 90 2 2" xfId="21361"/>
    <cellStyle name="Обычный 11 90 2 2 2" xfId="53405"/>
    <cellStyle name="Обычный 11 90 2 3" xfId="32042"/>
    <cellStyle name="Обычный 11 90 2 3 2" xfId="64085"/>
    <cellStyle name="Обычный 11 90 2 4" xfId="42725"/>
    <cellStyle name="Обычный 11 90 3" xfId="16021"/>
    <cellStyle name="Обычный 11 90 3 2" xfId="48065"/>
    <cellStyle name="Обычный 11 90 4" xfId="26702"/>
    <cellStyle name="Обычный 11 90 4 2" xfId="58745"/>
    <cellStyle name="Обычный 11 90 5" xfId="37385"/>
    <cellStyle name="Обычный 11 91" xfId="5372"/>
    <cellStyle name="Обычный 11 91 2" xfId="10713"/>
    <cellStyle name="Обычный 11 91 2 2" xfId="21393"/>
    <cellStyle name="Обычный 11 91 2 2 2" xfId="53437"/>
    <cellStyle name="Обычный 11 91 2 3" xfId="32074"/>
    <cellStyle name="Обычный 11 91 2 3 2" xfId="64117"/>
    <cellStyle name="Обычный 11 91 2 4" xfId="42757"/>
    <cellStyle name="Обычный 11 91 3" xfId="16053"/>
    <cellStyle name="Обычный 11 91 3 2" xfId="48097"/>
    <cellStyle name="Обычный 11 91 4" xfId="26734"/>
    <cellStyle name="Обычный 11 91 4 2" xfId="58777"/>
    <cellStyle name="Обычный 11 91 5" xfId="37417"/>
    <cellStyle name="Обычный 11 92" xfId="7827"/>
    <cellStyle name="Обычный 11 92 2" xfId="18507"/>
    <cellStyle name="Обычный 11 92 2 2" xfId="50551"/>
    <cellStyle name="Обычный 11 92 3" xfId="29188"/>
    <cellStyle name="Обычный 11 92 3 2" xfId="61231"/>
    <cellStyle name="Обычный 11 92 4" xfId="39871"/>
    <cellStyle name="Обычный 11 93" xfId="13167"/>
    <cellStyle name="Обычный 11 93 2" xfId="45211"/>
    <cellStyle name="Обычный 11 94" xfId="23848"/>
    <cellStyle name="Обычный 11 94 2" xfId="55891"/>
    <cellStyle name="Обычный 11 95" xfId="34531"/>
    <cellStyle name="Обычный 12" xfId="2519"/>
    <cellStyle name="Обычный 12 2" xfId="7861"/>
    <cellStyle name="Обычный 12 2 2" xfId="18541"/>
    <cellStyle name="Обычный 12 2 2 2" xfId="50585"/>
    <cellStyle name="Обычный 12 2 3" xfId="29222"/>
    <cellStyle name="Обычный 12 2 3 2" xfId="61265"/>
    <cellStyle name="Обычный 12 2 4" xfId="39905"/>
    <cellStyle name="Обычный 12 3" xfId="13201"/>
    <cellStyle name="Обычный 12 3 2" xfId="45245"/>
    <cellStyle name="Обычный 12 4" xfId="23882"/>
    <cellStyle name="Обычный 12 4 2" xfId="55925"/>
    <cellStyle name="Обычный 12 5" xfId="34565"/>
    <cellStyle name="Обычный 13" xfId="2745"/>
    <cellStyle name="Обычный 13 2" xfId="8087"/>
    <cellStyle name="Обычный 13 2 2" xfId="18767"/>
    <cellStyle name="Обычный 13 2 2 2" xfId="50811"/>
    <cellStyle name="Обычный 13 2 3" xfId="29448"/>
    <cellStyle name="Обычный 13 2 3 2" xfId="61491"/>
    <cellStyle name="Обычный 13 2 4" xfId="40131"/>
    <cellStyle name="Обычный 13 3" xfId="13427"/>
    <cellStyle name="Обычный 13 3 2" xfId="45471"/>
    <cellStyle name="Обычный 13 4" xfId="24108"/>
    <cellStyle name="Обычный 13 4 2" xfId="56151"/>
    <cellStyle name="Обычный 13 5" xfId="34791"/>
    <cellStyle name="Обычный 14" xfId="4700"/>
    <cellStyle name="Обычный 14 2" xfId="10041"/>
    <cellStyle name="Обычный 14 2 2" xfId="20721"/>
    <cellStyle name="Обычный 14 2 2 2" xfId="52765"/>
    <cellStyle name="Обычный 14 2 3" xfId="31402"/>
    <cellStyle name="Обычный 14 2 3 2" xfId="63445"/>
    <cellStyle name="Обычный 14 2 4" xfId="42085"/>
    <cellStyle name="Обычный 14 3" xfId="15381"/>
    <cellStyle name="Обычный 14 3 2" xfId="47425"/>
    <cellStyle name="Обычный 14 4" xfId="26062"/>
    <cellStyle name="Обычный 14 4 2" xfId="58105"/>
    <cellStyle name="Обычный 14 5" xfId="36745"/>
    <cellStyle name="Обычный 15" xfId="64121"/>
    <cellStyle name="Обычный 2" xfId="14"/>
    <cellStyle name="Обычный 3" xfId="24"/>
    <cellStyle name="Обычный 3 2" xfId="29"/>
    <cellStyle name="Обычный 3 3" xfId="498"/>
    <cellStyle name="Обычный 3 3 2" xfId="5842"/>
    <cellStyle name="Обычный 3 3 2 2" xfId="16522"/>
    <cellStyle name="Обычный 3 3 2 2 2" xfId="48566"/>
    <cellStyle name="Обычный 3 3 2 3" xfId="27203"/>
    <cellStyle name="Обычный 3 3 2 3 2" xfId="59246"/>
    <cellStyle name="Обычный 3 3 2 4" xfId="37886"/>
    <cellStyle name="Обычный 3 3 3" xfId="11182"/>
    <cellStyle name="Обычный 3 3 3 2" xfId="43226"/>
    <cellStyle name="Обычный 3 3 4" xfId="21863"/>
    <cellStyle name="Обычный 3 3 4 2" xfId="53906"/>
    <cellStyle name="Обычный 3 3 5" xfId="32546"/>
    <cellStyle name="Обычный 3 4" xfId="5374"/>
    <cellStyle name="Обычный 3 4 2" xfId="16055"/>
    <cellStyle name="Обычный 3 4 2 2" xfId="48099"/>
    <cellStyle name="Обычный 3 4 3" xfId="26736"/>
    <cellStyle name="Обычный 3 4 3 2" xfId="58779"/>
    <cellStyle name="Обычный 3 4 4" xfId="37419"/>
    <cellStyle name="Обычный 3 5" xfId="10715"/>
    <cellStyle name="Обычный 3 5 2" xfId="42759"/>
    <cellStyle name="Обычный 3 6" xfId="21396"/>
    <cellStyle name="Обычный 3 6 2" xfId="53439"/>
    <cellStyle name="Обычный 3 7" xfId="32079"/>
    <cellStyle name="Обычный 4" xfId="27"/>
    <cellStyle name="Обычный 4 10" xfId="54"/>
    <cellStyle name="Обычный 4 10 2" xfId="522"/>
    <cellStyle name="Обычный 4 10 2 2" xfId="5865"/>
    <cellStyle name="Обычный 4 10 2 2 2" xfId="16545"/>
    <cellStyle name="Обычный 4 10 2 2 2 2" xfId="48589"/>
    <cellStyle name="Обычный 4 10 2 2 3" xfId="27226"/>
    <cellStyle name="Обычный 4 10 2 2 3 2" xfId="59269"/>
    <cellStyle name="Обычный 4 10 2 2 4" xfId="37909"/>
    <cellStyle name="Обычный 4 10 2 3" xfId="11205"/>
    <cellStyle name="Обычный 4 10 2 3 2" xfId="43249"/>
    <cellStyle name="Обычный 4 10 2 4" xfId="21886"/>
    <cellStyle name="Обычный 4 10 2 4 2" xfId="53929"/>
    <cellStyle name="Обычный 4 10 2 5" xfId="32569"/>
    <cellStyle name="Обычный 4 10 3" xfId="5398"/>
    <cellStyle name="Обычный 4 10 3 2" xfId="16078"/>
    <cellStyle name="Обычный 4 10 3 2 2" xfId="48122"/>
    <cellStyle name="Обычный 4 10 3 3" xfId="26759"/>
    <cellStyle name="Обычный 4 10 3 3 2" xfId="58802"/>
    <cellStyle name="Обычный 4 10 3 4" xfId="37442"/>
    <cellStyle name="Обычный 4 10 4" xfId="10738"/>
    <cellStyle name="Обычный 4 10 4 2" xfId="42782"/>
    <cellStyle name="Обычный 4 10 5" xfId="21419"/>
    <cellStyle name="Обычный 4 10 5 2" xfId="53462"/>
    <cellStyle name="Обычный 4 10 6" xfId="32102"/>
    <cellStyle name="Обычный 4 100" xfId="2095"/>
    <cellStyle name="Обычный 4 100 2" xfId="7437"/>
    <cellStyle name="Обычный 4 100 2 2" xfId="18117"/>
    <cellStyle name="Обычный 4 100 2 2 2" xfId="50161"/>
    <cellStyle name="Обычный 4 100 2 3" xfId="28798"/>
    <cellStyle name="Обычный 4 100 2 3 2" xfId="60841"/>
    <cellStyle name="Обычный 4 100 2 4" xfId="39481"/>
    <cellStyle name="Обычный 4 100 3" xfId="12777"/>
    <cellStyle name="Обычный 4 100 3 2" xfId="44821"/>
    <cellStyle name="Обычный 4 100 4" xfId="23458"/>
    <cellStyle name="Обычный 4 100 4 2" xfId="55501"/>
    <cellStyle name="Обычный 4 100 5" xfId="34141"/>
    <cellStyle name="Обычный 4 101" xfId="2125"/>
    <cellStyle name="Обычный 4 101 2" xfId="7467"/>
    <cellStyle name="Обычный 4 101 2 2" xfId="18147"/>
    <cellStyle name="Обычный 4 101 2 2 2" xfId="50191"/>
    <cellStyle name="Обычный 4 101 2 3" xfId="28828"/>
    <cellStyle name="Обычный 4 101 2 3 2" xfId="60871"/>
    <cellStyle name="Обычный 4 101 2 4" xfId="39511"/>
    <cellStyle name="Обычный 4 101 3" xfId="12807"/>
    <cellStyle name="Обычный 4 101 3 2" xfId="44851"/>
    <cellStyle name="Обычный 4 101 4" xfId="23488"/>
    <cellStyle name="Обычный 4 101 4 2" xfId="55531"/>
    <cellStyle name="Обычный 4 101 5" xfId="34171"/>
    <cellStyle name="Обычный 4 102" xfId="2155"/>
    <cellStyle name="Обычный 4 102 2" xfId="7497"/>
    <cellStyle name="Обычный 4 102 2 2" xfId="18177"/>
    <cellStyle name="Обычный 4 102 2 2 2" xfId="50221"/>
    <cellStyle name="Обычный 4 102 2 3" xfId="28858"/>
    <cellStyle name="Обычный 4 102 2 3 2" xfId="60901"/>
    <cellStyle name="Обычный 4 102 2 4" xfId="39541"/>
    <cellStyle name="Обычный 4 102 3" xfId="12837"/>
    <cellStyle name="Обычный 4 102 3 2" xfId="44881"/>
    <cellStyle name="Обычный 4 102 4" xfId="23518"/>
    <cellStyle name="Обычный 4 102 4 2" xfId="55561"/>
    <cellStyle name="Обычный 4 102 5" xfId="34201"/>
    <cellStyle name="Обычный 4 103" xfId="2185"/>
    <cellStyle name="Обычный 4 103 2" xfId="7527"/>
    <cellStyle name="Обычный 4 103 2 2" xfId="18207"/>
    <cellStyle name="Обычный 4 103 2 2 2" xfId="50251"/>
    <cellStyle name="Обычный 4 103 2 3" xfId="28888"/>
    <cellStyle name="Обычный 4 103 2 3 2" xfId="60931"/>
    <cellStyle name="Обычный 4 103 2 4" xfId="39571"/>
    <cellStyle name="Обычный 4 103 3" xfId="12867"/>
    <cellStyle name="Обычный 4 103 3 2" xfId="44911"/>
    <cellStyle name="Обычный 4 103 4" xfId="23548"/>
    <cellStyle name="Обычный 4 103 4 2" xfId="55591"/>
    <cellStyle name="Обычный 4 103 5" xfId="34231"/>
    <cellStyle name="Обычный 4 104" xfId="2215"/>
    <cellStyle name="Обычный 4 104 2" xfId="7557"/>
    <cellStyle name="Обычный 4 104 2 2" xfId="18237"/>
    <cellStyle name="Обычный 4 104 2 2 2" xfId="50281"/>
    <cellStyle name="Обычный 4 104 2 3" xfId="28918"/>
    <cellStyle name="Обычный 4 104 2 3 2" xfId="60961"/>
    <cellStyle name="Обычный 4 104 2 4" xfId="39601"/>
    <cellStyle name="Обычный 4 104 3" xfId="12897"/>
    <cellStyle name="Обычный 4 104 3 2" xfId="44941"/>
    <cellStyle name="Обычный 4 104 4" xfId="23578"/>
    <cellStyle name="Обычный 4 104 4 2" xfId="55621"/>
    <cellStyle name="Обычный 4 104 5" xfId="34261"/>
    <cellStyle name="Обычный 4 105" xfId="2245"/>
    <cellStyle name="Обычный 4 105 2" xfId="7587"/>
    <cellStyle name="Обычный 4 105 2 2" xfId="18267"/>
    <cellStyle name="Обычный 4 105 2 2 2" xfId="50311"/>
    <cellStyle name="Обычный 4 105 2 3" xfId="28948"/>
    <cellStyle name="Обычный 4 105 2 3 2" xfId="60991"/>
    <cellStyle name="Обычный 4 105 2 4" xfId="39631"/>
    <cellStyle name="Обычный 4 105 3" xfId="12927"/>
    <cellStyle name="Обычный 4 105 3 2" xfId="44971"/>
    <cellStyle name="Обычный 4 105 4" xfId="23608"/>
    <cellStyle name="Обычный 4 105 4 2" xfId="55651"/>
    <cellStyle name="Обычный 4 105 5" xfId="34291"/>
    <cellStyle name="Обычный 4 106" xfId="2275"/>
    <cellStyle name="Обычный 4 106 2" xfId="7617"/>
    <cellStyle name="Обычный 4 106 2 2" xfId="18297"/>
    <cellStyle name="Обычный 4 106 2 2 2" xfId="50341"/>
    <cellStyle name="Обычный 4 106 2 3" xfId="28978"/>
    <cellStyle name="Обычный 4 106 2 3 2" xfId="61021"/>
    <cellStyle name="Обычный 4 106 2 4" xfId="39661"/>
    <cellStyle name="Обычный 4 106 3" xfId="12957"/>
    <cellStyle name="Обычный 4 106 3 2" xfId="45001"/>
    <cellStyle name="Обычный 4 106 4" xfId="23638"/>
    <cellStyle name="Обычный 4 106 4 2" xfId="55681"/>
    <cellStyle name="Обычный 4 106 5" xfId="34321"/>
    <cellStyle name="Обычный 4 107" xfId="2305"/>
    <cellStyle name="Обычный 4 107 2" xfId="7647"/>
    <cellStyle name="Обычный 4 107 2 2" xfId="18327"/>
    <cellStyle name="Обычный 4 107 2 2 2" xfId="50371"/>
    <cellStyle name="Обычный 4 107 2 3" xfId="29008"/>
    <cellStyle name="Обычный 4 107 2 3 2" xfId="61051"/>
    <cellStyle name="Обычный 4 107 2 4" xfId="39691"/>
    <cellStyle name="Обычный 4 107 3" xfId="12987"/>
    <cellStyle name="Обычный 4 107 3 2" xfId="45031"/>
    <cellStyle name="Обычный 4 107 4" xfId="23668"/>
    <cellStyle name="Обычный 4 107 4 2" xfId="55711"/>
    <cellStyle name="Обычный 4 107 5" xfId="34351"/>
    <cellStyle name="Обычный 4 108" xfId="2335"/>
    <cellStyle name="Обычный 4 108 2" xfId="7677"/>
    <cellStyle name="Обычный 4 108 2 2" xfId="18357"/>
    <cellStyle name="Обычный 4 108 2 2 2" xfId="50401"/>
    <cellStyle name="Обычный 4 108 2 3" xfId="29038"/>
    <cellStyle name="Обычный 4 108 2 3 2" xfId="61081"/>
    <cellStyle name="Обычный 4 108 2 4" xfId="39721"/>
    <cellStyle name="Обычный 4 108 3" xfId="13017"/>
    <cellStyle name="Обычный 4 108 3 2" xfId="45061"/>
    <cellStyle name="Обычный 4 108 4" xfId="23698"/>
    <cellStyle name="Обычный 4 108 4 2" xfId="55741"/>
    <cellStyle name="Обычный 4 108 5" xfId="34381"/>
    <cellStyle name="Обычный 4 109" xfId="2365"/>
    <cellStyle name="Обычный 4 109 2" xfId="7707"/>
    <cellStyle name="Обычный 4 109 2 2" xfId="18387"/>
    <cellStyle name="Обычный 4 109 2 2 2" xfId="50431"/>
    <cellStyle name="Обычный 4 109 2 3" xfId="29068"/>
    <cellStyle name="Обычный 4 109 2 3 2" xfId="61111"/>
    <cellStyle name="Обычный 4 109 2 4" xfId="39751"/>
    <cellStyle name="Обычный 4 109 3" xfId="13047"/>
    <cellStyle name="Обычный 4 109 3 2" xfId="45091"/>
    <cellStyle name="Обычный 4 109 4" xfId="23728"/>
    <cellStyle name="Обычный 4 109 4 2" xfId="55771"/>
    <cellStyle name="Обычный 4 109 5" xfId="34411"/>
    <cellStyle name="Обычный 4 11" xfId="58"/>
    <cellStyle name="Обычный 4 11 2" xfId="526"/>
    <cellStyle name="Обычный 4 11 2 2" xfId="5869"/>
    <cellStyle name="Обычный 4 11 2 2 2" xfId="16549"/>
    <cellStyle name="Обычный 4 11 2 2 2 2" xfId="48593"/>
    <cellStyle name="Обычный 4 11 2 2 3" xfId="27230"/>
    <cellStyle name="Обычный 4 11 2 2 3 2" xfId="59273"/>
    <cellStyle name="Обычный 4 11 2 2 4" xfId="37913"/>
    <cellStyle name="Обычный 4 11 2 3" xfId="11209"/>
    <cellStyle name="Обычный 4 11 2 3 2" xfId="43253"/>
    <cellStyle name="Обычный 4 11 2 4" xfId="21890"/>
    <cellStyle name="Обычный 4 11 2 4 2" xfId="53933"/>
    <cellStyle name="Обычный 4 11 2 5" xfId="32573"/>
    <cellStyle name="Обычный 4 11 3" xfId="5402"/>
    <cellStyle name="Обычный 4 11 3 2" xfId="16082"/>
    <cellStyle name="Обычный 4 11 3 2 2" xfId="48126"/>
    <cellStyle name="Обычный 4 11 3 3" xfId="26763"/>
    <cellStyle name="Обычный 4 11 3 3 2" xfId="58806"/>
    <cellStyle name="Обычный 4 11 3 4" xfId="37446"/>
    <cellStyle name="Обычный 4 11 4" xfId="10742"/>
    <cellStyle name="Обычный 4 11 4 2" xfId="42786"/>
    <cellStyle name="Обычный 4 11 5" xfId="21423"/>
    <cellStyle name="Обычный 4 11 5 2" xfId="53466"/>
    <cellStyle name="Обычный 4 11 6" xfId="32106"/>
    <cellStyle name="Обычный 4 110" xfId="2395"/>
    <cellStyle name="Обычный 4 110 2" xfId="7737"/>
    <cellStyle name="Обычный 4 110 2 2" xfId="18417"/>
    <cellStyle name="Обычный 4 110 2 2 2" xfId="50461"/>
    <cellStyle name="Обычный 4 110 2 3" xfId="29098"/>
    <cellStyle name="Обычный 4 110 2 3 2" xfId="61141"/>
    <cellStyle name="Обычный 4 110 2 4" xfId="39781"/>
    <cellStyle name="Обычный 4 110 3" xfId="13077"/>
    <cellStyle name="Обычный 4 110 3 2" xfId="45121"/>
    <cellStyle name="Обычный 4 110 4" xfId="23758"/>
    <cellStyle name="Обычный 4 110 4 2" xfId="55801"/>
    <cellStyle name="Обычный 4 110 5" xfId="34441"/>
    <cellStyle name="Обычный 4 111" xfId="2425"/>
    <cellStyle name="Обычный 4 111 2" xfId="7767"/>
    <cellStyle name="Обычный 4 111 2 2" xfId="18447"/>
    <cellStyle name="Обычный 4 111 2 2 2" xfId="50491"/>
    <cellStyle name="Обычный 4 111 2 3" xfId="29128"/>
    <cellStyle name="Обычный 4 111 2 3 2" xfId="61171"/>
    <cellStyle name="Обычный 4 111 2 4" xfId="39811"/>
    <cellStyle name="Обычный 4 111 3" xfId="13107"/>
    <cellStyle name="Обычный 4 111 3 2" xfId="45151"/>
    <cellStyle name="Обычный 4 111 4" xfId="23788"/>
    <cellStyle name="Обычный 4 111 4 2" xfId="55831"/>
    <cellStyle name="Обычный 4 111 5" xfId="34471"/>
    <cellStyle name="Обычный 4 112" xfId="2455"/>
    <cellStyle name="Обычный 4 112 2" xfId="7797"/>
    <cellStyle name="Обычный 4 112 2 2" xfId="18477"/>
    <cellStyle name="Обычный 4 112 2 2 2" xfId="50521"/>
    <cellStyle name="Обычный 4 112 2 3" xfId="29158"/>
    <cellStyle name="Обычный 4 112 2 3 2" xfId="61201"/>
    <cellStyle name="Обычный 4 112 2 4" xfId="39841"/>
    <cellStyle name="Обычный 4 112 3" xfId="13137"/>
    <cellStyle name="Обычный 4 112 3 2" xfId="45181"/>
    <cellStyle name="Обычный 4 112 4" xfId="23818"/>
    <cellStyle name="Обычный 4 112 4 2" xfId="55861"/>
    <cellStyle name="Обычный 4 112 5" xfId="34501"/>
    <cellStyle name="Обычный 4 113" xfId="2487"/>
    <cellStyle name="Обычный 4 113 2" xfId="7829"/>
    <cellStyle name="Обычный 4 113 2 2" xfId="18509"/>
    <cellStyle name="Обычный 4 113 2 2 2" xfId="50553"/>
    <cellStyle name="Обычный 4 113 2 3" xfId="29190"/>
    <cellStyle name="Обычный 4 113 2 3 2" xfId="61233"/>
    <cellStyle name="Обычный 4 113 2 4" xfId="39873"/>
    <cellStyle name="Обычный 4 113 3" xfId="13169"/>
    <cellStyle name="Обычный 4 113 3 2" xfId="45213"/>
    <cellStyle name="Обычный 4 113 4" xfId="23850"/>
    <cellStyle name="Обычный 4 113 4 2" xfId="55893"/>
    <cellStyle name="Обычный 4 113 5" xfId="34533"/>
    <cellStyle name="Обычный 4 114" xfId="2521"/>
    <cellStyle name="Обычный 4 114 2" xfId="7863"/>
    <cellStyle name="Обычный 4 114 2 2" xfId="18543"/>
    <cellStyle name="Обычный 4 114 2 2 2" xfId="50587"/>
    <cellStyle name="Обычный 4 114 2 3" xfId="29224"/>
    <cellStyle name="Обычный 4 114 2 3 2" xfId="61267"/>
    <cellStyle name="Обычный 4 114 2 4" xfId="39907"/>
    <cellStyle name="Обычный 4 114 3" xfId="13203"/>
    <cellStyle name="Обычный 4 114 3 2" xfId="45247"/>
    <cellStyle name="Обычный 4 114 4" xfId="23884"/>
    <cellStyle name="Обычный 4 114 4 2" xfId="55927"/>
    <cellStyle name="Обычный 4 114 5" xfId="34567"/>
    <cellStyle name="Обычный 4 115" xfId="2553"/>
    <cellStyle name="Обычный 4 115 2" xfId="7895"/>
    <cellStyle name="Обычный 4 115 2 2" xfId="18575"/>
    <cellStyle name="Обычный 4 115 2 2 2" xfId="50619"/>
    <cellStyle name="Обычный 4 115 2 3" xfId="29256"/>
    <cellStyle name="Обычный 4 115 2 3 2" xfId="61299"/>
    <cellStyle name="Обычный 4 115 2 4" xfId="39939"/>
    <cellStyle name="Обычный 4 115 3" xfId="13235"/>
    <cellStyle name="Обычный 4 115 3 2" xfId="45279"/>
    <cellStyle name="Обычный 4 115 4" xfId="23916"/>
    <cellStyle name="Обычный 4 115 4 2" xfId="55959"/>
    <cellStyle name="Обычный 4 115 5" xfId="34599"/>
    <cellStyle name="Обычный 4 116" xfId="2585"/>
    <cellStyle name="Обычный 4 116 2" xfId="7927"/>
    <cellStyle name="Обычный 4 116 2 2" xfId="18607"/>
    <cellStyle name="Обычный 4 116 2 2 2" xfId="50651"/>
    <cellStyle name="Обычный 4 116 2 3" xfId="29288"/>
    <cellStyle name="Обычный 4 116 2 3 2" xfId="61331"/>
    <cellStyle name="Обычный 4 116 2 4" xfId="39971"/>
    <cellStyle name="Обычный 4 116 3" xfId="13267"/>
    <cellStyle name="Обычный 4 116 3 2" xfId="45311"/>
    <cellStyle name="Обычный 4 116 4" xfId="23948"/>
    <cellStyle name="Обычный 4 116 4 2" xfId="55991"/>
    <cellStyle name="Обычный 4 116 5" xfId="34631"/>
    <cellStyle name="Обычный 4 117" xfId="2617"/>
    <cellStyle name="Обычный 4 117 2" xfId="7959"/>
    <cellStyle name="Обычный 4 117 2 2" xfId="18639"/>
    <cellStyle name="Обычный 4 117 2 2 2" xfId="50683"/>
    <cellStyle name="Обычный 4 117 2 3" xfId="29320"/>
    <cellStyle name="Обычный 4 117 2 3 2" xfId="61363"/>
    <cellStyle name="Обычный 4 117 2 4" xfId="40003"/>
    <cellStyle name="Обычный 4 117 3" xfId="13299"/>
    <cellStyle name="Обычный 4 117 3 2" xfId="45343"/>
    <cellStyle name="Обычный 4 117 4" xfId="23980"/>
    <cellStyle name="Обычный 4 117 4 2" xfId="56023"/>
    <cellStyle name="Обычный 4 117 5" xfId="34663"/>
    <cellStyle name="Обычный 4 118" xfId="2649"/>
    <cellStyle name="Обычный 4 118 2" xfId="7991"/>
    <cellStyle name="Обычный 4 118 2 2" xfId="18671"/>
    <cellStyle name="Обычный 4 118 2 2 2" xfId="50715"/>
    <cellStyle name="Обычный 4 118 2 3" xfId="29352"/>
    <cellStyle name="Обычный 4 118 2 3 2" xfId="61395"/>
    <cellStyle name="Обычный 4 118 2 4" xfId="40035"/>
    <cellStyle name="Обычный 4 118 3" xfId="13331"/>
    <cellStyle name="Обычный 4 118 3 2" xfId="45375"/>
    <cellStyle name="Обычный 4 118 4" xfId="24012"/>
    <cellStyle name="Обычный 4 118 4 2" xfId="56055"/>
    <cellStyle name="Обычный 4 118 5" xfId="34695"/>
    <cellStyle name="Обычный 4 119" xfId="2681"/>
    <cellStyle name="Обычный 4 119 2" xfId="8023"/>
    <cellStyle name="Обычный 4 119 2 2" xfId="18703"/>
    <cellStyle name="Обычный 4 119 2 2 2" xfId="50747"/>
    <cellStyle name="Обычный 4 119 2 3" xfId="29384"/>
    <cellStyle name="Обычный 4 119 2 3 2" xfId="61427"/>
    <cellStyle name="Обычный 4 119 2 4" xfId="40067"/>
    <cellStyle name="Обычный 4 119 3" xfId="13363"/>
    <cellStyle name="Обычный 4 119 3 2" xfId="45407"/>
    <cellStyle name="Обычный 4 119 4" xfId="24044"/>
    <cellStyle name="Обычный 4 119 4 2" xfId="56087"/>
    <cellStyle name="Обычный 4 119 5" xfId="34727"/>
    <cellStyle name="Обычный 4 12" xfId="62"/>
    <cellStyle name="Обычный 4 12 2" xfId="530"/>
    <cellStyle name="Обычный 4 12 2 2" xfId="5873"/>
    <cellStyle name="Обычный 4 12 2 2 2" xfId="16553"/>
    <cellStyle name="Обычный 4 12 2 2 2 2" xfId="48597"/>
    <cellStyle name="Обычный 4 12 2 2 3" xfId="27234"/>
    <cellStyle name="Обычный 4 12 2 2 3 2" xfId="59277"/>
    <cellStyle name="Обычный 4 12 2 2 4" xfId="37917"/>
    <cellStyle name="Обычный 4 12 2 3" xfId="11213"/>
    <cellStyle name="Обычный 4 12 2 3 2" xfId="43257"/>
    <cellStyle name="Обычный 4 12 2 4" xfId="21894"/>
    <cellStyle name="Обычный 4 12 2 4 2" xfId="53937"/>
    <cellStyle name="Обычный 4 12 2 5" xfId="32577"/>
    <cellStyle name="Обычный 4 12 3" xfId="5406"/>
    <cellStyle name="Обычный 4 12 3 2" xfId="16086"/>
    <cellStyle name="Обычный 4 12 3 2 2" xfId="48130"/>
    <cellStyle name="Обычный 4 12 3 3" xfId="26767"/>
    <cellStyle name="Обычный 4 12 3 3 2" xfId="58810"/>
    <cellStyle name="Обычный 4 12 3 4" xfId="37450"/>
    <cellStyle name="Обычный 4 12 4" xfId="10746"/>
    <cellStyle name="Обычный 4 12 4 2" xfId="42790"/>
    <cellStyle name="Обычный 4 12 5" xfId="21427"/>
    <cellStyle name="Обычный 4 12 5 2" xfId="53470"/>
    <cellStyle name="Обычный 4 12 6" xfId="32110"/>
    <cellStyle name="Обычный 4 120" xfId="2713"/>
    <cellStyle name="Обычный 4 120 2" xfId="8055"/>
    <cellStyle name="Обычный 4 120 2 2" xfId="18735"/>
    <cellStyle name="Обычный 4 120 2 2 2" xfId="50779"/>
    <cellStyle name="Обычный 4 120 2 3" xfId="29416"/>
    <cellStyle name="Обычный 4 120 2 3 2" xfId="61459"/>
    <cellStyle name="Обычный 4 120 2 4" xfId="40099"/>
    <cellStyle name="Обычный 4 120 3" xfId="13395"/>
    <cellStyle name="Обычный 4 120 3 2" xfId="45439"/>
    <cellStyle name="Обычный 4 120 4" xfId="24076"/>
    <cellStyle name="Обычный 4 120 4 2" xfId="56119"/>
    <cellStyle name="Обычный 4 120 5" xfId="34759"/>
    <cellStyle name="Обычный 4 121" xfId="2747"/>
    <cellStyle name="Обычный 4 121 2" xfId="8089"/>
    <cellStyle name="Обычный 4 121 2 2" xfId="18769"/>
    <cellStyle name="Обычный 4 121 2 2 2" xfId="50813"/>
    <cellStyle name="Обычный 4 121 2 3" xfId="29450"/>
    <cellStyle name="Обычный 4 121 2 3 2" xfId="61493"/>
    <cellStyle name="Обычный 4 121 2 4" xfId="40133"/>
    <cellStyle name="Обычный 4 121 3" xfId="13429"/>
    <cellStyle name="Обычный 4 121 3 2" xfId="45473"/>
    <cellStyle name="Обычный 4 121 4" xfId="24110"/>
    <cellStyle name="Обычный 4 121 4 2" xfId="56153"/>
    <cellStyle name="Обычный 4 121 5" xfId="34793"/>
    <cellStyle name="Обычный 4 122" xfId="2779"/>
    <cellStyle name="Обычный 4 122 2" xfId="8121"/>
    <cellStyle name="Обычный 4 122 2 2" xfId="18801"/>
    <cellStyle name="Обычный 4 122 2 2 2" xfId="50845"/>
    <cellStyle name="Обычный 4 122 2 3" xfId="29482"/>
    <cellStyle name="Обычный 4 122 2 3 2" xfId="61525"/>
    <cellStyle name="Обычный 4 122 2 4" xfId="40165"/>
    <cellStyle name="Обычный 4 122 3" xfId="13461"/>
    <cellStyle name="Обычный 4 122 3 2" xfId="45505"/>
    <cellStyle name="Обычный 4 122 4" xfId="24142"/>
    <cellStyle name="Обычный 4 122 4 2" xfId="56185"/>
    <cellStyle name="Обычный 4 122 5" xfId="34825"/>
    <cellStyle name="Обычный 4 123" xfId="2811"/>
    <cellStyle name="Обычный 4 123 2" xfId="8153"/>
    <cellStyle name="Обычный 4 123 2 2" xfId="18833"/>
    <cellStyle name="Обычный 4 123 2 2 2" xfId="50877"/>
    <cellStyle name="Обычный 4 123 2 3" xfId="29514"/>
    <cellStyle name="Обычный 4 123 2 3 2" xfId="61557"/>
    <cellStyle name="Обычный 4 123 2 4" xfId="40197"/>
    <cellStyle name="Обычный 4 123 3" xfId="13493"/>
    <cellStyle name="Обычный 4 123 3 2" xfId="45537"/>
    <cellStyle name="Обычный 4 123 4" xfId="24174"/>
    <cellStyle name="Обычный 4 123 4 2" xfId="56217"/>
    <cellStyle name="Обычный 4 123 5" xfId="34857"/>
    <cellStyle name="Обычный 4 124" xfId="2843"/>
    <cellStyle name="Обычный 4 124 2" xfId="8185"/>
    <cellStyle name="Обычный 4 124 2 2" xfId="18865"/>
    <cellStyle name="Обычный 4 124 2 2 2" xfId="50909"/>
    <cellStyle name="Обычный 4 124 2 3" xfId="29546"/>
    <cellStyle name="Обычный 4 124 2 3 2" xfId="61589"/>
    <cellStyle name="Обычный 4 124 2 4" xfId="40229"/>
    <cellStyle name="Обычный 4 124 3" xfId="13525"/>
    <cellStyle name="Обычный 4 124 3 2" xfId="45569"/>
    <cellStyle name="Обычный 4 124 4" xfId="24206"/>
    <cellStyle name="Обычный 4 124 4 2" xfId="56249"/>
    <cellStyle name="Обычный 4 124 5" xfId="34889"/>
    <cellStyle name="Обычный 4 125" xfId="2875"/>
    <cellStyle name="Обычный 4 125 2" xfId="8217"/>
    <cellStyle name="Обычный 4 125 2 2" xfId="18897"/>
    <cellStyle name="Обычный 4 125 2 2 2" xfId="50941"/>
    <cellStyle name="Обычный 4 125 2 3" xfId="29578"/>
    <cellStyle name="Обычный 4 125 2 3 2" xfId="61621"/>
    <cellStyle name="Обычный 4 125 2 4" xfId="40261"/>
    <cellStyle name="Обычный 4 125 3" xfId="13557"/>
    <cellStyle name="Обычный 4 125 3 2" xfId="45601"/>
    <cellStyle name="Обычный 4 125 4" xfId="24238"/>
    <cellStyle name="Обычный 4 125 4 2" xfId="56281"/>
    <cellStyle name="Обычный 4 125 5" xfId="34921"/>
    <cellStyle name="Обычный 4 126" xfId="2907"/>
    <cellStyle name="Обычный 4 126 2" xfId="8249"/>
    <cellStyle name="Обычный 4 126 2 2" xfId="18929"/>
    <cellStyle name="Обычный 4 126 2 2 2" xfId="50973"/>
    <cellStyle name="Обычный 4 126 2 3" xfId="29610"/>
    <cellStyle name="Обычный 4 126 2 3 2" xfId="61653"/>
    <cellStyle name="Обычный 4 126 2 4" xfId="40293"/>
    <cellStyle name="Обычный 4 126 3" xfId="13589"/>
    <cellStyle name="Обычный 4 126 3 2" xfId="45633"/>
    <cellStyle name="Обычный 4 126 4" xfId="24270"/>
    <cellStyle name="Обычный 4 126 4 2" xfId="56313"/>
    <cellStyle name="Обычный 4 126 5" xfId="34953"/>
    <cellStyle name="Обычный 4 127" xfId="2939"/>
    <cellStyle name="Обычный 4 127 2" xfId="8281"/>
    <cellStyle name="Обычный 4 127 2 2" xfId="18961"/>
    <cellStyle name="Обычный 4 127 2 2 2" xfId="51005"/>
    <cellStyle name="Обычный 4 127 2 3" xfId="29642"/>
    <cellStyle name="Обычный 4 127 2 3 2" xfId="61685"/>
    <cellStyle name="Обычный 4 127 2 4" xfId="40325"/>
    <cellStyle name="Обычный 4 127 3" xfId="13621"/>
    <cellStyle name="Обычный 4 127 3 2" xfId="45665"/>
    <cellStyle name="Обычный 4 127 4" xfId="24302"/>
    <cellStyle name="Обычный 4 127 4 2" xfId="56345"/>
    <cellStyle name="Обычный 4 127 5" xfId="34985"/>
    <cellStyle name="Обычный 4 128" xfId="2971"/>
    <cellStyle name="Обычный 4 128 2" xfId="8313"/>
    <cellStyle name="Обычный 4 128 2 2" xfId="18993"/>
    <cellStyle name="Обычный 4 128 2 2 2" xfId="51037"/>
    <cellStyle name="Обычный 4 128 2 3" xfId="29674"/>
    <cellStyle name="Обычный 4 128 2 3 2" xfId="61717"/>
    <cellStyle name="Обычный 4 128 2 4" xfId="40357"/>
    <cellStyle name="Обычный 4 128 3" xfId="13653"/>
    <cellStyle name="Обычный 4 128 3 2" xfId="45697"/>
    <cellStyle name="Обычный 4 128 4" xfId="24334"/>
    <cellStyle name="Обычный 4 128 4 2" xfId="56377"/>
    <cellStyle name="Обычный 4 128 5" xfId="35017"/>
    <cellStyle name="Обычный 4 129" xfId="3003"/>
    <cellStyle name="Обычный 4 129 2" xfId="8345"/>
    <cellStyle name="Обычный 4 129 2 2" xfId="19025"/>
    <cellStyle name="Обычный 4 129 2 2 2" xfId="51069"/>
    <cellStyle name="Обычный 4 129 2 3" xfId="29706"/>
    <cellStyle name="Обычный 4 129 2 3 2" xfId="61749"/>
    <cellStyle name="Обычный 4 129 2 4" xfId="40389"/>
    <cellStyle name="Обычный 4 129 3" xfId="13685"/>
    <cellStyle name="Обычный 4 129 3 2" xfId="45729"/>
    <cellStyle name="Обычный 4 129 4" xfId="24366"/>
    <cellStyle name="Обычный 4 129 4 2" xfId="56409"/>
    <cellStyle name="Обычный 4 129 5" xfId="35049"/>
    <cellStyle name="Обычный 4 13" xfId="66"/>
    <cellStyle name="Обычный 4 13 2" xfId="534"/>
    <cellStyle name="Обычный 4 13 2 2" xfId="5877"/>
    <cellStyle name="Обычный 4 13 2 2 2" xfId="16557"/>
    <cellStyle name="Обычный 4 13 2 2 2 2" xfId="48601"/>
    <cellStyle name="Обычный 4 13 2 2 3" xfId="27238"/>
    <cellStyle name="Обычный 4 13 2 2 3 2" xfId="59281"/>
    <cellStyle name="Обычный 4 13 2 2 4" xfId="37921"/>
    <cellStyle name="Обычный 4 13 2 3" xfId="11217"/>
    <cellStyle name="Обычный 4 13 2 3 2" xfId="43261"/>
    <cellStyle name="Обычный 4 13 2 4" xfId="21898"/>
    <cellStyle name="Обычный 4 13 2 4 2" xfId="53941"/>
    <cellStyle name="Обычный 4 13 2 5" xfId="32581"/>
    <cellStyle name="Обычный 4 13 3" xfId="5410"/>
    <cellStyle name="Обычный 4 13 3 2" xfId="16090"/>
    <cellStyle name="Обычный 4 13 3 2 2" xfId="48134"/>
    <cellStyle name="Обычный 4 13 3 3" xfId="26771"/>
    <cellStyle name="Обычный 4 13 3 3 2" xfId="58814"/>
    <cellStyle name="Обычный 4 13 3 4" xfId="37454"/>
    <cellStyle name="Обычный 4 13 4" xfId="10750"/>
    <cellStyle name="Обычный 4 13 4 2" xfId="42794"/>
    <cellStyle name="Обычный 4 13 5" xfId="21431"/>
    <cellStyle name="Обычный 4 13 5 2" xfId="53474"/>
    <cellStyle name="Обычный 4 13 6" xfId="32114"/>
    <cellStyle name="Обычный 4 130" xfId="3035"/>
    <cellStyle name="Обычный 4 130 2" xfId="8377"/>
    <cellStyle name="Обычный 4 130 2 2" xfId="19057"/>
    <cellStyle name="Обычный 4 130 2 2 2" xfId="51101"/>
    <cellStyle name="Обычный 4 130 2 3" xfId="29738"/>
    <cellStyle name="Обычный 4 130 2 3 2" xfId="61781"/>
    <cellStyle name="Обычный 4 130 2 4" xfId="40421"/>
    <cellStyle name="Обычный 4 130 3" xfId="13717"/>
    <cellStyle name="Обычный 4 130 3 2" xfId="45761"/>
    <cellStyle name="Обычный 4 130 4" xfId="24398"/>
    <cellStyle name="Обычный 4 130 4 2" xfId="56441"/>
    <cellStyle name="Обычный 4 130 5" xfId="35081"/>
    <cellStyle name="Обычный 4 131" xfId="3067"/>
    <cellStyle name="Обычный 4 131 2" xfId="8409"/>
    <cellStyle name="Обычный 4 131 2 2" xfId="19089"/>
    <cellStyle name="Обычный 4 131 2 2 2" xfId="51133"/>
    <cellStyle name="Обычный 4 131 2 3" xfId="29770"/>
    <cellStyle name="Обычный 4 131 2 3 2" xfId="61813"/>
    <cellStyle name="Обычный 4 131 2 4" xfId="40453"/>
    <cellStyle name="Обычный 4 131 3" xfId="13749"/>
    <cellStyle name="Обычный 4 131 3 2" xfId="45793"/>
    <cellStyle name="Обычный 4 131 4" xfId="24430"/>
    <cellStyle name="Обычный 4 131 4 2" xfId="56473"/>
    <cellStyle name="Обычный 4 131 5" xfId="35113"/>
    <cellStyle name="Обычный 4 132" xfId="3100"/>
    <cellStyle name="Обычный 4 132 2" xfId="8441"/>
    <cellStyle name="Обычный 4 132 2 2" xfId="19121"/>
    <cellStyle name="Обычный 4 132 2 2 2" xfId="51165"/>
    <cellStyle name="Обычный 4 132 2 3" xfId="29802"/>
    <cellStyle name="Обычный 4 132 2 3 2" xfId="61845"/>
    <cellStyle name="Обычный 4 132 2 4" xfId="40485"/>
    <cellStyle name="Обычный 4 132 3" xfId="13781"/>
    <cellStyle name="Обычный 4 132 3 2" xfId="45825"/>
    <cellStyle name="Обычный 4 132 4" xfId="24462"/>
    <cellStyle name="Обычный 4 132 4 2" xfId="56505"/>
    <cellStyle name="Обычный 4 132 5" xfId="35145"/>
    <cellStyle name="Обычный 4 133" xfId="3132"/>
    <cellStyle name="Обычный 4 133 2" xfId="8473"/>
    <cellStyle name="Обычный 4 133 2 2" xfId="19153"/>
    <cellStyle name="Обычный 4 133 2 2 2" xfId="51197"/>
    <cellStyle name="Обычный 4 133 2 3" xfId="29834"/>
    <cellStyle name="Обычный 4 133 2 3 2" xfId="61877"/>
    <cellStyle name="Обычный 4 133 2 4" xfId="40517"/>
    <cellStyle name="Обычный 4 133 3" xfId="13813"/>
    <cellStyle name="Обычный 4 133 3 2" xfId="45857"/>
    <cellStyle name="Обычный 4 133 4" xfId="24494"/>
    <cellStyle name="Обычный 4 133 4 2" xfId="56537"/>
    <cellStyle name="Обычный 4 133 5" xfId="35177"/>
    <cellStyle name="Обычный 4 134" xfId="3164"/>
    <cellStyle name="Обычный 4 134 2" xfId="8505"/>
    <cellStyle name="Обычный 4 134 2 2" xfId="19185"/>
    <cellStyle name="Обычный 4 134 2 2 2" xfId="51229"/>
    <cellStyle name="Обычный 4 134 2 3" xfId="29866"/>
    <cellStyle name="Обычный 4 134 2 3 2" xfId="61909"/>
    <cellStyle name="Обычный 4 134 2 4" xfId="40549"/>
    <cellStyle name="Обычный 4 134 3" xfId="13845"/>
    <cellStyle name="Обычный 4 134 3 2" xfId="45889"/>
    <cellStyle name="Обычный 4 134 4" xfId="24526"/>
    <cellStyle name="Обычный 4 134 4 2" xfId="56569"/>
    <cellStyle name="Обычный 4 134 5" xfId="35209"/>
    <cellStyle name="Обычный 4 135" xfId="3196"/>
    <cellStyle name="Обычный 4 135 2" xfId="8537"/>
    <cellStyle name="Обычный 4 135 2 2" xfId="19217"/>
    <cellStyle name="Обычный 4 135 2 2 2" xfId="51261"/>
    <cellStyle name="Обычный 4 135 2 3" xfId="29898"/>
    <cellStyle name="Обычный 4 135 2 3 2" xfId="61941"/>
    <cellStyle name="Обычный 4 135 2 4" xfId="40581"/>
    <cellStyle name="Обычный 4 135 3" xfId="13877"/>
    <cellStyle name="Обычный 4 135 3 2" xfId="45921"/>
    <cellStyle name="Обычный 4 135 4" xfId="24558"/>
    <cellStyle name="Обычный 4 135 4 2" xfId="56601"/>
    <cellStyle name="Обычный 4 135 5" xfId="35241"/>
    <cellStyle name="Обычный 4 136" xfId="3228"/>
    <cellStyle name="Обычный 4 136 2" xfId="8569"/>
    <cellStyle name="Обычный 4 136 2 2" xfId="19249"/>
    <cellStyle name="Обычный 4 136 2 2 2" xfId="51293"/>
    <cellStyle name="Обычный 4 136 2 3" xfId="29930"/>
    <cellStyle name="Обычный 4 136 2 3 2" xfId="61973"/>
    <cellStyle name="Обычный 4 136 2 4" xfId="40613"/>
    <cellStyle name="Обычный 4 136 3" xfId="13909"/>
    <cellStyle name="Обычный 4 136 3 2" xfId="45953"/>
    <cellStyle name="Обычный 4 136 4" xfId="24590"/>
    <cellStyle name="Обычный 4 136 4 2" xfId="56633"/>
    <cellStyle name="Обычный 4 136 5" xfId="35273"/>
    <cellStyle name="Обычный 4 137" xfId="3260"/>
    <cellStyle name="Обычный 4 137 2" xfId="8601"/>
    <cellStyle name="Обычный 4 137 2 2" xfId="19281"/>
    <cellStyle name="Обычный 4 137 2 2 2" xfId="51325"/>
    <cellStyle name="Обычный 4 137 2 3" xfId="29962"/>
    <cellStyle name="Обычный 4 137 2 3 2" xfId="62005"/>
    <cellStyle name="Обычный 4 137 2 4" xfId="40645"/>
    <cellStyle name="Обычный 4 137 3" xfId="13941"/>
    <cellStyle name="Обычный 4 137 3 2" xfId="45985"/>
    <cellStyle name="Обычный 4 137 4" xfId="24622"/>
    <cellStyle name="Обычный 4 137 4 2" xfId="56665"/>
    <cellStyle name="Обычный 4 137 5" xfId="35305"/>
    <cellStyle name="Обычный 4 138" xfId="3292"/>
    <cellStyle name="Обычный 4 138 2" xfId="8633"/>
    <cellStyle name="Обычный 4 138 2 2" xfId="19313"/>
    <cellStyle name="Обычный 4 138 2 2 2" xfId="51357"/>
    <cellStyle name="Обычный 4 138 2 3" xfId="29994"/>
    <cellStyle name="Обычный 4 138 2 3 2" xfId="62037"/>
    <cellStyle name="Обычный 4 138 2 4" xfId="40677"/>
    <cellStyle name="Обычный 4 138 3" xfId="13973"/>
    <cellStyle name="Обычный 4 138 3 2" xfId="46017"/>
    <cellStyle name="Обычный 4 138 4" xfId="24654"/>
    <cellStyle name="Обычный 4 138 4 2" xfId="56697"/>
    <cellStyle name="Обычный 4 138 5" xfId="35337"/>
    <cellStyle name="Обычный 4 139" xfId="3324"/>
    <cellStyle name="Обычный 4 139 2" xfId="8665"/>
    <cellStyle name="Обычный 4 139 2 2" xfId="19345"/>
    <cellStyle name="Обычный 4 139 2 2 2" xfId="51389"/>
    <cellStyle name="Обычный 4 139 2 3" xfId="30026"/>
    <cellStyle name="Обычный 4 139 2 3 2" xfId="62069"/>
    <cellStyle name="Обычный 4 139 2 4" xfId="40709"/>
    <cellStyle name="Обычный 4 139 3" xfId="14005"/>
    <cellStyle name="Обычный 4 139 3 2" xfId="46049"/>
    <cellStyle name="Обычный 4 139 4" xfId="24686"/>
    <cellStyle name="Обычный 4 139 4 2" xfId="56729"/>
    <cellStyle name="Обычный 4 139 5" xfId="35369"/>
    <cellStyle name="Обычный 4 14" xfId="70"/>
    <cellStyle name="Обычный 4 14 2" xfId="538"/>
    <cellStyle name="Обычный 4 14 2 2" xfId="5881"/>
    <cellStyle name="Обычный 4 14 2 2 2" xfId="16561"/>
    <cellStyle name="Обычный 4 14 2 2 2 2" xfId="48605"/>
    <cellStyle name="Обычный 4 14 2 2 3" xfId="27242"/>
    <cellStyle name="Обычный 4 14 2 2 3 2" xfId="59285"/>
    <cellStyle name="Обычный 4 14 2 2 4" xfId="37925"/>
    <cellStyle name="Обычный 4 14 2 3" xfId="11221"/>
    <cellStyle name="Обычный 4 14 2 3 2" xfId="43265"/>
    <cellStyle name="Обычный 4 14 2 4" xfId="21902"/>
    <cellStyle name="Обычный 4 14 2 4 2" xfId="53945"/>
    <cellStyle name="Обычный 4 14 2 5" xfId="32585"/>
    <cellStyle name="Обычный 4 14 3" xfId="5414"/>
    <cellStyle name="Обычный 4 14 3 2" xfId="16094"/>
    <cellStyle name="Обычный 4 14 3 2 2" xfId="48138"/>
    <cellStyle name="Обычный 4 14 3 3" xfId="26775"/>
    <cellStyle name="Обычный 4 14 3 3 2" xfId="58818"/>
    <cellStyle name="Обычный 4 14 3 4" xfId="37458"/>
    <cellStyle name="Обычный 4 14 4" xfId="10754"/>
    <cellStyle name="Обычный 4 14 4 2" xfId="42798"/>
    <cellStyle name="Обычный 4 14 5" xfId="21435"/>
    <cellStyle name="Обычный 4 14 5 2" xfId="53478"/>
    <cellStyle name="Обычный 4 14 6" xfId="32118"/>
    <cellStyle name="Обычный 4 140" xfId="3356"/>
    <cellStyle name="Обычный 4 140 2" xfId="8697"/>
    <cellStyle name="Обычный 4 140 2 2" xfId="19377"/>
    <cellStyle name="Обычный 4 140 2 2 2" xfId="51421"/>
    <cellStyle name="Обычный 4 140 2 3" xfId="30058"/>
    <cellStyle name="Обычный 4 140 2 3 2" xfId="62101"/>
    <cellStyle name="Обычный 4 140 2 4" xfId="40741"/>
    <cellStyle name="Обычный 4 140 3" xfId="14037"/>
    <cellStyle name="Обычный 4 140 3 2" xfId="46081"/>
    <cellStyle name="Обычный 4 140 4" xfId="24718"/>
    <cellStyle name="Обычный 4 140 4 2" xfId="56761"/>
    <cellStyle name="Обычный 4 140 5" xfId="35401"/>
    <cellStyle name="Обычный 4 141" xfId="3388"/>
    <cellStyle name="Обычный 4 141 2" xfId="8729"/>
    <cellStyle name="Обычный 4 141 2 2" xfId="19409"/>
    <cellStyle name="Обычный 4 141 2 2 2" xfId="51453"/>
    <cellStyle name="Обычный 4 141 2 3" xfId="30090"/>
    <cellStyle name="Обычный 4 141 2 3 2" xfId="62133"/>
    <cellStyle name="Обычный 4 141 2 4" xfId="40773"/>
    <cellStyle name="Обычный 4 141 3" xfId="14069"/>
    <cellStyle name="Обычный 4 141 3 2" xfId="46113"/>
    <cellStyle name="Обычный 4 141 4" xfId="24750"/>
    <cellStyle name="Обычный 4 141 4 2" xfId="56793"/>
    <cellStyle name="Обычный 4 141 5" xfId="35433"/>
    <cellStyle name="Обычный 4 142" xfId="3420"/>
    <cellStyle name="Обычный 4 142 2" xfId="8761"/>
    <cellStyle name="Обычный 4 142 2 2" xfId="19441"/>
    <cellStyle name="Обычный 4 142 2 2 2" xfId="51485"/>
    <cellStyle name="Обычный 4 142 2 3" xfId="30122"/>
    <cellStyle name="Обычный 4 142 2 3 2" xfId="62165"/>
    <cellStyle name="Обычный 4 142 2 4" xfId="40805"/>
    <cellStyle name="Обычный 4 142 3" xfId="14101"/>
    <cellStyle name="Обычный 4 142 3 2" xfId="46145"/>
    <cellStyle name="Обычный 4 142 4" xfId="24782"/>
    <cellStyle name="Обычный 4 142 4 2" xfId="56825"/>
    <cellStyle name="Обычный 4 142 5" xfId="35465"/>
    <cellStyle name="Обычный 4 143" xfId="3452"/>
    <cellStyle name="Обычный 4 143 2" xfId="8793"/>
    <cellStyle name="Обычный 4 143 2 2" xfId="19473"/>
    <cellStyle name="Обычный 4 143 2 2 2" xfId="51517"/>
    <cellStyle name="Обычный 4 143 2 3" xfId="30154"/>
    <cellStyle name="Обычный 4 143 2 3 2" xfId="62197"/>
    <cellStyle name="Обычный 4 143 2 4" xfId="40837"/>
    <cellStyle name="Обычный 4 143 3" xfId="14133"/>
    <cellStyle name="Обычный 4 143 3 2" xfId="46177"/>
    <cellStyle name="Обычный 4 143 4" xfId="24814"/>
    <cellStyle name="Обычный 4 143 4 2" xfId="56857"/>
    <cellStyle name="Обычный 4 143 5" xfId="35497"/>
    <cellStyle name="Обычный 4 144" xfId="3484"/>
    <cellStyle name="Обычный 4 144 2" xfId="8825"/>
    <cellStyle name="Обычный 4 144 2 2" xfId="19505"/>
    <cellStyle name="Обычный 4 144 2 2 2" xfId="51549"/>
    <cellStyle name="Обычный 4 144 2 3" xfId="30186"/>
    <cellStyle name="Обычный 4 144 2 3 2" xfId="62229"/>
    <cellStyle name="Обычный 4 144 2 4" xfId="40869"/>
    <cellStyle name="Обычный 4 144 3" xfId="14165"/>
    <cellStyle name="Обычный 4 144 3 2" xfId="46209"/>
    <cellStyle name="Обычный 4 144 4" xfId="24846"/>
    <cellStyle name="Обычный 4 144 4 2" xfId="56889"/>
    <cellStyle name="Обычный 4 144 5" xfId="35529"/>
    <cellStyle name="Обычный 4 145" xfId="3516"/>
    <cellStyle name="Обычный 4 145 2" xfId="8857"/>
    <cellStyle name="Обычный 4 145 2 2" xfId="19537"/>
    <cellStyle name="Обычный 4 145 2 2 2" xfId="51581"/>
    <cellStyle name="Обычный 4 145 2 3" xfId="30218"/>
    <cellStyle name="Обычный 4 145 2 3 2" xfId="62261"/>
    <cellStyle name="Обычный 4 145 2 4" xfId="40901"/>
    <cellStyle name="Обычный 4 145 3" xfId="14197"/>
    <cellStyle name="Обычный 4 145 3 2" xfId="46241"/>
    <cellStyle name="Обычный 4 145 4" xfId="24878"/>
    <cellStyle name="Обычный 4 145 4 2" xfId="56921"/>
    <cellStyle name="Обычный 4 145 5" xfId="35561"/>
    <cellStyle name="Обычный 4 146" xfId="3548"/>
    <cellStyle name="Обычный 4 146 2" xfId="8889"/>
    <cellStyle name="Обычный 4 146 2 2" xfId="19569"/>
    <cellStyle name="Обычный 4 146 2 2 2" xfId="51613"/>
    <cellStyle name="Обычный 4 146 2 3" xfId="30250"/>
    <cellStyle name="Обычный 4 146 2 3 2" xfId="62293"/>
    <cellStyle name="Обычный 4 146 2 4" xfId="40933"/>
    <cellStyle name="Обычный 4 146 3" xfId="14229"/>
    <cellStyle name="Обычный 4 146 3 2" xfId="46273"/>
    <cellStyle name="Обычный 4 146 4" xfId="24910"/>
    <cellStyle name="Обычный 4 146 4 2" xfId="56953"/>
    <cellStyle name="Обычный 4 146 5" xfId="35593"/>
    <cellStyle name="Обычный 4 147" xfId="3580"/>
    <cellStyle name="Обычный 4 147 2" xfId="8921"/>
    <cellStyle name="Обычный 4 147 2 2" xfId="19601"/>
    <cellStyle name="Обычный 4 147 2 2 2" xfId="51645"/>
    <cellStyle name="Обычный 4 147 2 3" xfId="30282"/>
    <cellStyle name="Обычный 4 147 2 3 2" xfId="62325"/>
    <cellStyle name="Обычный 4 147 2 4" xfId="40965"/>
    <cellStyle name="Обычный 4 147 3" xfId="14261"/>
    <cellStyle name="Обычный 4 147 3 2" xfId="46305"/>
    <cellStyle name="Обычный 4 147 4" xfId="24942"/>
    <cellStyle name="Обычный 4 147 4 2" xfId="56985"/>
    <cellStyle name="Обычный 4 147 5" xfId="35625"/>
    <cellStyle name="Обычный 4 148" xfId="3612"/>
    <cellStyle name="Обычный 4 148 2" xfId="8953"/>
    <cellStyle name="Обычный 4 148 2 2" xfId="19633"/>
    <cellStyle name="Обычный 4 148 2 2 2" xfId="51677"/>
    <cellStyle name="Обычный 4 148 2 3" xfId="30314"/>
    <cellStyle name="Обычный 4 148 2 3 2" xfId="62357"/>
    <cellStyle name="Обычный 4 148 2 4" xfId="40997"/>
    <cellStyle name="Обычный 4 148 3" xfId="14293"/>
    <cellStyle name="Обычный 4 148 3 2" xfId="46337"/>
    <cellStyle name="Обычный 4 148 4" xfId="24974"/>
    <cellStyle name="Обычный 4 148 4 2" xfId="57017"/>
    <cellStyle name="Обычный 4 148 5" xfId="35657"/>
    <cellStyle name="Обычный 4 149" xfId="3644"/>
    <cellStyle name="Обычный 4 149 2" xfId="8985"/>
    <cellStyle name="Обычный 4 149 2 2" xfId="19665"/>
    <cellStyle name="Обычный 4 149 2 2 2" xfId="51709"/>
    <cellStyle name="Обычный 4 149 2 3" xfId="30346"/>
    <cellStyle name="Обычный 4 149 2 3 2" xfId="62389"/>
    <cellStyle name="Обычный 4 149 2 4" xfId="41029"/>
    <cellStyle name="Обычный 4 149 3" xfId="14325"/>
    <cellStyle name="Обычный 4 149 3 2" xfId="46369"/>
    <cellStyle name="Обычный 4 149 4" xfId="25006"/>
    <cellStyle name="Обычный 4 149 4 2" xfId="57049"/>
    <cellStyle name="Обычный 4 149 5" xfId="35689"/>
    <cellStyle name="Обычный 4 15" xfId="74"/>
    <cellStyle name="Обычный 4 15 2" xfId="542"/>
    <cellStyle name="Обычный 4 15 2 2" xfId="5885"/>
    <cellStyle name="Обычный 4 15 2 2 2" xfId="16565"/>
    <cellStyle name="Обычный 4 15 2 2 2 2" xfId="48609"/>
    <cellStyle name="Обычный 4 15 2 2 3" xfId="27246"/>
    <cellStyle name="Обычный 4 15 2 2 3 2" xfId="59289"/>
    <cellStyle name="Обычный 4 15 2 2 4" xfId="37929"/>
    <cellStyle name="Обычный 4 15 2 3" xfId="11225"/>
    <cellStyle name="Обычный 4 15 2 3 2" xfId="43269"/>
    <cellStyle name="Обычный 4 15 2 4" xfId="21906"/>
    <cellStyle name="Обычный 4 15 2 4 2" xfId="53949"/>
    <cellStyle name="Обычный 4 15 2 5" xfId="32589"/>
    <cellStyle name="Обычный 4 15 3" xfId="5418"/>
    <cellStyle name="Обычный 4 15 3 2" xfId="16098"/>
    <cellStyle name="Обычный 4 15 3 2 2" xfId="48142"/>
    <cellStyle name="Обычный 4 15 3 3" xfId="26779"/>
    <cellStyle name="Обычный 4 15 3 3 2" xfId="58822"/>
    <cellStyle name="Обычный 4 15 3 4" xfId="37462"/>
    <cellStyle name="Обычный 4 15 4" xfId="10758"/>
    <cellStyle name="Обычный 4 15 4 2" xfId="42802"/>
    <cellStyle name="Обычный 4 15 5" xfId="21439"/>
    <cellStyle name="Обычный 4 15 5 2" xfId="53482"/>
    <cellStyle name="Обычный 4 15 6" xfId="32122"/>
    <cellStyle name="Обычный 4 150" xfId="3676"/>
    <cellStyle name="Обычный 4 150 2" xfId="9017"/>
    <cellStyle name="Обычный 4 150 2 2" xfId="19697"/>
    <cellStyle name="Обычный 4 150 2 2 2" xfId="51741"/>
    <cellStyle name="Обычный 4 150 2 3" xfId="30378"/>
    <cellStyle name="Обычный 4 150 2 3 2" xfId="62421"/>
    <cellStyle name="Обычный 4 150 2 4" xfId="41061"/>
    <cellStyle name="Обычный 4 150 3" xfId="14357"/>
    <cellStyle name="Обычный 4 150 3 2" xfId="46401"/>
    <cellStyle name="Обычный 4 150 4" xfId="25038"/>
    <cellStyle name="Обычный 4 150 4 2" xfId="57081"/>
    <cellStyle name="Обычный 4 150 5" xfId="35721"/>
    <cellStyle name="Обычный 4 151" xfId="3708"/>
    <cellStyle name="Обычный 4 151 2" xfId="9049"/>
    <cellStyle name="Обычный 4 151 2 2" xfId="19729"/>
    <cellStyle name="Обычный 4 151 2 2 2" xfId="51773"/>
    <cellStyle name="Обычный 4 151 2 3" xfId="30410"/>
    <cellStyle name="Обычный 4 151 2 3 2" xfId="62453"/>
    <cellStyle name="Обычный 4 151 2 4" xfId="41093"/>
    <cellStyle name="Обычный 4 151 3" xfId="14389"/>
    <cellStyle name="Обычный 4 151 3 2" xfId="46433"/>
    <cellStyle name="Обычный 4 151 4" xfId="25070"/>
    <cellStyle name="Обычный 4 151 4 2" xfId="57113"/>
    <cellStyle name="Обычный 4 151 5" xfId="35753"/>
    <cellStyle name="Обычный 4 152" xfId="3740"/>
    <cellStyle name="Обычный 4 152 2" xfId="9081"/>
    <cellStyle name="Обычный 4 152 2 2" xfId="19761"/>
    <cellStyle name="Обычный 4 152 2 2 2" xfId="51805"/>
    <cellStyle name="Обычный 4 152 2 3" xfId="30442"/>
    <cellStyle name="Обычный 4 152 2 3 2" xfId="62485"/>
    <cellStyle name="Обычный 4 152 2 4" xfId="41125"/>
    <cellStyle name="Обычный 4 152 3" xfId="14421"/>
    <cellStyle name="Обычный 4 152 3 2" xfId="46465"/>
    <cellStyle name="Обычный 4 152 4" xfId="25102"/>
    <cellStyle name="Обычный 4 152 4 2" xfId="57145"/>
    <cellStyle name="Обычный 4 152 5" xfId="35785"/>
    <cellStyle name="Обычный 4 153" xfId="3772"/>
    <cellStyle name="Обычный 4 153 2" xfId="9113"/>
    <cellStyle name="Обычный 4 153 2 2" xfId="19793"/>
    <cellStyle name="Обычный 4 153 2 2 2" xfId="51837"/>
    <cellStyle name="Обычный 4 153 2 3" xfId="30474"/>
    <cellStyle name="Обычный 4 153 2 3 2" xfId="62517"/>
    <cellStyle name="Обычный 4 153 2 4" xfId="41157"/>
    <cellStyle name="Обычный 4 153 3" xfId="14453"/>
    <cellStyle name="Обычный 4 153 3 2" xfId="46497"/>
    <cellStyle name="Обычный 4 153 4" xfId="25134"/>
    <cellStyle name="Обычный 4 153 4 2" xfId="57177"/>
    <cellStyle name="Обычный 4 153 5" xfId="35817"/>
    <cellStyle name="Обычный 4 154" xfId="3804"/>
    <cellStyle name="Обычный 4 154 2" xfId="9145"/>
    <cellStyle name="Обычный 4 154 2 2" xfId="19825"/>
    <cellStyle name="Обычный 4 154 2 2 2" xfId="51869"/>
    <cellStyle name="Обычный 4 154 2 3" xfId="30506"/>
    <cellStyle name="Обычный 4 154 2 3 2" xfId="62549"/>
    <cellStyle name="Обычный 4 154 2 4" xfId="41189"/>
    <cellStyle name="Обычный 4 154 3" xfId="14485"/>
    <cellStyle name="Обычный 4 154 3 2" xfId="46529"/>
    <cellStyle name="Обычный 4 154 4" xfId="25166"/>
    <cellStyle name="Обычный 4 154 4 2" xfId="57209"/>
    <cellStyle name="Обычный 4 154 5" xfId="35849"/>
    <cellStyle name="Обычный 4 155" xfId="3836"/>
    <cellStyle name="Обычный 4 155 2" xfId="9177"/>
    <cellStyle name="Обычный 4 155 2 2" xfId="19857"/>
    <cellStyle name="Обычный 4 155 2 2 2" xfId="51901"/>
    <cellStyle name="Обычный 4 155 2 3" xfId="30538"/>
    <cellStyle name="Обычный 4 155 2 3 2" xfId="62581"/>
    <cellStyle name="Обычный 4 155 2 4" xfId="41221"/>
    <cellStyle name="Обычный 4 155 3" xfId="14517"/>
    <cellStyle name="Обычный 4 155 3 2" xfId="46561"/>
    <cellStyle name="Обычный 4 155 4" xfId="25198"/>
    <cellStyle name="Обычный 4 155 4 2" xfId="57241"/>
    <cellStyle name="Обычный 4 155 5" xfId="35881"/>
    <cellStyle name="Обычный 4 156" xfId="3868"/>
    <cellStyle name="Обычный 4 156 2" xfId="9209"/>
    <cellStyle name="Обычный 4 156 2 2" xfId="19889"/>
    <cellStyle name="Обычный 4 156 2 2 2" xfId="51933"/>
    <cellStyle name="Обычный 4 156 2 3" xfId="30570"/>
    <cellStyle name="Обычный 4 156 2 3 2" xfId="62613"/>
    <cellStyle name="Обычный 4 156 2 4" xfId="41253"/>
    <cellStyle name="Обычный 4 156 3" xfId="14549"/>
    <cellStyle name="Обычный 4 156 3 2" xfId="46593"/>
    <cellStyle name="Обычный 4 156 4" xfId="25230"/>
    <cellStyle name="Обычный 4 156 4 2" xfId="57273"/>
    <cellStyle name="Обычный 4 156 5" xfId="35913"/>
    <cellStyle name="Обычный 4 157" xfId="3900"/>
    <cellStyle name="Обычный 4 157 2" xfId="9241"/>
    <cellStyle name="Обычный 4 157 2 2" xfId="19921"/>
    <cellStyle name="Обычный 4 157 2 2 2" xfId="51965"/>
    <cellStyle name="Обычный 4 157 2 3" xfId="30602"/>
    <cellStyle name="Обычный 4 157 2 3 2" xfId="62645"/>
    <cellStyle name="Обычный 4 157 2 4" xfId="41285"/>
    <cellStyle name="Обычный 4 157 3" xfId="14581"/>
    <cellStyle name="Обычный 4 157 3 2" xfId="46625"/>
    <cellStyle name="Обычный 4 157 4" xfId="25262"/>
    <cellStyle name="Обычный 4 157 4 2" xfId="57305"/>
    <cellStyle name="Обычный 4 157 5" xfId="35945"/>
    <cellStyle name="Обычный 4 158" xfId="3932"/>
    <cellStyle name="Обычный 4 158 2" xfId="9273"/>
    <cellStyle name="Обычный 4 158 2 2" xfId="19953"/>
    <cellStyle name="Обычный 4 158 2 2 2" xfId="51997"/>
    <cellStyle name="Обычный 4 158 2 3" xfId="30634"/>
    <cellStyle name="Обычный 4 158 2 3 2" xfId="62677"/>
    <cellStyle name="Обычный 4 158 2 4" xfId="41317"/>
    <cellStyle name="Обычный 4 158 3" xfId="14613"/>
    <cellStyle name="Обычный 4 158 3 2" xfId="46657"/>
    <cellStyle name="Обычный 4 158 4" xfId="25294"/>
    <cellStyle name="Обычный 4 158 4 2" xfId="57337"/>
    <cellStyle name="Обычный 4 158 5" xfId="35977"/>
    <cellStyle name="Обычный 4 159" xfId="3964"/>
    <cellStyle name="Обычный 4 159 2" xfId="9305"/>
    <cellStyle name="Обычный 4 159 2 2" xfId="19985"/>
    <cellStyle name="Обычный 4 159 2 2 2" xfId="52029"/>
    <cellStyle name="Обычный 4 159 2 3" xfId="30666"/>
    <cellStyle name="Обычный 4 159 2 3 2" xfId="62709"/>
    <cellStyle name="Обычный 4 159 2 4" xfId="41349"/>
    <cellStyle name="Обычный 4 159 3" xfId="14645"/>
    <cellStyle name="Обычный 4 159 3 2" xfId="46689"/>
    <cellStyle name="Обычный 4 159 4" xfId="25326"/>
    <cellStyle name="Обычный 4 159 4 2" xfId="57369"/>
    <cellStyle name="Обычный 4 159 5" xfId="36009"/>
    <cellStyle name="Обычный 4 16" xfId="82"/>
    <cellStyle name="Обычный 4 16 2" xfId="550"/>
    <cellStyle name="Обычный 4 16 2 2" xfId="5893"/>
    <cellStyle name="Обычный 4 16 2 2 2" xfId="16573"/>
    <cellStyle name="Обычный 4 16 2 2 2 2" xfId="48617"/>
    <cellStyle name="Обычный 4 16 2 2 3" xfId="27254"/>
    <cellStyle name="Обычный 4 16 2 2 3 2" xfId="59297"/>
    <cellStyle name="Обычный 4 16 2 2 4" xfId="37937"/>
    <cellStyle name="Обычный 4 16 2 3" xfId="11233"/>
    <cellStyle name="Обычный 4 16 2 3 2" xfId="43277"/>
    <cellStyle name="Обычный 4 16 2 4" xfId="21914"/>
    <cellStyle name="Обычный 4 16 2 4 2" xfId="53957"/>
    <cellStyle name="Обычный 4 16 2 5" xfId="32597"/>
    <cellStyle name="Обычный 4 16 3" xfId="5426"/>
    <cellStyle name="Обычный 4 16 3 2" xfId="16106"/>
    <cellStyle name="Обычный 4 16 3 2 2" xfId="48150"/>
    <cellStyle name="Обычный 4 16 3 3" xfId="26787"/>
    <cellStyle name="Обычный 4 16 3 3 2" xfId="58830"/>
    <cellStyle name="Обычный 4 16 3 4" xfId="37470"/>
    <cellStyle name="Обычный 4 16 4" xfId="10766"/>
    <cellStyle name="Обычный 4 16 4 2" xfId="42810"/>
    <cellStyle name="Обычный 4 16 5" xfId="21447"/>
    <cellStyle name="Обычный 4 16 5 2" xfId="53490"/>
    <cellStyle name="Обычный 4 16 6" xfId="32130"/>
    <cellStyle name="Обычный 4 160" xfId="3996"/>
    <cellStyle name="Обычный 4 160 2" xfId="9337"/>
    <cellStyle name="Обычный 4 160 2 2" xfId="20017"/>
    <cellStyle name="Обычный 4 160 2 2 2" xfId="52061"/>
    <cellStyle name="Обычный 4 160 2 3" xfId="30698"/>
    <cellStyle name="Обычный 4 160 2 3 2" xfId="62741"/>
    <cellStyle name="Обычный 4 160 2 4" xfId="41381"/>
    <cellStyle name="Обычный 4 160 3" xfId="14677"/>
    <cellStyle name="Обычный 4 160 3 2" xfId="46721"/>
    <cellStyle name="Обычный 4 160 4" xfId="25358"/>
    <cellStyle name="Обычный 4 160 4 2" xfId="57401"/>
    <cellStyle name="Обычный 4 160 5" xfId="36041"/>
    <cellStyle name="Обычный 4 161" xfId="4028"/>
    <cellStyle name="Обычный 4 161 2" xfId="9369"/>
    <cellStyle name="Обычный 4 161 2 2" xfId="20049"/>
    <cellStyle name="Обычный 4 161 2 2 2" xfId="52093"/>
    <cellStyle name="Обычный 4 161 2 3" xfId="30730"/>
    <cellStyle name="Обычный 4 161 2 3 2" xfId="62773"/>
    <cellStyle name="Обычный 4 161 2 4" xfId="41413"/>
    <cellStyle name="Обычный 4 161 3" xfId="14709"/>
    <cellStyle name="Обычный 4 161 3 2" xfId="46753"/>
    <cellStyle name="Обычный 4 161 4" xfId="25390"/>
    <cellStyle name="Обычный 4 161 4 2" xfId="57433"/>
    <cellStyle name="Обычный 4 161 5" xfId="36073"/>
    <cellStyle name="Обычный 4 162" xfId="4060"/>
    <cellStyle name="Обычный 4 162 2" xfId="9401"/>
    <cellStyle name="Обычный 4 162 2 2" xfId="20081"/>
    <cellStyle name="Обычный 4 162 2 2 2" xfId="52125"/>
    <cellStyle name="Обычный 4 162 2 3" xfId="30762"/>
    <cellStyle name="Обычный 4 162 2 3 2" xfId="62805"/>
    <cellStyle name="Обычный 4 162 2 4" xfId="41445"/>
    <cellStyle name="Обычный 4 162 3" xfId="14741"/>
    <cellStyle name="Обычный 4 162 3 2" xfId="46785"/>
    <cellStyle name="Обычный 4 162 4" xfId="25422"/>
    <cellStyle name="Обычный 4 162 4 2" xfId="57465"/>
    <cellStyle name="Обычный 4 162 5" xfId="36105"/>
    <cellStyle name="Обычный 4 163" xfId="4092"/>
    <cellStyle name="Обычный 4 163 2" xfId="9433"/>
    <cellStyle name="Обычный 4 163 2 2" xfId="20113"/>
    <cellStyle name="Обычный 4 163 2 2 2" xfId="52157"/>
    <cellStyle name="Обычный 4 163 2 3" xfId="30794"/>
    <cellStyle name="Обычный 4 163 2 3 2" xfId="62837"/>
    <cellStyle name="Обычный 4 163 2 4" xfId="41477"/>
    <cellStyle name="Обычный 4 163 3" xfId="14773"/>
    <cellStyle name="Обычный 4 163 3 2" xfId="46817"/>
    <cellStyle name="Обычный 4 163 4" xfId="25454"/>
    <cellStyle name="Обычный 4 163 4 2" xfId="57497"/>
    <cellStyle name="Обычный 4 163 5" xfId="36137"/>
    <cellStyle name="Обычный 4 164" xfId="4124"/>
    <cellStyle name="Обычный 4 164 2" xfId="9465"/>
    <cellStyle name="Обычный 4 164 2 2" xfId="20145"/>
    <cellStyle name="Обычный 4 164 2 2 2" xfId="52189"/>
    <cellStyle name="Обычный 4 164 2 3" xfId="30826"/>
    <cellStyle name="Обычный 4 164 2 3 2" xfId="62869"/>
    <cellStyle name="Обычный 4 164 2 4" xfId="41509"/>
    <cellStyle name="Обычный 4 164 3" xfId="14805"/>
    <cellStyle name="Обычный 4 164 3 2" xfId="46849"/>
    <cellStyle name="Обычный 4 164 4" xfId="25486"/>
    <cellStyle name="Обычный 4 164 4 2" xfId="57529"/>
    <cellStyle name="Обычный 4 164 5" xfId="36169"/>
    <cellStyle name="Обычный 4 165" xfId="4156"/>
    <cellStyle name="Обычный 4 165 2" xfId="9497"/>
    <cellStyle name="Обычный 4 165 2 2" xfId="20177"/>
    <cellStyle name="Обычный 4 165 2 2 2" xfId="52221"/>
    <cellStyle name="Обычный 4 165 2 3" xfId="30858"/>
    <cellStyle name="Обычный 4 165 2 3 2" xfId="62901"/>
    <cellStyle name="Обычный 4 165 2 4" xfId="41541"/>
    <cellStyle name="Обычный 4 165 3" xfId="14837"/>
    <cellStyle name="Обычный 4 165 3 2" xfId="46881"/>
    <cellStyle name="Обычный 4 165 4" xfId="25518"/>
    <cellStyle name="Обычный 4 165 4 2" xfId="57561"/>
    <cellStyle name="Обычный 4 165 5" xfId="36201"/>
    <cellStyle name="Обычный 4 166" xfId="4188"/>
    <cellStyle name="Обычный 4 166 2" xfId="9529"/>
    <cellStyle name="Обычный 4 166 2 2" xfId="20209"/>
    <cellStyle name="Обычный 4 166 2 2 2" xfId="52253"/>
    <cellStyle name="Обычный 4 166 2 3" xfId="30890"/>
    <cellStyle name="Обычный 4 166 2 3 2" xfId="62933"/>
    <cellStyle name="Обычный 4 166 2 4" xfId="41573"/>
    <cellStyle name="Обычный 4 166 3" xfId="14869"/>
    <cellStyle name="Обычный 4 166 3 2" xfId="46913"/>
    <cellStyle name="Обычный 4 166 4" xfId="25550"/>
    <cellStyle name="Обычный 4 166 4 2" xfId="57593"/>
    <cellStyle name="Обычный 4 166 5" xfId="36233"/>
    <cellStyle name="Обычный 4 167" xfId="4220"/>
    <cellStyle name="Обычный 4 167 2" xfId="9561"/>
    <cellStyle name="Обычный 4 167 2 2" xfId="20241"/>
    <cellStyle name="Обычный 4 167 2 2 2" xfId="52285"/>
    <cellStyle name="Обычный 4 167 2 3" xfId="30922"/>
    <cellStyle name="Обычный 4 167 2 3 2" xfId="62965"/>
    <cellStyle name="Обычный 4 167 2 4" xfId="41605"/>
    <cellStyle name="Обычный 4 167 3" xfId="14901"/>
    <cellStyle name="Обычный 4 167 3 2" xfId="46945"/>
    <cellStyle name="Обычный 4 167 4" xfId="25582"/>
    <cellStyle name="Обычный 4 167 4 2" xfId="57625"/>
    <cellStyle name="Обычный 4 167 5" xfId="36265"/>
    <cellStyle name="Обычный 4 168" xfId="4252"/>
    <cellStyle name="Обычный 4 168 2" xfId="9593"/>
    <cellStyle name="Обычный 4 168 2 2" xfId="20273"/>
    <cellStyle name="Обычный 4 168 2 2 2" xfId="52317"/>
    <cellStyle name="Обычный 4 168 2 3" xfId="30954"/>
    <cellStyle name="Обычный 4 168 2 3 2" xfId="62997"/>
    <cellStyle name="Обычный 4 168 2 4" xfId="41637"/>
    <cellStyle name="Обычный 4 168 3" xfId="14933"/>
    <cellStyle name="Обычный 4 168 3 2" xfId="46977"/>
    <cellStyle name="Обычный 4 168 4" xfId="25614"/>
    <cellStyle name="Обычный 4 168 4 2" xfId="57657"/>
    <cellStyle name="Обычный 4 168 5" xfId="36297"/>
    <cellStyle name="Обычный 4 169" xfId="4284"/>
    <cellStyle name="Обычный 4 169 2" xfId="9625"/>
    <cellStyle name="Обычный 4 169 2 2" xfId="20305"/>
    <cellStyle name="Обычный 4 169 2 2 2" xfId="52349"/>
    <cellStyle name="Обычный 4 169 2 3" xfId="30986"/>
    <cellStyle name="Обычный 4 169 2 3 2" xfId="63029"/>
    <cellStyle name="Обычный 4 169 2 4" xfId="41669"/>
    <cellStyle name="Обычный 4 169 3" xfId="14965"/>
    <cellStyle name="Обычный 4 169 3 2" xfId="47009"/>
    <cellStyle name="Обычный 4 169 4" xfId="25646"/>
    <cellStyle name="Обычный 4 169 4 2" xfId="57689"/>
    <cellStyle name="Обычный 4 169 5" xfId="36329"/>
    <cellStyle name="Обычный 4 17" xfId="90"/>
    <cellStyle name="Обычный 4 17 2" xfId="558"/>
    <cellStyle name="Обычный 4 17 2 2" xfId="5901"/>
    <cellStyle name="Обычный 4 17 2 2 2" xfId="16581"/>
    <cellStyle name="Обычный 4 17 2 2 2 2" xfId="48625"/>
    <cellStyle name="Обычный 4 17 2 2 3" xfId="27262"/>
    <cellStyle name="Обычный 4 17 2 2 3 2" xfId="59305"/>
    <cellStyle name="Обычный 4 17 2 2 4" xfId="37945"/>
    <cellStyle name="Обычный 4 17 2 3" xfId="11241"/>
    <cellStyle name="Обычный 4 17 2 3 2" xfId="43285"/>
    <cellStyle name="Обычный 4 17 2 4" xfId="21922"/>
    <cellStyle name="Обычный 4 17 2 4 2" xfId="53965"/>
    <cellStyle name="Обычный 4 17 2 5" xfId="32605"/>
    <cellStyle name="Обычный 4 17 3" xfId="5434"/>
    <cellStyle name="Обычный 4 17 3 2" xfId="16114"/>
    <cellStyle name="Обычный 4 17 3 2 2" xfId="48158"/>
    <cellStyle name="Обычный 4 17 3 3" xfId="26795"/>
    <cellStyle name="Обычный 4 17 3 3 2" xfId="58838"/>
    <cellStyle name="Обычный 4 17 3 4" xfId="37478"/>
    <cellStyle name="Обычный 4 17 4" xfId="10774"/>
    <cellStyle name="Обычный 4 17 4 2" xfId="42818"/>
    <cellStyle name="Обычный 4 17 5" xfId="21455"/>
    <cellStyle name="Обычный 4 17 5 2" xfId="53498"/>
    <cellStyle name="Обычный 4 17 6" xfId="32138"/>
    <cellStyle name="Обычный 4 170" xfId="4316"/>
    <cellStyle name="Обычный 4 170 2" xfId="9657"/>
    <cellStyle name="Обычный 4 170 2 2" xfId="20337"/>
    <cellStyle name="Обычный 4 170 2 2 2" xfId="52381"/>
    <cellStyle name="Обычный 4 170 2 3" xfId="31018"/>
    <cellStyle name="Обычный 4 170 2 3 2" xfId="63061"/>
    <cellStyle name="Обычный 4 170 2 4" xfId="41701"/>
    <cellStyle name="Обычный 4 170 3" xfId="14997"/>
    <cellStyle name="Обычный 4 170 3 2" xfId="47041"/>
    <cellStyle name="Обычный 4 170 4" xfId="25678"/>
    <cellStyle name="Обычный 4 170 4 2" xfId="57721"/>
    <cellStyle name="Обычный 4 170 5" xfId="36361"/>
    <cellStyle name="Обычный 4 171" xfId="4348"/>
    <cellStyle name="Обычный 4 171 2" xfId="9689"/>
    <cellStyle name="Обычный 4 171 2 2" xfId="20369"/>
    <cellStyle name="Обычный 4 171 2 2 2" xfId="52413"/>
    <cellStyle name="Обычный 4 171 2 3" xfId="31050"/>
    <cellStyle name="Обычный 4 171 2 3 2" xfId="63093"/>
    <cellStyle name="Обычный 4 171 2 4" xfId="41733"/>
    <cellStyle name="Обычный 4 171 3" xfId="15029"/>
    <cellStyle name="Обычный 4 171 3 2" xfId="47073"/>
    <cellStyle name="Обычный 4 171 4" xfId="25710"/>
    <cellStyle name="Обычный 4 171 4 2" xfId="57753"/>
    <cellStyle name="Обычный 4 171 5" xfId="36393"/>
    <cellStyle name="Обычный 4 172" xfId="4380"/>
    <cellStyle name="Обычный 4 172 2" xfId="9721"/>
    <cellStyle name="Обычный 4 172 2 2" xfId="20401"/>
    <cellStyle name="Обычный 4 172 2 2 2" xfId="52445"/>
    <cellStyle name="Обычный 4 172 2 3" xfId="31082"/>
    <cellStyle name="Обычный 4 172 2 3 2" xfId="63125"/>
    <cellStyle name="Обычный 4 172 2 4" xfId="41765"/>
    <cellStyle name="Обычный 4 172 3" xfId="15061"/>
    <cellStyle name="Обычный 4 172 3 2" xfId="47105"/>
    <cellStyle name="Обычный 4 172 4" xfId="25742"/>
    <cellStyle name="Обычный 4 172 4 2" xfId="57785"/>
    <cellStyle name="Обычный 4 172 5" xfId="36425"/>
    <cellStyle name="Обычный 4 173" xfId="4412"/>
    <cellStyle name="Обычный 4 173 2" xfId="9753"/>
    <cellStyle name="Обычный 4 173 2 2" xfId="20433"/>
    <cellStyle name="Обычный 4 173 2 2 2" xfId="52477"/>
    <cellStyle name="Обычный 4 173 2 3" xfId="31114"/>
    <cellStyle name="Обычный 4 173 2 3 2" xfId="63157"/>
    <cellStyle name="Обычный 4 173 2 4" xfId="41797"/>
    <cellStyle name="Обычный 4 173 3" xfId="15093"/>
    <cellStyle name="Обычный 4 173 3 2" xfId="47137"/>
    <cellStyle name="Обычный 4 173 4" xfId="25774"/>
    <cellStyle name="Обычный 4 173 4 2" xfId="57817"/>
    <cellStyle name="Обычный 4 173 5" xfId="36457"/>
    <cellStyle name="Обычный 4 174" xfId="4444"/>
    <cellStyle name="Обычный 4 174 2" xfId="9785"/>
    <cellStyle name="Обычный 4 174 2 2" xfId="20465"/>
    <cellStyle name="Обычный 4 174 2 2 2" xfId="52509"/>
    <cellStyle name="Обычный 4 174 2 3" xfId="31146"/>
    <cellStyle name="Обычный 4 174 2 3 2" xfId="63189"/>
    <cellStyle name="Обычный 4 174 2 4" xfId="41829"/>
    <cellStyle name="Обычный 4 174 3" xfId="15125"/>
    <cellStyle name="Обычный 4 174 3 2" xfId="47169"/>
    <cellStyle name="Обычный 4 174 4" xfId="25806"/>
    <cellStyle name="Обычный 4 174 4 2" xfId="57849"/>
    <cellStyle name="Обычный 4 174 5" xfId="36489"/>
    <cellStyle name="Обычный 4 175" xfId="4476"/>
    <cellStyle name="Обычный 4 175 2" xfId="9817"/>
    <cellStyle name="Обычный 4 175 2 2" xfId="20497"/>
    <cellStyle name="Обычный 4 175 2 2 2" xfId="52541"/>
    <cellStyle name="Обычный 4 175 2 3" xfId="31178"/>
    <cellStyle name="Обычный 4 175 2 3 2" xfId="63221"/>
    <cellStyle name="Обычный 4 175 2 4" xfId="41861"/>
    <cellStyle name="Обычный 4 175 3" xfId="15157"/>
    <cellStyle name="Обычный 4 175 3 2" xfId="47201"/>
    <cellStyle name="Обычный 4 175 4" xfId="25838"/>
    <cellStyle name="Обычный 4 175 4 2" xfId="57881"/>
    <cellStyle name="Обычный 4 175 5" xfId="36521"/>
    <cellStyle name="Обычный 4 176" xfId="4508"/>
    <cellStyle name="Обычный 4 176 2" xfId="9849"/>
    <cellStyle name="Обычный 4 176 2 2" xfId="20529"/>
    <cellStyle name="Обычный 4 176 2 2 2" xfId="52573"/>
    <cellStyle name="Обычный 4 176 2 3" xfId="31210"/>
    <cellStyle name="Обычный 4 176 2 3 2" xfId="63253"/>
    <cellStyle name="Обычный 4 176 2 4" xfId="41893"/>
    <cellStyle name="Обычный 4 176 3" xfId="15189"/>
    <cellStyle name="Обычный 4 176 3 2" xfId="47233"/>
    <cellStyle name="Обычный 4 176 4" xfId="25870"/>
    <cellStyle name="Обычный 4 176 4 2" xfId="57913"/>
    <cellStyle name="Обычный 4 176 5" xfId="36553"/>
    <cellStyle name="Обычный 4 177" xfId="4540"/>
    <cellStyle name="Обычный 4 177 2" xfId="9881"/>
    <cellStyle name="Обычный 4 177 2 2" xfId="20561"/>
    <cellStyle name="Обычный 4 177 2 2 2" xfId="52605"/>
    <cellStyle name="Обычный 4 177 2 3" xfId="31242"/>
    <cellStyle name="Обычный 4 177 2 3 2" xfId="63285"/>
    <cellStyle name="Обычный 4 177 2 4" xfId="41925"/>
    <cellStyle name="Обычный 4 177 3" xfId="15221"/>
    <cellStyle name="Обычный 4 177 3 2" xfId="47265"/>
    <cellStyle name="Обычный 4 177 4" xfId="25902"/>
    <cellStyle name="Обычный 4 177 4 2" xfId="57945"/>
    <cellStyle name="Обычный 4 177 5" xfId="36585"/>
    <cellStyle name="Обычный 4 178" xfId="4572"/>
    <cellStyle name="Обычный 4 178 2" xfId="9913"/>
    <cellStyle name="Обычный 4 178 2 2" xfId="20593"/>
    <cellStyle name="Обычный 4 178 2 2 2" xfId="52637"/>
    <cellStyle name="Обычный 4 178 2 3" xfId="31274"/>
    <cellStyle name="Обычный 4 178 2 3 2" xfId="63317"/>
    <cellStyle name="Обычный 4 178 2 4" xfId="41957"/>
    <cellStyle name="Обычный 4 178 3" xfId="15253"/>
    <cellStyle name="Обычный 4 178 3 2" xfId="47297"/>
    <cellStyle name="Обычный 4 178 4" xfId="25934"/>
    <cellStyle name="Обычный 4 178 4 2" xfId="57977"/>
    <cellStyle name="Обычный 4 178 5" xfId="36617"/>
    <cellStyle name="Обычный 4 179" xfId="4604"/>
    <cellStyle name="Обычный 4 179 2" xfId="9945"/>
    <cellStyle name="Обычный 4 179 2 2" xfId="20625"/>
    <cellStyle name="Обычный 4 179 2 2 2" xfId="52669"/>
    <cellStyle name="Обычный 4 179 2 3" xfId="31306"/>
    <cellStyle name="Обычный 4 179 2 3 2" xfId="63349"/>
    <cellStyle name="Обычный 4 179 2 4" xfId="41989"/>
    <cellStyle name="Обычный 4 179 3" xfId="15285"/>
    <cellStyle name="Обычный 4 179 3 2" xfId="47329"/>
    <cellStyle name="Обычный 4 179 4" xfId="25966"/>
    <cellStyle name="Обычный 4 179 4 2" xfId="58009"/>
    <cellStyle name="Обычный 4 179 5" xfId="36649"/>
    <cellStyle name="Обычный 4 18" xfId="100"/>
    <cellStyle name="Обычный 4 18 2" xfId="568"/>
    <cellStyle name="Обычный 4 18 2 2" xfId="5911"/>
    <cellStyle name="Обычный 4 18 2 2 2" xfId="16591"/>
    <cellStyle name="Обычный 4 18 2 2 2 2" xfId="48635"/>
    <cellStyle name="Обычный 4 18 2 2 3" xfId="27272"/>
    <cellStyle name="Обычный 4 18 2 2 3 2" xfId="59315"/>
    <cellStyle name="Обычный 4 18 2 2 4" xfId="37955"/>
    <cellStyle name="Обычный 4 18 2 3" xfId="11251"/>
    <cellStyle name="Обычный 4 18 2 3 2" xfId="43295"/>
    <cellStyle name="Обычный 4 18 2 4" xfId="21932"/>
    <cellStyle name="Обычный 4 18 2 4 2" xfId="53975"/>
    <cellStyle name="Обычный 4 18 2 5" xfId="32615"/>
    <cellStyle name="Обычный 4 18 3" xfId="5444"/>
    <cellStyle name="Обычный 4 18 3 2" xfId="16124"/>
    <cellStyle name="Обычный 4 18 3 2 2" xfId="48168"/>
    <cellStyle name="Обычный 4 18 3 3" xfId="26805"/>
    <cellStyle name="Обычный 4 18 3 3 2" xfId="58848"/>
    <cellStyle name="Обычный 4 18 3 4" xfId="37488"/>
    <cellStyle name="Обычный 4 18 4" xfId="10784"/>
    <cellStyle name="Обычный 4 18 4 2" xfId="42828"/>
    <cellStyle name="Обычный 4 18 5" xfId="21465"/>
    <cellStyle name="Обычный 4 18 5 2" xfId="53508"/>
    <cellStyle name="Обычный 4 18 6" xfId="32148"/>
    <cellStyle name="Обычный 4 180" xfId="4636"/>
    <cellStyle name="Обычный 4 180 2" xfId="9977"/>
    <cellStyle name="Обычный 4 180 2 2" xfId="20657"/>
    <cellStyle name="Обычный 4 180 2 2 2" xfId="52701"/>
    <cellStyle name="Обычный 4 180 2 3" xfId="31338"/>
    <cellStyle name="Обычный 4 180 2 3 2" xfId="63381"/>
    <cellStyle name="Обычный 4 180 2 4" xfId="42021"/>
    <cellStyle name="Обычный 4 180 3" xfId="15317"/>
    <cellStyle name="Обычный 4 180 3 2" xfId="47361"/>
    <cellStyle name="Обычный 4 180 4" xfId="25998"/>
    <cellStyle name="Обычный 4 180 4 2" xfId="58041"/>
    <cellStyle name="Обычный 4 180 5" xfId="36681"/>
    <cellStyle name="Обычный 4 181" xfId="4668"/>
    <cellStyle name="Обычный 4 181 2" xfId="10009"/>
    <cellStyle name="Обычный 4 181 2 2" xfId="20689"/>
    <cellStyle name="Обычный 4 181 2 2 2" xfId="52733"/>
    <cellStyle name="Обычный 4 181 2 3" xfId="31370"/>
    <cellStyle name="Обычный 4 181 2 3 2" xfId="63413"/>
    <cellStyle name="Обычный 4 181 2 4" xfId="42053"/>
    <cellStyle name="Обычный 4 181 3" xfId="15349"/>
    <cellStyle name="Обычный 4 181 3 2" xfId="47393"/>
    <cellStyle name="Обычный 4 181 4" xfId="26030"/>
    <cellStyle name="Обычный 4 181 4 2" xfId="58073"/>
    <cellStyle name="Обычный 4 181 5" xfId="36713"/>
    <cellStyle name="Обычный 4 182" xfId="4702"/>
    <cellStyle name="Обычный 4 182 2" xfId="10043"/>
    <cellStyle name="Обычный 4 182 2 2" xfId="20723"/>
    <cellStyle name="Обычный 4 182 2 2 2" xfId="52767"/>
    <cellStyle name="Обычный 4 182 2 3" xfId="31404"/>
    <cellStyle name="Обычный 4 182 2 3 2" xfId="63447"/>
    <cellStyle name="Обычный 4 182 2 4" xfId="42087"/>
    <cellStyle name="Обычный 4 182 3" xfId="15383"/>
    <cellStyle name="Обычный 4 182 3 2" xfId="47427"/>
    <cellStyle name="Обычный 4 182 4" xfId="26064"/>
    <cellStyle name="Обычный 4 182 4 2" xfId="58107"/>
    <cellStyle name="Обычный 4 182 5" xfId="36747"/>
    <cellStyle name="Обычный 4 183" xfId="4734"/>
    <cellStyle name="Обычный 4 183 2" xfId="10075"/>
    <cellStyle name="Обычный 4 183 2 2" xfId="20755"/>
    <cellStyle name="Обычный 4 183 2 2 2" xfId="52799"/>
    <cellStyle name="Обычный 4 183 2 3" xfId="31436"/>
    <cellStyle name="Обычный 4 183 2 3 2" xfId="63479"/>
    <cellStyle name="Обычный 4 183 2 4" xfId="42119"/>
    <cellStyle name="Обычный 4 183 3" xfId="15415"/>
    <cellStyle name="Обычный 4 183 3 2" xfId="47459"/>
    <cellStyle name="Обычный 4 183 4" xfId="26096"/>
    <cellStyle name="Обычный 4 183 4 2" xfId="58139"/>
    <cellStyle name="Обычный 4 183 5" xfId="36779"/>
    <cellStyle name="Обычный 4 184" xfId="4766"/>
    <cellStyle name="Обычный 4 184 2" xfId="10107"/>
    <cellStyle name="Обычный 4 184 2 2" xfId="20787"/>
    <cellStyle name="Обычный 4 184 2 2 2" xfId="52831"/>
    <cellStyle name="Обычный 4 184 2 3" xfId="31468"/>
    <cellStyle name="Обычный 4 184 2 3 2" xfId="63511"/>
    <cellStyle name="Обычный 4 184 2 4" xfId="42151"/>
    <cellStyle name="Обычный 4 184 3" xfId="15447"/>
    <cellStyle name="Обычный 4 184 3 2" xfId="47491"/>
    <cellStyle name="Обычный 4 184 4" xfId="26128"/>
    <cellStyle name="Обычный 4 184 4 2" xfId="58171"/>
    <cellStyle name="Обычный 4 184 5" xfId="36811"/>
    <cellStyle name="Обычный 4 185" xfId="4798"/>
    <cellStyle name="Обычный 4 185 2" xfId="10139"/>
    <cellStyle name="Обычный 4 185 2 2" xfId="20819"/>
    <cellStyle name="Обычный 4 185 2 2 2" xfId="52863"/>
    <cellStyle name="Обычный 4 185 2 3" xfId="31500"/>
    <cellStyle name="Обычный 4 185 2 3 2" xfId="63543"/>
    <cellStyle name="Обычный 4 185 2 4" xfId="42183"/>
    <cellStyle name="Обычный 4 185 3" xfId="15479"/>
    <cellStyle name="Обычный 4 185 3 2" xfId="47523"/>
    <cellStyle name="Обычный 4 185 4" xfId="26160"/>
    <cellStyle name="Обычный 4 185 4 2" xfId="58203"/>
    <cellStyle name="Обычный 4 185 5" xfId="36843"/>
    <cellStyle name="Обычный 4 186" xfId="4830"/>
    <cellStyle name="Обычный 4 186 2" xfId="10171"/>
    <cellStyle name="Обычный 4 186 2 2" xfId="20851"/>
    <cellStyle name="Обычный 4 186 2 2 2" xfId="52895"/>
    <cellStyle name="Обычный 4 186 2 3" xfId="31532"/>
    <cellStyle name="Обычный 4 186 2 3 2" xfId="63575"/>
    <cellStyle name="Обычный 4 186 2 4" xfId="42215"/>
    <cellStyle name="Обычный 4 186 3" xfId="15511"/>
    <cellStyle name="Обычный 4 186 3 2" xfId="47555"/>
    <cellStyle name="Обычный 4 186 4" xfId="26192"/>
    <cellStyle name="Обычный 4 186 4 2" xfId="58235"/>
    <cellStyle name="Обычный 4 186 5" xfId="36875"/>
    <cellStyle name="Обычный 4 187" xfId="4862"/>
    <cellStyle name="Обычный 4 187 2" xfId="10203"/>
    <cellStyle name="Обычный 4 187 2 2" xfId="20883"/>
    <cellStyle name="Обычный 4 187 2 2 2" xfId="52927"/>
    <cellStyle name="Обычный 4 187 2 3" xfId="31564"/>
    <cellStyle name="Обычный 4 187 2 3 2" xfId="63607"/>
    <cellStyle name="Обычный 4 187 2 4" xfId="42247"/>
    <cellStyle name="Обычный 4 187 3" xfId="15543"/>
    <cellStyle name="Обычный 4 187 3 2" xfId="47587"/>
    <cellStyle name="Обычный 4 187 4" xfId="26224"/>
    <cellStyle name="Обычный 4 187 4 2" xfId="58267"/>
    <cellStyle name="Обычный 4 187 5" xfId="36907"/>
    <cellStyle name="Обычный 4 188" xfId="4894"/>
    <cellStyle name="Обычный 4 188 2" xfId="10235"/>
    <cellStyle name="Обычный 4 188 2 2" xfId="20915"/>
    <cellStyle name="Обычный 4 188 2 2 2" xfId="52959"/>
    <cellStyle name="Обычный 4 188 2 3" xfId="31596"/>
    <cellStyle name="Обычный 4 188 2 3 2" xfId="63639"/>
    <cellStyle name="Обычный 4 188 2 4" xfId="42279"/>
    <cellStyle name="Обычный 4 188 3" xfId="15575"/>
    <cellStyle name="Обычный 4 188 3 2" xfId="47619"/>
    <cellStyle name="Обычный 4 188 4" xfId="26256"/>
    <cellStyle name="Обычный 4 188 4 2" xfId="58299"/>
    <cellStyle name="Обычный 4 188 5" xfId="36939"/>
    <cellStyle name="Обычный 4 189" xfId="4926"/>
    <cellStyle name="Обычный 4 189 2" xfId="10267"/>
    <cellStyle name="Обычный 4 189 2 2" xfId="20947"/>
    <cellStyle name="Обычный 4 189 2 2 2" xfId="52991"/>
    <cellStyle name="Обычный 4 189 2 3" xfId="31628"/>
    <cellStyle name="Обычный 4 189 2 3 2" xfId="63671"/>
    <cellStyle name="Обычный 4 189 2 4" xfId="42311"/>
    <cellStyle name="Обычный 4 189 3" xfId="15607"/>
    <cellStyle name="Обычный 4 189 3 2" xfId="47651"/>
    <cellStyle name="Обычный 4 189 4" xfId="26288"/>
    <cellStyle name="Обычный 4 189 4 2" xfId="58331"/>
    <cellStyle name="Обычный 4 189 5" xfId="36971"/>
    <cellStyle name="Обычный 4 19" xfId="110"/>
    <cellStyle name="Обычный 4 19 2" xfId="578"/>
    <cellStyle name="Обычный 4 19 2 2" xfId="5921"/>
    <cellStyle name="Обычный 4 19 2 2 2" xfId="16601"/>
    <cellStyle name="Обычный 4 19 2 2 2 2" xfId="48645"/>
    <cellStyle name="Обычный 4 19 2 2 3" xfId="27282"/>
    <cellStyle name="Обычный 4 19 2 2 3 2" xfId="59325"/>
    <cellStyle name="Обычный 4 19 2 2 4" xfId="37965"/>
    <cellStyle name="Обычный 4 19 2 3" xfId="11261"/>
    <cellStyle name="Обычный 4 19 2 3 2" xfId="43305"/>
    <cellStyle name="Обычный 4 19 2 4" xfId="21942"/>
    <cellStyle name="Обычный 4 19 2 4 2" xfId="53985"/>
    <cellStyle name="Обычный 4 19 2 5" xfId="32625"/>
    <cellStyle name="Обычный 4 19 3" xfId="5454"/>
    <cellStyle name="Обычный 4 19 3 2" xfId="16134"/>
    <cellStyle name="Обычный 4 19 3 2 2" xfId="48178"/>
    <cellStyle name="Обычный 4 19 3 3" xfId="26815"/>
    <cellStyle name="Обычный 4 19 3 3 2" xfId="58858"/>
    <cellStyle name="Обычный 4 19 3 4" xfId="37498"/>
    <cellStyle name="Обычный 4 19 4" xfId="10794"/>
    <cellStyle name="Обычный 4 19 4 2" xfId="42838"/>
    <cellStyle name="Обычный 4 19 5" xfId="21475"/>
    <cellStyle name="Обычный 4 19 5 2" xfId="53518"/>
    <cellStyle name="Обычный 4 19 6" xfId="32158"/>
    <cellStyle name="Обычный 4 190" xfId="4958"/>
    <cellStyle name="Обычный 4 190 2" xfId="10299"/>
    <cellStyle name="Обычный 4 190 2 2" xfId="20979"/>
    <cellStyle name="Обычный 4 190 2 2 2" xfId="53023"/>
    <cellStyle name="Обычный 4 190 2 3" xfId="31660"/>
    <cellStyle name="Обычный 4 190 2 3 2" xfId="63703"/>
    <cellStyle name="Обычный 4 190 2 4" xfId="42343"/>
    <cellStyle name="Обычный 4 190 3" xfId="15639"/>
    <cellStyle name="Обычный 4 190 3 2" xfId="47683"/>
    <cellStyle name="Обычный 4 190 4" xfId="26320"/>
    <cellStyle name="Обычный 4 190 4 2" xfId="58363"/>
    <cellStyle name="Обычный 4 190 5" xfId="37003"/>
    <cellStyle name="Обычный 4 191" xfId="4990"/>
    <cellStyle name="Обычный 4 191 2" xfId="10331"/>
    <cellStyle name="Обычный 4 191 2 2" xfId="21011"/>
    <cellStyle name="Обычный 4 191 2 2 2" xfId="53055"/>
    <cellStyle name="Обычный 4 191 2 3" xfId="31692"/>
    <cellStyle name="Обычный 4 191 2 3 2" xfId="63735"/>
    <cellStyle name="Обычный 4 191 2 4" xfId="42375"/>
    <cellStyle name="Обычный 4 191 3" xfId="15671"/>
    <cellStyle name="Обычный 4 191 3 2" xfId="47715"/>
    <cellStyle name="Обычный 4 191 4" xfId="26352"/>
    <cellStyle name="Обычный 4 191 4 2" xfId="58395"/>
    <cellStyle name="Обычный 4 191 5" xfId="37035"/>
    <cellStyle name="Обычный 4 192" xfId="5022"/>
    <cellStyle name="Обычный 4 192 2" xfId="10363"/>
    <cellStyle name="Обычный 4 192 2 2" xfId="21043"/>
    <cellStyle name="Обычный 4 192 2 2 2" xfId="53087"/>
    <cellStyle name="Обычный 4 192 2 3" xfId="31724"/>
    <cellStyle name="Обычный 4 192 2 3 2" xfId="63767"/>
    <cellStyle name="Обычный 4 192 2 4" xfId="42407"/>
    <cellStyle name="Обычный 4 192 3" xfId="15703"/>
    <cellStyle name="Обычный 4 192 3 2" xfId="47747"/>
    <cellStyle name="Обычный 4 192 4" xfId="26384"/>
    <cellStyle name="Обычный 4 192 4 2" xfId="58427"/>
    <cellStyle name="Обычный 4 192 5" xfId="37067"/>
    <cellStyle name="Обычный 4 193" xfId="5054"/>
    <cellStyle name="Обычный 4 193 2" xfId="10395"/>
    <cellStyle name="Обычный 4 193 2 2" xfId="21075"/>
    <cellStyle name="Обычный 4 193 2 2 2" xfId="53119"/>
    <cellStyle name="Обычный 4 193 2 3" xfId="31756"/>
    <cellStyle name="Обычный 4 193 2 3 2" xfId="63799"/>
    <cellStyle name="Обычный 4 193 2 4" xfId="42439"/>
    <cellStyle name="Обычный 4 193 3" xfId="15735"/>
    <cellStyle name="Обычный 4 193 3 2" xfId="47779"/>
    <cellStyle name="Обычный 4 193 4" xfId="26416"/>
    <cellStyle name="Обычный 4 193 4 2" xfId="58459"/>
    <cellStyle name="Обычный 4 193 5" xfId="37099"/>
    <cellStyle name="Обычный 4 194" xfId="5086"/>
    <cellStyle name="Обычный 4 194 2" xfId="10427"/>
    <cellStyle name="Обычный 4 194 2 2" xfId="21107"/>
    <cellStyle name="Обычный 4 194 2 2 2" xfId="53151"/>
    <cellStyle name="Обычный 4 194 2 3" xfId="31788"/>
    <cellStyle name="Обычный 4 194 2 3 2" xfId="63831"/>
    <cellStyle name="Обычный 4 194 2 4" xfId="42471"/>
    <cellStyle name="Обычный 4 194 3" xfId="15767"/>
    <cellStyle name="Обычный 4 194 3 2" xfId="47811"/>
    <cellStyle name="Обычный 4 194 4" xfId="26448"/>
    <cellStyle name="Обычный 4 194 4 2" xfId="58491"/>
    <cellStyle name="Обычный 4 194 5" xfId="37131"/>
    <cellStyle name="Обычный 4 195" xfId="5118"/>
    <cellStyle name="Обычный 4 195 2" xfId="10459"/>
    <cellStyle name="Обычный 4 195 2 2" xfId="21139"/>
    <cellStyle name="Обычный 4 195 2 2 2" xfId="53183"/>
    <cellStyle name="Обычный 4 195 2 3" xfId="31820"/>
    <cellStyle name="Обычный 4 195 2 3 2" xfId="63863"/>
    <cellStyle name="Обычный 4 195 2 4" xfId="42503"/>
    <cellStyle name="Обычный 4 195 3" xfId="15799"/>
    <cellStyle name="Обычный 4 195 3 2" xfId="47843"/>
    <cellStyle name="Обычный 4 195 4" xfId="26480"/>
    <cellStyle name="Обычный 4 195 4 2" xfId="58523"/>
    <cellStyle name="Обычный 4 195 5" xfId="37163"/>
    <cellStyle name="Обычный 4 196" xfId="5150"/>
    <cellStyle name="Обычный 4 196 2" xfId="10491"/>
    <cellStyle name="Обычный 4 196 2 2" xfId="21171"/>
    <cellStyle name="Обычный 4 196 2 2 2" xfId="53215"/>
    <cellStyle name="Обычный 4 196 2 3" xfId="31852"/>
    <cellStyle name="Обычный 4 196 2 3 2" xfId="63895"/>
    <cellStyle name="Обычный 4 196 2 4" xfId="42535"/>
    <cellStyle name="Обычный 4 196 3" xfId="15831"/>
    <cellStyle name="Обычный 4 196 3 2" xfId="47875"/>
    <cellStyle name="Обычный 4 196 4" xfId="26512"/>
    <cellStyle name="Обычный 4 196 4 2" xfId="58555"/>
    <cellStyle name="Обычный 4 196 5" xfId="37195"/>
    <cellStyle name="Обычный 4 197" xfId="5182"/>
    <cellStyle name="Обычный 4 197 2" xfId="10523"/>
    <cellStyle name="Обычный 4 197 2 2" xfId="21203"/>
    <cellStyle name="Обычный 4 197 2 2 2" xfId="53247"/>
    <cellStyle name="Обычный 4 197 2 3" xfId="31884"/>
    <cellStyle name="Обычный 4 197 2 3 2" xfId="63927"/>
    <cellStyle name="Обычный 4 197 2 4" xfId="42567"/>
    <cellStyle name="Обычный 4 197 3" xfId="15863"/>
    <cellStyle name="Обычный 4 197 3 2" xfId="47907"/>
    <cellStyle name="Обычный 4 197 4" xfId="26544"/>
    <cellStyle name="Обычный 4 197 4 2" xfId="58587"/>
    <cellStyle name="Обычный 4 197 5" xfId="37227"/>
    <cellStyle name="Обычный 4 198" xfId="5214"/>
    <cellStyle name="Обычный 4 198 2" xfId="10555"/>
    <cellStyle name="Обычный 4 198 2 2" xfId="21235"/>
    <cellStyle name="Обычный 4 198 2 2 2" xfId="53279"/>
    <cellStyle name="Обычный 4 198 2 3" xfId="31916"/>
    <cellStyle name="Обычный 4 198 2 3 2" xfId="63959"/>
    <cellStyle name="Обычный 4 198 2 4" xfId="42599"/>
    <cellStyle name="Обычный 4 198 3" xfId="15895"/>
    <cellStyle name="Обычный 4 198 3 2" xfId="47939"/>
    <cellStyle name="Обычный 4 198 4" xfId="26576"/>
    <cellStyle name="Обычный 4 198 4 2" xfId="58619"/>
    <cellStyle name="Обычный 4 198 5" xfId="37259"/>
    <cellStyle name="Обычный 4 199" xfId="5246"/>
    <cellStyle name="Обычный 4 199 2" xfId="10587"/>
    <cellStyle name="Обычный 4 199 2 2" xfId="21267"/>
    <cellStyle name="Обычный 4 199 2 2 2" xfId="53311"/>
    <cellStyle name="Обычный 4 199 2 3" xfId="31948"/>
    <cellStyle name="Обычный 4 199 2 3 2" xfId="63991"/>
    <cellStyle name="Обычный 4 199 2 4" xfId="42631"/>
    <cellStyle name="Обычный 4 199 3" xfId="15927"/>
    <cellStyle name="Обычный 4 199 3 2" xfId="47971"/>
    <cellStyle name="Обычный 4 199 4" xfId="26608"/>
    <cellStyle name="Обычный 4 199 4 2" xfId="58651"/>
    <cellStyle name="Обычный 4 199 5" xfId="37291"/>
    <cellStyle name="Обычный 4 2" xfId="34"/>
    <cellStyle name="Обычный 4 2 10" xfId="154"/>
    <cellStyle name="Обычный 4 2 10 2" xfId="622"/>
    <cellStyle name="Обычный 4 2 10 2 2" xfId="5965"/>
    <cellStyle name="Обычный 4 2 10 2 2 2" xfId="16645"/>
    <cellStyle name="Обычный 4 2 10 2 2 2 2" xfId="48689"/>
    <cellStyle name="Обычный 4 2 10 2 2 3" xfId="27326"/>
    <cellStyle name="Обычный 4 2 10 2 2 3 2" xfId="59369"/>
    <cellStyle name="Обычный 4 2 10 2 2 4" xfId="38009"/>
    <cellStyle name="Обычный 4 2 10 2 3" xfId="11305"/>
    <cellStyle name="Обычный 4 2 10 2 3 2" xfId="43349"/>
    <cellStyle name="Обычный 4 2 10 2 4" xfId="21986"/>
    <cellStyle name="Обычный 4 2 10 2 4 2" xfId="54029"/>
    <cellStyle name="Обычный 4 2 10 2 5" xfId="32669"/>
    <cellStyle name="Обычный 4 2 10 3" xfId="5498"/>
    <cellStyle name="Обычный 4 2 10 3 2" xfId="16178"/>
    <cellStyle name="Обычный 4 2 10 3 2 2" xfId="48222"/>
    <cellStyle name="Обычный 4 2 10 3 3" xfId="26859"/>
    <cellStyle name="Обычный 4 2 10 3 3 2" xfId="58902"/>
    <cellStyle name="Обычный 4 2 10 3 4" xfId="37542"/>
    <cellStyle name="Обычный 4 2 10 4" xfId="10838"/>
    <cellStyle name="Обычный 4 2 10 4 2" xfId="42882"/>
    <cellStyle name="Обычный 4 2 10 5" xfId="21519"/>
    <cellStyle name="Обычный 4 2 10 5 2" xfId="53562"/>
    <cellStyle name="Обычный 4 2 10 6" xfId="32202"/>
    <cellStyle name="Обычный 4 2 100" xfId="2491"/>
    <cellStyle name="Обычный 4 2 100 2" xfId="7833"/>
    <cellStyle name="Обычный 4 2 100 2 2" xfId="18513"/>
    <cellStyle name="Обычный 4 2 100 2 2 2" xfId="50557"/>
    <cellStyle name="Обычный 4 2 100 2 3" xfId="29194"/>
    <cellStyle name="Обычный 4 2 100 2 3 2" xfId="61237"/>
    <cellStyle name="Обычный 4 2 100 2 4" xfId="39877"/>
    <cellStyle name="Обычный 4 2 100 3" xfId="13173"/>
    <cellStyle name="Обычный 4 2 100 3 2" xfId="45217"/>
    <cellStyle name="Обычный 4 2 100 4" xfId="23854"/>
    <cellStyle name="Обычный 4 2 100 4 2" xfId="55897"/>
    <cellStyle name="Обычный 4 2 100 5" xfId="34537"/>
    <cellStyle name="Обычный 4 2 101" xfId="2525"/>
    <cellStyle name="Обычный 4 2 101 2" xfId="7867"/>
    <cellStyle name="Обычный 4 2 101 2 2" xfId="18547"/>
    <cellStyle name="Обычный 4 2 101 2 2 2" xfId="50591"/>
    <cellStyle name="Обычный 4 2 101 2 3" xfId="29228"/>
    <cellStyle name="Обычный 4 2 101 2 3 2" xfId="61271"/>
    <cellStyle name="Обычный 4 2 101 2 4" xfId="39911"/>
    <cellStyle name="Обычный 4 2 101 3" xfId="13207"/>
    <cellStyle name="Обычный 4 2 101 3 2" xfId="45251"/>
    <cellStyle name="Обычный 4 2 101 4" xfId="23888"/>
    <cellStyle name="Обычный 4 2 101 4 2" xfId="55931"/>
    <cellStyle name="Обычный 4 2 101 5" xfId="34571"/>
    <cellStyle name="Обычный 4 2 102" xfId="2557"/>
    <cellStyle name="Обычный 4 2 102 2" xfId="7899"/>
    <cellStyle name="Обычный 4 2 102 2 2" xfId="18579"/>
    <cellStyle name="Обычный 4 2 102 2 2 2" xfId="50623"/>
    <cellStyle name="Обычный 4 2 102 2 3" xfId="29260"/>
    <cellStyle name="Обычный 4 2 102 2 3 2" xfId="61303"/>
    <cellStyle name="Обычный 4 2 102 2 4" xfId="39943"/>
    <cellStyle name="Обычный 4 2 102 3" xfId="13239"/>
    <cellStyle name="Обычный 4 2 102 3 2" xfId="45283"/>
    <cellStyle name="Обычный 4 2 102 4" xfId="23920"/>
    <cellStyle name="Обычный 4 2 102 4 2" xfId="55963"/>
    <cellStyle name="Обычный 4 2 102 5" xfId="34603"/>
    <cellStyle name="Обычный 4 2 103" xfId="2589"/>
    <cellStyle name="Обычный 4 2 103 2" xfId="7931"/>
    <cellStyle name="Обычный 4 2 103 2 2" xfId="18611"/>
    <cellStyle name="Обычный 4 2 103 2 2 2" xfId="50655"/>
    <cellStyle name="Обычный 4 2 103 2 3" xfId="29292"/>
    <cellStyle name="Обычный 4 2 103 2 3 2" xfId="61335"/>
    <cellStyle name="Обычный 4 2 103 2 4" xfId="39975"/>
    <cellStyle name="Обычный 4 2 103 3" xfId="13271"/>
    <cellStyle name="Обычный 4 2 103 3 2" xfId="45315"/>
    <cellStyle name="Обычный 4 2 103 4" xfId="23952"/>
    <cellStyle name="Обычный 4 2 103 4 2" xfId="55995"/>
    <cellStyle name="Обычный 4 2 103 5" xfId="34635"/>
    <cellStyle name="Обычный 4 2 104" xfId="2621"/>
    <cellStyle name="Обычный 4 2 104 2" xfId="7963"/>
    <cellStyle name="Обычный 4 2 104 2 2" xfId="18643"/>
    <cellStyle name="Обычный 4 2 104 2 2 2" xfId="50687"/>
    <cellStyle name="Обычный 4 2 104 2 3" xfId="29324"/>
    <cellStyle name="Обычный 4 2 104 2 3 2" xfId="61367"/>
    <cellStyle name="Обычный 4 2 104 2 4" xfId="40007"/>
    <cellStyle name="Обычный 4 2 104 3" xfId="13303"/>
    <cellStyle name="Обычный 4 2 104 3 2" xfId="45347"/>
    <cellStyle name="Обычный 4 2 104 4" xfId="23984"/>
    <cellStyle name="Обычный 4 2 104 4 2" xfId="56027"/>
    <cellStyle name="Обычный 4 2 104 5" xfId="34667"/>
    <cellStyle name="Обычный 4 2 105" xfId="2653"/>
    <cellStyle name="Обычный 4 2 105 2" xfId="7995"/>
    <cellStyle name="Обычный 4 2 105 2 2" xfId="18675"/>
    <cellStyle name="Обычный 4 2 105 2 2 2" xfId="50719"/>
    <cellStyle name="Обычный 4 2 105 2 3" xfId="29356"/>
    <cellStyle name="Обычный 4 2 105 2 3 2" xfId="61399"/>
    <cellStyle name="Обычный 4 2 105 2 4" xfId="40039"/>
    <cellStyle name="Обычный 4 2 105 3" xfId="13335"/>
    <cellStyle name="Обычный 4 2 105 3 2" xfId="45379"/>
    <cellStyle name="Обычный 4 2 105 4" xfId="24016"/>
    <cellStyle name="Обычный 4 2 105 4 2" xfId="56059"/>
    <cellStyle name="Обычный 4 2 105 5" xfId="34699"/>
    <cellStyle name="Обычный 4 2 106" xfId="2685"/>
    <cellStyle name="Обычный 4 2 106 2" xfId="8027"/>
    <cellStyle name="Обычный 4 2 106 2 2" xfId="18707"/>
    <cellStyle name="Обычный 4 2 106 2 2 2" xfId="50751"/>
    <cellStyle name="Обычный 4 2 106 2 3" xfId="29388"/>
    <cellStyle name="Обычный 4 2 106 2 3 2" xfId="61431"/>
    <cellStyle name="Обычный 4 2 106 2 4" xfId="40071"/>
    <cellStyle name="Обычный 4 2 106 3" xfId="13367"/>
    <cellStyle name="Обычный 4 2 106 3 2" xfId="45411"/>
    <cellStyle name="Обычный 4 2 106 4" xfId="24048"/>
    <cellStyle name="Обычный 4 2 106 4 2" xfId="56091"/>
    <cellStyle name="Обычный 4 2 106 5" xfId="34731"/>
    <cellStyle name="Обычный 4 2 107" xfId="2717"/>
    <cellStyle name="Обычный 4 2 107 2" xfId="8059"/>
    <cellStyle name="Обычный 4 2 107 2 2" xfId="18739"/>
    <cellStyle name="Обычный 4 2 107 2 2 2" xfId="50783"/>
    <cellStyle name="Обычный 4 2 107 2 3" xfId="29420"/>
    <cellStyle name="Обычный 4 2 107 2 3 2" xfId="61463"/>
    <cellStyle name="Обычный 4 2 107 2 4" xfId="40103"/>
    <cellStyle name="Обычный 4 2 107 3" xfId="13399"/>
    <cellStyle name="Обычный 4 2 107 3 2" xfId="45443"/>
    <cellStyle name="Обычный 4 2 107 4" xfId="24080"/>
    <cellStyle name="Обычный 4 2 107 4 2" xfId="56123"/>
    <cellStyle name="Обычный 4 2 107 5" xfId="34763"/>
    <cellStyle name="Обычный 4 2 108" xfId="2751"/>
    <cellStyle name="Обычный 4 2 108 2" xfId="8093"/>
    <cellStyle name="Обычный 4 2 108 2 2" xfId="18773"/>
    <cellStyle name="Обычный 4 2 108 2 2 2" xfId="50817"/>
    <cellStyle name="Обычный 4 2 108 2 3" xfId="29454"/>
    <cellStyle name="Обычный 4 2 108 2 3 2" xfId="61497"/>
    <cellStyle name="Обычный 4 2 108 2 4" xfId="40137"/>
    <cellStyle name="Обычный 4 2 108 3" xfId="13433"/>
    <cellStyle name="Обычный 4 2 108 3 2" xfId="45477"/>
    <cellStyle name="Обычный 4 2 108 4" xfId="24114"/>
    <cellStyle name="Обычный 4 2 108 4 2" xfId="56157"/>
    <cellStyle name="Обычный 4 2 108 5" xfId="34797"/>
    <cellStyle name="Обычный 4 2 109" xfId="2783"/>
    <cellStyle name="Обычный 4 2 109 2" xfId="8125"/>
    <cellStyle name="Обычный 4 2 109 2 2" xfId="18805"/>
    <cellStyle name="Обычный 4 2 109 2 2 2" xfId="50849"/>
    <cellStyle name="Обычный 4 2 109 2 3" xfId="29486"/>
    <cellStyle name="Обычный 4 2 109 2 3 2" xfId="61529"/>
    <cellStyle name="Обычный 4 2 109 2 4" xfId="40169"/>
    <cellStyle name="Обычный 4 2 109 3" xfId="13465"/>
    <cellStyle name="Обычный 4 2 109 3 2" xfId="45509"/>
    <cellStyle name="Обычный 4 2 109 4" xfId="24146"/>
    <cellStyle name="Обычный 4 2 109 4 2" xfId="56189"/>
    <cellStyle name="Обычный 4 2 109 5" xfId="34829"/>
    <cellStyle name="Обычный 4 2 11" xfId="164"/>
    <cellStyle name="Обычный 4 2 11 2" xfId="632"/>
    <cellStyle name="Обычный 4 2 11 2 2" xfId="5975"/>
    <cellStyle name="Обычный 4 2 11 2 2 2" xfId="16655"/>
    <cellStyle name="Обычный 4 2 11 2 2 2 2" xfId="48699"/>
    <cellStyle name="Обычный 4 2 11 2 2 3" xfId="27336"/>
    <cellStyle name="Обычный 4 2 11 2 2 3 2" xfId="59379"/>
    <cellStyle name="Обычный 4 2 11 2 2 4" xfId="38019"/>
    <cellStyle name="Обычный 4 2 11 2 3" xfId="11315"/>
    <cellStyle name="Обычный 4 2 11 2 3 2" xfId="43359"/>
    <cellStyle name="Обычный 4 2 11 2 4" xfId="21996"/>
    <cellStyle name="Обычный 4 2 11 2 4 2" xfId="54039"/>
    <cellStyle name="Обычный 4 2 11 2 5" xfId="32679"/>
    <cellStyle name="Обычный 4 2 11 3" xfId="5508"/>
    <cellStyle name="Обычный 4 2 11 3 2" xfId="16188"/>
    <cellStyle name="Обычный 4 2 11 3 2 2" xfId="48232"/>
    <cellStyle name="Обычный 4 2 11 3 3" xfId="26869"/>
    <cellStyle name="Обычный 4 2 11 3 3 2" xfId="58912"/>
    <cellStyle name="Обычный 4 2 11 3 4" xfId="37552"/>
    <cellStyle name="Обычный 4 2 11 4" xfId="10848"/>
    <cellStyle name="Обычный 4 2 11 4 2" xfId="42892"/>
    <cellStyle name="Обычный 4 2 11 5" xfId="21529"/>
    <cellStyle name="Обычный 4 2 11 5 2" xfId="53572"/>
    <cellStyle name="Обычный 4 2 11 6" xfId="32212"/>
    <cellStyle name="Обычный 4 2 110" xfId="2815"/>
    <cellStyle name="Обычный 4 2 110 2" xfId="8157"/>
    <cellStyle name="Обычный 4 2 110 2 2" xfId="18837"/>
    <cellStyle name="Обычный 4 2 110 2 2 2" xfId="50881"/>
    <cellStyle name="Обычный 4 2 110 2 3" xfId="29518"/>
    <cellStyle name="Обычный 4 2 110 2 3 2" xfId="61561"/>
    <cellStyle name="Обычный 4 2 110 2 4" xfId="40201"/>
    <cellStyle name="Обычный 4 2 110 3" xfId="13497"/>
    <cellStyle name="Обычный 4 2 110 3 2" xfId="45541"/>
    <cellStyle name="Обычный 4 2 110 4" xfId="24178"/>
    <cellStyle name="Обычный 4 2 110 4 2" xfId="56221"/>
    <cellStyle name="Обычный 4 2 110 5" xfId="34861"/>
    <cellStyle name="Обычный 4 2 111" xfId="2847"/>
    <cellStyle name="Обычный 4 2 111 2" xfId="8189"/>
    <cellStyle name="Обычный 4 2 111 2 2" xfId="18869"/>
    <cellStyle name="Обычный 4 2 111 2 2 2" xfId="50913"/>
    <cellStyle name="Обычный 4 2 111 2 3" xfId="29550"/>
    <cellStyle name="Обычный 4 2 111 2 3 2" xfId="61593"/>
    <cellStyle name="Обычный 4 2 111 2 4" xfId="40233"/>
    <cellStyle name="Обычный 4 2 111 3" xfId="13529"/>
    <cellStyle name="Обычный 4 2 111 3 2" xfId="45573"/>
    <cellStyle name="Обычный 4 2 111 4" xfId="24210"/>
    <cellStyle name="Обычный 4 2 111 4 2" xfId="56253"/>
    <cellStyle name="Обычный 4 2 111 5" xfId="34893"/>
    <cellStyle name="Обычный 4 2 112" xfId="2879"/>
    <cellStyle name="Обычный 4 2 112 2" xfId="8221"/>
    <cellStyle name="Обычный 4 2 112 2 2" xfId="18901"/>
    <cellStyle name="Обычный 4 2 112 2 2 2" xfId="50945"/>
    <cellStyle name="Обычный 4 2 112 2 3" xfId="29582"/>
    <cellStyle name="Обычный 4 2 112 2 3 2" xfId="61625"/>
    <cellStyle name="Обычный 4 2 112 2 4" xfId="40265"/>
    <cellStyle name="Обычный 4 2 112 3" xfId="13561"/>
    <cellStyle name="Обычный 4 2 112 3 2" xfId="45605"/>
    <cellStyle name="Обычный 4 2 112 4" xfId="24242"/>
    <cellStyle name="Обычный 4 2 112 4 2" xfId="56285"/>
    <cellStyle name="Обычный 4 2 112 5" xfId="34925"/>
    <cellStyle name="Обычный 4 2 113" xfId="2911"/>
    <cellStyle name="Обычный 4 2 113 2" xfId="8253"/>
    <cellStyle name="Обычный 4 2 113 2 2" xfId="18933"/>
    <cellStyle name="Обычный 4 2 113 2 2 2" xfId="50977"/>
    <cellStyle name="Обычный 4 2 113 2 3" xfId="29614"/>
    <cellStyle name="Обычный 4 2 113 2 3 2" xfId="61657"/>
    <cellStyle name="Обычный 4 2 113 2 4" xfId="40297"/>
    <cellStyle name="Обычный 4 2 113 3" xfId="13593"/>
    <cellStyle name="Обычный 4 2 113 3 2" xfId="45637"/>
    <cellStyle name="Обычный 4 2 113 4" xfId="24274"/>
    <cellStyle name="Обычный 4 2 113 4 2" xfId="56317"/>
    <cellStyle name="Обычный 4 2 113 5" xfId="34957"/>
    <cellStyle name="Обычный 4 2 114" xfId="2943"/>
    <cellStyle name="Обычный 4 2 114 2" xfId="8285"/>
    <cellStyle name="Обычный 4 2 114 2 2" xfId="18965"/>
    <cellStyle name="Обычный 4 2 114 2 2 2" xfId="51009"/>
    <cellStyle name="Обычный 4 2 114 2 3" xfId="29646"/>
    <cellStyle name="Обычный 4 2 114 2 3 2" xfId="61689"/>
    <cellStyle name="Обычный 4 2 114 2 4" xfId="40329"/>
    <cellStyle name="Обычный 4 2 114 3" xfId="13625"/>
    <cellStyle name="Обычный 4 2 114 3 2" xfId="45669"/>
    <cellStyle name="Обычный 4 2 114 4" xfId="24306"/>
    <cellStyle name="Обычный 4 2 114 4 2" xfId="56349"/>
    <cellStyle name="Обычный 4 2 114 5" xfId="34989"/>
    <cellStyle name="Обычный 4 2 115" xfId="2975"/>
    <cellStyle name="Обычный 4 2 115 2" xfId="8317"/>
    <cellStyle name="Обычный 4 2 115 2 2" xfId="18997"/>
    <cellStyle name="Обычный 4 2 115 2 2 2" xfId="51041"/>
    <cellStyle name="Обычный 4 2 115 2 3" xfId="29678"/>
    <cellStyle name="Обычный 4 2 115 2 3 2" xfId="61721"/>
    <cellStyle name="Обычный 4 2 115 2 4" xfId="40361"/>
    <cellStyle name="Обычный 4 2 115 3" xfId="13657"/>
    <cellStyle name="Обычный 4 2 115 3 2" xfId="45701"/>
    <cellStyle name="Обычный 4 2 115 4" xfId="24338"/>
    <cellStyle name="Обычный 4 2 115 4 2" xfId="56381"/>
    <cellStyle name="Обычный 4 2 115 5" xfId="35021"/>
    <cellStyle name="Обычный 4 2 116" xfId="3007"/>
    <cellStyle name="Обычный 4 2 116 2" xfId="8349"/>
    <cellStyle name="Обычный 4 2 116 2 2" xfId="19029"/>
    <cellStyle name="Обычный 4 2 116 2 2 2" xfId="51073"/>
    <cellStyle name="Обычный 4 2 116 2 3" xfId="29710"/>
    <cellStyle name="Обычный 4 2 116 2 3 2" xfId="61753"/>
    <cellStyle name="Обычный 4 2 116 2 4" xfId="40393"/>
    <cellStyle name="Обычный 4 2 116 3" xfId="13689"/>
    <cellStyle name="Обычный 4 2 116 3 2" xfId="45733"/>
    <cellStyle name="Обычный 4 2 116 4" xfId="24370"/>
    <cellStyle name="Обычный 4 2 116 4 2" xfId="56413"/>
    <cellStyle name="Обычный 4 2 116 5" xfId="35053"/>
    <cellStyle name="Обычный 4 2 117" xfId="3039"/>
    <cellStyle name="Обычный 4 2 117 2" xfId="8381"/>
    <cellStyle name="Обычный 4 2 117 2 2" xfId="19061"/>
    <cellStyle name="Обычный 4 2 117 2 2 2" xfId="51105"/>
    <cellStyle name="Обычный 4 2 117 2 3" xfId="29742"/>
    <cellStyle name="Обычный 4 2 117 2 3 2" xfId="61785"/>
    <cellStyle name="Обычный 4 2 117 2 4" xfId="40425"/>
    <cellStyle name="Обычный 4 2 117 3" xfId="13721"/>
    <cellStyle name="Обычный 4 2 117 3 2" xfId="45765"/>
    <cellStyle name="Обычный 4 2 117 4" xfId="24402"/>
    <cellStyle name="Обычный 4 2 117 4 2" xfId="56445"/>
    <cellStyle name="Обычный 4 2 117 5" xfId="35085"/>
    <cellStyle name="Обычный 4 2 118" xfId="3071"/>
    <cellStyle name="Обычный 4 2 118 2" xfId="8413"/>
    <cellStyle name="Обычный 4 2 118 2 2" xfId="19093"/>
    <cellStyle name="Обычный 4 2 118 2 2 2" xfId="51137"/>
    <cellStyle name="Обычный 4 2 118 2 3" xfId="29774"/>
    <cellStyle name="Обычный 4 2 118 2 3 2" xfId="61817"/>
    <cellStyle name="Обычный 4 2 118 2 4" xfId="40457"/>
    <cellStyle name="Обычный 4 2 118 3" xfId="13753"/>
    <cellStyle name="Обычный 4 2 118 3 2" xfId="45797"/>
    <cellStyle name="Обычный 4 2 118 4" xfId="24434"/>
    <cellStyle name="Обычный 4 2 118 4 2" xfId="56477"/>
    <cellStyle name="Обычный 4 2 118 5" xfId="35117"/>
    <cellStyle name="Обычный 4 2 119" xfId="3104"/>
    <cellStyle name="Обычный 4 2 119 2" xfId="8445"/>
    <cellStyle name="Обычный 4 2 119 2 2" xfId="19125"/>
    <cellStyle name="Обычный 4 2 119 2 2 2" xfId="51169"/>
    <cellStyle name="Обычный 4 2 119 2 3" xfId="29806"/>
    <cellStyle name="Обычный 4 2 119 2 3 2" xfId="61849"/>
    <cellStyle name="Обычный 4 2 119 2 4" xfId="40489"/>
    <cellStyle name="Обычный 4 2 119 3" xfId="13785"/>
    <cellStyle name="Обычный 4 2 119 3 2" xfId="45829"/>
    <cellStyle name="Обычный 4 2 119 4" xfId="24466"/>
    <cellStyle name="Обычный 4 2 119 4 2" xfId="56509"/>
    <cellStyle name="Обычный 4 2 119 5" xfId="35149"/>
    <cellStyle name="Обычный 4 2 12" xfId="174"/>
    <cellStyle name="Обычный 4 2 12 2" xfId="642"/>
    <cellStyle name="Обычный 4 2 12 2 2" xfId="5985"/>
    <cellStyle name="Обычный 4 2 12 2 2 2" xfId="16665"/>
    <cellStyle name="Обычный 4 2 12 2 2 2 2" xfId="48709"/>
    <cellStyle name="Обычный 4 2 12 2 2 3" xfId="27346"/>
    <cellStyle name="Обычный 4 2 12 2 2 3 2" xfId="59389"/>
    <cellStyle name="Обычный 4 2 12 2 2 4" xfId="38029"/>
    <cellStyle name="Обычный 4 2 12 2 3" xfId="11325"/>
    <cellStyle name="Обычный 4 2 12 2 3 2" xfId="43369"/>
    <cellStyle name="Обычный 4 2 12 2 4" xfId="22006"/>
    <cellStyle name="Обычный 4 2 12 2 4 2" xfId="54049"/>
    <cellStyle name="Обычный 4 2 12 2 5" xfId="32689"/>
    <cellStyle name="Обычный 4 2 12 3" xfId="5518"/>
    <cellStyle name="Обычный 4 2 12 3 2" xfId="16198"/>
    <cellStyle name="Обычный 4 2 12 3 2 2" xfId="48242"/>
    <cellStyle name="Обычный 4 2 12 3 3" xfId="26879"/>
    <cellStyle name="Обычный 4 2 12 3 3 2" xfId="58922"/>
    <cellStyle name="Обычный 4 2 12 3 4" xfId="37562"/>
    <cellStyle name="Обычный 4 2 12 4" xfId="10858"/>
    <cellStyle name="Обычный 4 2 12 4 2" xfId="42902"/>
    <cellStyle name="Обычный 4 2 12 5" xfId="21539"/>
    <cellStyle name="Обычный 4 2 12 5 2" xfId="53582"/>
    <cellStyle name="Обычный 4 2 12 6" xfId="32222"/>
    <cellStyle name="Обычный 4 2 120" xfId="3136"/>
    <cellStyle name="Обычный 4 2 120 2" xfId="8477"/>
    <cellStyle name="Обычный 4 2 120 2 2" xfId="19157"/>
    <cellStyle name="Обычный 4 2 120 2 2 2" xfId="51201"/>
    <cellStyle name="Обычный 4 2 120 2 3" xfId="29838"/>
    <cellStyle name="Обычный 4 2 120 2 3 2" xfId="61881"/>
    <cellStyle name="Обычный 4 2 120 2 4" xfId="40521"/>
    <cellStyle name="Обычный 4 2 120 3" xfId="13817"/>
    <cellStyle name="Обычный 4 2 120 3 2" xfId="45861"/>
    <cellStyle name="Обычный 4 2 120 4" xfId="24498"/>
    <cellStyle name="Обычный 4 2 120 4 2" xfId="56541"/>
    <cellStyle name="Обычный 4 2 120 5" xfId="35181"/>
    <cellStyle name="Обычный 4 2 121" xfId="3168"/>
    <cellStyle name="Обычный 4 2 121 2" xfId="8509"/>
    <cellStyle name="Обычный 4 2 121 2 2" xfId="19189"/>
    <cellStyle name="Обычный 4 2 121 2 2 2" xfId="51233"/>
    <cellStyle name="Обычный 4 2 121 2 3" xfId="29870"/>
    <cellStyle name="Обычный 4 2 121 2 3 2" xfId="61913"/>
    <cellStyle name="Обычный 4 2 121 2 4" xfId="40553"/>
    <cellStyle name="Обычный 4 2 121 3" xfId="13849"/>
    <cellStyle name="Обычный 4 2 121 3 2" xfId="45893"/>
    <cellStyle name="Обычный 4 2 121 4" xfId="24530"/>
    <cellStyle name="Обычный 4 2 121 4 2" xfId="56573"/>
    <cellStyle name="Обычный 4 2 121 5" xfId="35213"/>
    <cellStyle name="Обычный 4 2 122" xfId="3200"/>
    <cellStyle name="Обычный 4 2 122 2" xfId="8541"/>
    <cellStyle name="Обычный 4 2 122 2 2" xfId="19221"/>
    <cellStyle name="Обычный 4 2 122 2 2 2" xfId="51265"/>
    <cellStyle name="Обычный 4 2 122 2 3" xfId="29902"/>
    <cellStyle name="Обычный 4 2 122 2 3 2" xfId="61945"/>
    <cellStyle name="Обычный 4 2 122 2 4" xfId="40585"/>
    <cellStyle name="Обычный 4 2 122 3" xfId="13881"/>
    <cellStyle name="Обычный 4 2 122 3 2" xfId="45925"/>
    <cellStyle name="Обычный 4 2 122 4" xfId="24562"/>
    <cellStyle name="Обычный 4 2 122 4 2" xfId="56605"/>
    <cellStyle name="Обычный 4 2 122 5" xfId="35245"/>
    <cellStyle name="Обычный 4 2 123" xfId="3232"/>
    <cellStyle name="Обычный 4 2 123 2" xfId="8573"/>
    <cellStyle name="Обычный 4 2 123 2 2" xfId="19253"/>
    <cellStyle name="Обычный 4 2 123 2 2 2" xfId="51297"/>
    <cellStyle name="Обычный 4 2 123 2 3" xfId="29934"/>
    <cellStyle name="Обычный 4 2 123 2 3 2" xfId="61977"/>
    <cellStyle name="Обычный 4 2 123 2 4" xfId="40617"/>
    <cellStyle name="Обычный 4 2 123 3" xfId="13913"/>
    <cellStyle name="Обычный 4 2 123 3 2" xfId="45957"/>
    <cellStyle name="Обычный 4 2 123 4" xfId="24594"/>
    <cellStyle name="Обычный 4 2 123 4 2" xfId="56637"/>
    <cellStyle name="Обычный 4 2 123 5" xfId="35277"/>
    <cellStyle name="Обычный 4 2 124" xfId="3264"/>
    <cellStyle name="Обычный 4 2 124 2" xfId="8605"/>
    <cellStyle name="Обычный 4 2 124 2 2" xfId="19285"/>
    <cellStyle name="Обычный 4 2 124 2 2 2" xfId="51329"/>
    <cellStyle name="Обычный 4 2 124 2 3" xfId="29966"/>
    <cellStyle name="Обычный 4 2 124 2 3 2" xfId="62009"/>
    <cellStyle name="Обычный 4 2 124 2 4" xfId="40649"/>
    <cellStyle name="Обычный 4 2 124 3" xfId="13945"/>
    <cellStyle name="Обычный 4 2 124 3 2" xfId="45989"/>
    <cellStyle name="Обычный 4 2 124 4" xfId="24626"/>
    <cellStyle name="Обычный 4 2 124 4 2" xfId="56669"/>
    <cellStyle name="Обычный 4 2 124 5" xfId="35309"/>
    <cellStyle name="Обычный 4 2 125" xfId="3296"/>
    <cellStyle name="Обычный 4 2 125 2" xfId="8637"/>
    <cellStyle name="Обычный 4 2 125 2 2" xfId="19317"/>
    <cellStyle name="Обычный 4 2 125 2 2 2" xfId="51361"/>
    <cellStyle name="Обычный 4 2 125 2 3" xfId="29998"/>
    <cellStyle name="Обычный 4 2 125 2 3 2" xfId="62041"/>
    <cellStyle name="Обычный 4 2 125 2 4" xfId="40681"/>
    <cellStyle name="Обычный 4 2 125 3" xfId="13977"/>
    <cellStyle name="Обычный 4 2 125 3 2" xfId="46021"/>
    <cellStyle name="Обычный 4 2 125 4" xfId="24658"/>
    <cellStyle name="Обычный 4 2 125 4 2" xfId="56701"/>
    <cellStyle name="Обычный 4 2 125 5" xfId="35341"/>
    <cellStyle name="Обычный 4 2 126" xfId="3328"/>
    <cellStyle name="Обычный 4 2 126 2" xfId="8669"/>
    <cellStyle name="Обычный 4 2 126 2 2" xfId="19349"/>
    <cellStyle name="Обычный 4 2 126 2 2 2" xfId="51393"/>
    <cellStyle name="Обычный 4 2 126 2 3" xfId="30030"/>
    <cellStyle name="Обычный 4 2 126 2 3 2" xfId="62073"/>
    <cellStyle name="Обычный 4 2 126 2 4" xfId="40713"/>
    <cellStyle name="Обычный 4 2 126 3" xfId="14009"/>
    <cellStyle name="Обычный 4 2 126 3 2" xfId="46053"/>
    <cellStyle name="Обычный 4 2 126 4" xfId="24690"/>
    <cellStyle name="Обычный 4 2 126 4 2" xfId="56733"/>
    <cellStyle name="Обычный 4 2 126 5" xfId="35373"/>
    <cellStyle name="Обычный 4 2 127" xfId="3360"/>
    <cellStyle name="Обычный 4 2 127 2" xfId="8701"/>
    <cellStyle name="Обычный 4 2 127 2 2" xfId="19381"/>
    <cellStyle name="Обычный 4 2 127 2 2 2" xfId="51425"/>
    <cellStyle name="Обычный 4 2 127 2 3" xfId="30062"/>
    <cellStyle name="Обычный 4 2 127 2 3 2" xfId="62105"/>
    <cellStyle name="Обычный 4 2 127 2 4" xfId="40745"/>
    <cellStyle name="Обычный 4 2 127 3" xfId="14041"/>
    <cellStyle name="Обычный 4 2 127 3 2" xfId="46085"/>
    <cellStyle name="Обычный 4 2 127 4" xfId="24722"/>
    <cellStyle name="Обычный 4 2 127 4 2" xfId="56765"/>
    <cellStyle name="Обычный 4 2 127 5" xfId="35405"/>
    <cellStyle name="Обычный 4 2 128" xfId="3392"/>
    <cellStyle name="Обычный 4 2 128 2" xfId="8733"/>
    <cellStyle name="Обычный 4 2 128 2 2" xfId="19413"/>
    <cellStyle name="Обычный 4 2 128 2 2 2" xfId="51457"/>
    <cellStyle name="Обычный 4 2 128 2 3" xfId="30094"/>
    <cellStyle name="Обычный 4 2 128 2 3 2" xfId="62137"/>
    <cellStyle name="Обычный 4 2 128 2 4" xfId="40777"/>
    <cellStyle name="Обычный 4 2 128 3" xfId="14073"/>
    <cellStyle name="Обычный 4 2 128 3 2" xfId="46117"/>
    <cellStyle name="Обычный 4 2 128 4" xfId="24754"/>
    <cellStyle name="Обычный 4 2 128 4 2" xfId="56797"/>
    <cellStyle name="Обычный 4 2 128 5" xfId="35437"/>
    <cellStyle name="Обычный 4 2 129" xfId="3424"/>
    <cellStyle name="Обычный 4 2 129 2" xfId="8765"/>
    <cellStyle name="Обычный 4 2 129 2 2" xfId="19445"/>
    <cellStyle name="Обычный 4 2 129 2 2 2" xfId="51489"/>
    <cellStyle name="Обычный 4 2 129 2 3" xfId="30126"/>
    <cellStyle name="Обычный 4 2 129 2 3 2" xfId="62169"/>
    <cellStyle name="Обычный 4 2 129 2 4" xfId="40809"/>
    <cellStyle name="Обычный 4 2 129 3" xfId="14105"/>
    <cellStyle name="Обычный 4 2 129 3 2" xfId="46149"/>
    <cellStyle name="Обычный 4 2 129 4" xfId="24786"/>
    <cellStyle name="Обычный 4 2 129 4 2" xfId="56829"/>
    <cellStyle name="Обычный 4 2 129 5" xfId="35469"/>
    <cellStyle name="Обычный 4 2 13" xfId="184"/>
    <cellStyle name="Обычный 4 2 13 2" xfId="652"/>
    <cellStyle name="Обычный 4 2 13 2 2" xfId="5995"/>
    <cellStyle name="Обычный 4 2 13 2 2 2" xfId="16675"/>
    <cellStyle name="Обычный 4 2 13 2 2 2 2" xfId="48719"/>
    <cellStyle name="Обычный 4 2 13 2 2 3" xfId="27356"/>
    <cellStyle name="Обычный 4 2 13 2 2 3 2" xfId="59399"/>
    <cellStyle name="Обычный 4 2 13 2 2 4" xfId="38039"/>
    <cellStyle name="Обычный 4 2 13 2 3" xfId="11335"/>
    <cellStyle name="Обычный 4 2 13 2 3 2" xfId="43379"/>
    <cellStyle name="Обычный 4 2 13 2 4" xfId="22016"/>
    <cellStyle name="Обычный 4 2 13 2 4 2" xfId="54059"/>
    <cellStyle name="Обычный 4 2 13 2 5" xfId="32699"/>
    <cellStyle name="Обычный 4 2 13 3" xfId="5528"/>
    <cellStyle name="Обычный 4 2 13 3 2" xfId="16208"/>
    <cellStyle name="Обычный 4 2 13 3 2 2" xfId="48252"/>
    <cellStyle name="Обычный 4 2 13 3 3" xfId="26889"/>
    <cellStyle name="Обычный 4 2 13 3 3 2" xfId="58932"/>
    <cellStyle name="Обычный 4 2 13 3 4" xfId="37572"/>
    <cellStyle name="Обычный 4 2 13 4" xfId="10868"/>
    <cellStyle name="Обычный 4 2 13 4 2" xfId="42912"/>
    <cellStyle name="Обычный 4 2 13 5" xfId="21549"/>
    <cellStyle name="Обычный 4 2 13 5 2" xfId="53592"/>
    <cellStyle name="Обычный 4 2 13 6" xfId="32232"/>
    <cellStyle name="Обычный 4 2 130" xfId="3456"/>
    <cellStyle name="Обычный 4 2 130 2" xfId="8797"/>
    <cellStyle name="Обычный 4 2 130 2 2" xfId="19477"/>
    <cellStyle name="Обычный 4 2 130 2 2 2" xfId="51521"/>
    <cellStyle name="Обычный 4 2 130 2 3" xfId="30158"/>
    <cellStyle name="Обычный 4 2 130 2 3 2" xfId="62201"/>
    <cellStyle name="Обычный 4 2 130 2 4" xfId="40841"/>
    <cellStyle name="Обычный 4 2 130 3" xfId="14137"/>
    <cellStyle name="Обычный 4 2 130 3 2" xfId="46181"/>
    <cellStyle name="Обычный 4 2 130 4" xfId="24818"/>
    <cellStyle name="Обычный 4 2 130 4 2" xfId="56861"/>
    <cellStyle name="Обычный 4 2 130 5" xfId="35501"/>
    <cellStyle name="Обычный 4 2 131" xfId="3488"/>
    <cellStyle name="Обычный 4 2 131 2" xfId="8829"/>
    <cellStyle name="Обычный 4 2 131 2 2" xfId="19509"/>
    <cellStyle name="Обычный 4 2 131 2 2 2" xfId="51553"/>
    <cellStyle name="Обычный 4 2 131 2 3" xfId="30190"/>
    <cellStyle name="Обычный 4 2 131 2 3 2" xfId="62233"/>
    <cellStyle name="Обычный 4 2 131 2 4" xfId="40873"/>
    <cellStyle name="Обычный 4 2 131 3" xfId="14169"/>
    <cellStyle name="Обычный 4 2 131 3 2" xfId="46213"/>
    <cellStyle name="Обычный 4 2 131 4" xfId="24850"/>
    <cellStyle name="Обычный 4 2 131 4 2" xfId="56893"/>
    <cellStyle name="Обычный 4 2 131 5" xfId="35533"/>
    <cellStyle name="Обычный 4 2 132" xfId="3520"/>
    <cellStyle name="Обычный 4 2 132 2" xfId="8861"/>
    <cellStyle name="Обычный 4 2 132 2 2" xfId="19541"/>
    <cellStyle name="Обычный 4 2 132 2 2 2" xfId="51585"/>
    <cellStyle name="Обычный 4 2 132 2 3" xfId="30222"/>
    <cellStyle name="Обычный 4 2 132 2 3 2" xfId="62265"/>
    <cellStyle name="Обычный 4 2 132 2 4" xfId="40905"/>
    <cellStyle name="Обычный 4 2 132 3" xfId="14201"/>
    <cellStyle name="Обычный 4 2 132 3 2" xfId="46245"/>
    <cellStyle name="Обычный 4 2 132 4" xfId="24882"/>
    <cellStyle name="Обычный 4 2 132 4 2" xfId="56925"/>
    <cellStyle name="Обычный 4 2 132 5" xfId="35565"/>
    <cellStyle name="Обычный 4 2 133" xfId="3552"/>
    <cellStyle name="Обычный 4 2 133 2" xfId="8893"/>
    <cellStyle name="Обычный 4 2 133 2 2" xfId="19573"/>
    <cellStyle name="Обычный 4 2 133 2 2 2" xfId="51617"/>
    <cellStyle name="Обычный 4 2 133 2 3" xfId="30254"/>
    <cellStyle name="Обычный 4 2 133 2 3 2" xfId="62297"/>
    <cellStyle name="Обычный 4 2 133 2 4" xfId="40937"/>
    <cellStyle name="Обычный 4 2 133 3" xfId="14233"/>
    <cellStyle name="Обычный 4 2 133 3 2" xfId="46277"/>
    <cellStyle name="Обычный 4 2 133 4" xfId="24914"/>
    <cellStyle name="Обычный 4 2 133 4 2" xfId="56957"/>
    <cellStyle name="Обычный 4 2 133 5" xfId="35597"/>
    <cellStyle name="Обычный 4 2 134" xfId="3584"/>
    <cellStyle name="Обычный 4 2 134 2" xfId="8925"/>
    <cellStyle name="Обычный 4 2 134 2 2" xfId="19605"/>
    <cellStyle name="Обычный 4 2 134 2 2 2" xfId="51649"/>
    <cellStyle name="Обычный 4 2 134 2 3" xfId="30286"/>
    <cellStyle name="Обычный 4 2 134 2 3 2" xfId="62329"/>
    <cellStyle name="Обычный 4 2 134 2 4" xfId="40969"/>
    <cellStyle name="Обычный 4 2 134 3" xfId="14265"/>
    <cellStyle name="Обычный 4 2 134 3 2" xfId="46309"/>
    <cellStyle name="Обычный 4 2 134 4" xfId="24946"/>
    <cellStyle name="Обычный 4 2 134 4 2" xfId="56989"/>
    <cellStyle name="Обычный 4 2 134 5" xfId="35629"/>
    <cellStyle name="Обычный 4 2 135" xfId="3616"/>
    <cellStyle name="Обычный 4 2 135 2" xfId="8957"/>
    <cellStyle name="Обычный 4 2 135 2 2" xfId="19637"/>
    <cellStyle name="Обычный 4 2 135 2 2 2" xfId="51681"/>
    <cellStyle name="Обычный 4 2 135 2 3" xfId="30318"/>
    <cellStyle name="Обычный 4 2 135 2 3 2" xfId="62361"/>
    <cellStyle name="Обычный 4 2 135 2 4" xfId="41001"/>
    <cellStyle name="Обычный 4 2 135 3" xfId="14297"/>
    <cellStyle name="Обычный 4 2 135 3 2" xfId="46341"/>
    <cellStyle name="Обычный 4 2 135 4" xfId="24978"/>
    <cellStyle name="Обычный 4 2 135 4 2" xfId="57021"/>
    <cellStyle name="Обычный 4 2 135 5" xfId="35661"/>
    <cellStyle name="Обычный 4 2 136" xfId="3648"/>
    <cellStyle name="Обычный 4 2 136 2" xfId="8989"/>
    <cellStyle name="Обычный 4 2 136 2 2" xfId="19669"/>
    <cellStyle name="Обычный 4 2 136 2 2 2" xfId="51713"/>
    <cellStyle name="Обычный 4 2 136 2 3" xfId="30350"/>
    <cellStyle name="Обычный 4 2 136 2 3 2" xfId="62393"/>
    <cellStyle name="Обычный 4 2 136 2 4" xfId="41033"/>
    <cellStyle name="Обычный 4 2 136 3" xfId="14329"/>
    <cellStyle name="Обычный 4 2 136 3 2" xfId="46373"/>
    <cellStyle name="Обычный 4 2 136 4" xfId="25010"/>
    <cellStyle name="Обычный 4 2 136 4 2" xfId="57053"/>
    <cellStyle name="Обычный 4 2 136 5" xfId="35693"/>
    <cellStyle name="Обычный 4 2 137" xfId="3680"/>
    <cellStyle name="Обычный 4 2 137 2" xfId="9021"/>
    <cellStyle name="Обычный 4 2 137 2 2" xfId="19701"/>
    <cellStyle name="Обычный 4 2 137 2 2 2" xfId="51745"/>
    <cellStyle name="Обычный 4 2 137 2 3" xfId="30382"/>
    <cellStyle name="Обычный 4 2 137 2 3 2" xfId="62425"/>
    <cellStyle name="Обычный 4 2 137 2 4" xfId="41065"/>
    <cellStyle name="Обычный 4 2 137 3" xfId="14361"/>
    <cellStyle name="Обычный 4 2 137 3 2" xfId="46405"/>
    <cellStyle name="Обычный 4 2 137 4" xfId="25042"/>
    <cellStyle name="Обычный 4 2 137 4 2" xfId="57085"/>
    <cellStyle name="Обычный 4 2 137 5" xfId="35725"/>
    <cellStyle name="Обычный 4 2 138" xfId="3712"/>
    <cellStyle name="Обычный 4 2 138 2" xfId="9053"/>
    <cellStyle name="Обычный 4 2 138 2 2" xfId="19733"/>
    <cellStyle name="Обычный 4 2 138 2 2 2" xfId="51777"/>
    <cellStyle name="Обычный 4 2 138 2 3" xfId="30414"/>
    <cellStyle name="Обычный 4 2 138 2 3 2" xfId="62457"/>
    <cellStyle name="Обычный 4 2 138 2 4" xfId="41097"/>
    <cellStyle name="Обычный 4 2 138 3" xfId="14393"/>
    <cellStyle name="Обычный 4 2 138 3 2" xfId="46437"/>
    <cellStyle name="Обычный 4 2 138 4" xfId="25074"/>
    <cellStyle name="Обычный 4 2 138 4 2" xfId="57117"/>
    <cellStyle name="Обычный 4 2 138 5" xfId="35757"/>
    <cellStyle name="Обычный 4 2 139" xfId="3744"/>
    <cellStyle name="Обычный 4 2 139 2" xfId="9085"/>
    <cellStyle name="Обычный 4 2 139 2 2" xfId="19765"/>
    <cellStyle name="Обычный 4 2 139 2 2 2" xfId="51809"/>
    <cellStyle name="Обычный 4 2 139 2 3" xfId="30446"/>
    <cellStyle name="Обычный 4 2 139 2 3 2" xfId="62489"/>
    <cellStyle name="Обычный 4 2 139 2 4" xfId="41129"/>
    <cellStyle name="Обычный 4 2 139 3" xfId="14425"/>
    <cellStyle name="Обычный 4 2 139 3 2" xfId="46469"/>
    <cellStyle name="Обычный 4 2 139 4" xfId="25106"/>
    <cellStyle name="Обычный 4 2 139 4 2" xfId="57149"/>
    <cellStyle name="Обычный 4 2 139 5" xfId="35789"/>
    <cellStyle name="Обычный 4 2 14" xfId="194"/>
    <cellStyle name="Обычный 4 2 14 2" xfId="662"/>
    <cellStyle name="Обычный 4 2 14 2 2" xfId="6005"/>
    <cellStyle name="Обычный 4 2 14 2 2 2" xfId="16685"/>
    <cellStyle name="Обычный 4 2 14 2 2 2 2" xfId="48729"/>
    <cellStyle name="Обычный 4 2 14 2 2 3" xfId="27366"/>
    <cellStyle name="Обычный 4 2 14 2 2 3 2" xfId="59409"/>
    <cellStyle name="Обычный 4 2 14 2 2 4" xfId="38049"/>
    <cellStyle name="Обычный 4 2 14 2 3" xfId="11345"/>
    <cellStyle name="Обычный 4 2 14 2 3 2" xfId="43389"/>
    <cellStyle name="Обычный 4 2 14 2 4" xfId="22026"/>
    <cellStyle name="Обычный 4 2 14 2 4 2" xfId="54069"/>
    <cellStyle name="Обычный 4 2 14 2 5" xfId="32709"/>
    <cellStyle name="Обычный 4 2 14 3" xfId="5538"/>
    <cellStyle name="Обычный 4 2 14 3 2" xfId="16218"/>
    <cellStyle name="Обычный 4 2 14 3 2 2" xfId="48262"/>
    <cellStyle name="Обычный 4 2 14 3 3" xfId="26899"/>
    <cellStyle name="Обычный 4 2 14 3 3 2" xfId="58942"/>
    <cellStyle name="Обычный 4 2 14 3 4" xfId="37582"/>
    <cellStyle name="Обычный 4 2 14 4" xfId="10878"/>
    <cellStyle name="Обычный 4 2 14 4 2" xfId="42922"/>
    <cellStyle name="Обычный 4 2 14 5" xfId="21559"/>
    <cellStyle name="Обычный 4 2 14 5 2" xfId="53602"/>
    <cellStyle name="Обычный 4 2 14 6" xfId="32242"/>
    <cellStyle name="Обычный 4 2 140" xfId="3776"/>
    <cellStyle name="Обычный 4 2 140 2" xfId="9117"/>
    <cellStyle name="Обычный 4 2 140 2 2" xfId="19797"/>
    <cellStyle name="Обычный 4 2 140 2 2 2" xfId="51841"/>
    <cellStyle name="Обычный 4 2 140 2 3" xfId="30478"/>
    <cellStyle name="Обычный 4 2 140 2 3 2" xfId="62521"/>
    <cellStyle name="Обычный 4 2 140 2 4" xfId="41161"/>
    <cellStyle name="Обычный 4 2 140 3" xfId="14457"/>
    <cellStyle name="Обычный 4 2 140 3 2" xfId="46501"/>
    <cellStyle name="Обычный 4 2 140 4" xfId="25138"/>
    <cellStyle name="Обычный 4 2 140 4 2" xfId="57181"/>
    <cellStyle name="Обычный 4 2 140 5" xfId="35821"/>
    <cellStyle name="Обычный 4 2 141" xfId="3808"/>
    <cellStyle name="Обычный 4 2 141 2" xfId="9149"/>
    <cellStyle name="Обычный 4 2 141 2 2" xfId="19829"/>
    <cellStyle name="Обычный 4 2 141 2 2 2" xfId="51873"/>
    <cellStyle name="Обычный 4 2 141 2 3" xfId="30510"/>
    <cellStyle name="Обычный 4 2 141 2 3 2" xfId="62553"/>
    <cellStyle name="Обычный 4 2 141 2 4" xfId="41193"/>
    <cellStyle name="Обычный 4 2 141 3" xfId="14489"/>
    <cellStyle name="Обычный 4 2 141 3 2" xfId="46533"/>
    <cellStyle name="Обычный 4 2 141 4" xfId="25170"/>
    <cellStyle name="Обычный 4 2 141 4 2" xfId="57213"/>
    <cellStyle name="Обычный 4 2 141 5" xfId="35853"/>
    <cellStyle name="Обычный 4 2 142" xfId="3840"/>
    <cellStyle name="Обычный 4 2 142 2" xfId="9181"/>
    <cellStyle name="Обычный 4 2 142 2 2" xfId="19861"/>
    <cellStyle name="Обычный 4 2 142 2 2 2" xfId="51905"/>
    <cellStyle name="Обычный 4 2 142 2 3" xfId="30542"/>
    <cellStyle name="Обычный 4 2 142 2 3 2" xfId="62585"/>
    <cellStyle name="Обычный 4 2 142 2 4" xfId="41225"/>
    <cellStyle name="Обычный 4 2 142 3" xfId="14521"/>
    <cellStyle name="Обычный 4 2 142 3 2" xfId="46565"/>
    <cellStyle name="Обычный 4 2 142 4" xfId="25202"/>
    <cellStyle name="Обычный 4 2 142 4 2" xfId="57245"/>
    <cellStyle name="Обычный 4 2 142 5" xfId="35885"/>
    <cellStyle name="Обычный 4 2 143" xfId="3872"/>
    <cellStyle name="Обычный 4 2 143 2" xfId="9213"/>
    <cellStyle name="Обычный 4 2 143 2 2" xfId="19893"/>
    <cellStyle name="Обычный 4 2 143 2 2 2" xfId="51937"/>
    <cellStyle name="Обычный 4 2 143 2 3" xfId="30574"/>
    <cellStyle name="Обычный 4 2 143 2 3 2" xfId="62617"/>
    <cellStyle name="Обычный 4 2 143 2 4" xfId="41257"/>
    <cellStyle name="Обычный 4 2 143 3" xfId="14553"/>
    <cellStyle name="Обычный 4 2 143 3 2" xfId="46597"/>
    <cellStyle name="Обычный 4 2 143 4" xfId="25234"/>
    <cellStyle name="Обычный 4 2 143 4 2" xfId="57277"/>
    <cellStyle name="Обычный 4 2 143 5" xfId="35917"/>
    <cellStyle name="Обычный 4 2 144" xfId="3904"/>
    <cellStyle name="Обычный 4 2 144 2" xfId="9245"/>
    <cellStyle name="Обычный 4 2 144 2 2" xfId="19925"/>
    <cellStyle name="Обычный 4 2 144 2 2 2" xfId="51969"/>
    <cellStyle name="Обычный 4 2 144 2 3" xfId="30606"/>
    <cellStyle name="Обычный 4 2 144 2 3 2" xfId="62649"/>
    <cellStyle name="Обычный 4 2 144 2 4" xfId="41289"/>
    <cellStyle name="Обычный 4 2 144 3" xfId="14585"/>
    <cellStyle name="Обычный 4 2 144 3 2" xfId="46629"/>
    <cellStyle name="Обычный 4 2 144 4" xfId="25266"/>
    <cellStyle name="Обычный 4 2 144 4 2" xfId="57309"/>
    <cellStyle name="Обычный 4 2 144 5" xfId="35949"/>
    <cellStyle name="Обычный 4 2 145" xfId="3936"/>
    <cellStyle name="Обычный 4 2 145 2" xfId="9277"/>
    <cellStyle name="Обычный 4 2 145 2 2" xfId="19957"/>
    <cellStyle name="Обычный 4 2 145 2 2 2" xfId="52001"/>
    <cellStyle name="Обычный 4 2 145 2 3" xfId="30638"/>
    <cellStyle name="Обычный 4 2 145 2 3 2" xfId="62681"/>
    <cellStyle name="Обычный 4 2 145 2 4" xfId="41321"/>
    <cellStyle name="Обычный 4 2 145 3" xfId="14617"/>
    <cellStyle name="Обычный 4 2 145 3 2" xfId="46661"/>
    <cellStyle name="Обычный 4 2 145 4" xfId="25298"/>
    <cellStyle name="Обычный 4 2 145 4 2" xfId="57341"/>
    <cellStyle name="Обычный 4 2 145 5" xfId="35981"/>
    <cellStyle name="Обычный 4 2 146" xfId="3968"/>
    <cellStyle name="Обычный 4 2 146 2" xfId="9309"/>
    <cellStyle name="Обычный 4 2 146 2 2" xfId="19989"/>
    <cellStyle name="Обычный 4 2 146 2 2 2" xfId="52033"/>
    <cellStyle name="Обычный 4 2 146 2 3" xfId="30670"/>
    <cellStyle name="Обычный 4 2 146 2 3 2" xfId="62713"/>
    <cellStyle name="Обычный 4 2 146 2 4" xfId="41353"/>
    <cellStyle name="Обычный 4 2 146 3" xfId="14649"/>
    <cellStyle name="Обычный 4 2 146 3 2" xfId="46693"/>
    <cellStyle name="Обычный 4 2 146 4" xfId="25330"/>
    <cellStyle name="Обычный 4 2 146 4 2" xfId="57373"/>
    <cellStyle name="Обычный 4 2 146 5" xfId="36013"/>
    <cellStyle name="Обычный 4 2 147" xfId="4000"/>
    <cellStyle name="Обычный 4 2 147 2" xfId="9341"/>
    <cellStyle name="Обычный 4 2 147 2 2" xfId="20021"/>
    <cellStyle name="Обычный 4 2 147 2 2 2" xfId="52065"/>
    <cellStyle name="Обычный 4 2 147 2 3" xfId="30702"/>
    <cellStyle name="Обычный 4 2 147 2 3 2" xfId="62745"/>
    <cellStyle name="Обычный 4 2 147 2 4" xfId="41385"/>
    <cellStyle name="Обычный 4 2 147 3" xfId="14681"/>
    <cellStyle name="Обычный 4 2 147 3 2" xfId="46725"/>
    <cellStyle name="Обычный 4 2 147 4" xfId="25362"/>
    <cellStyle name="Обычный 4 2 147 4 2" xfId="57405"/>
    <cellStyle name="Обычный 4 2 147 5" xfId="36045"/>
    <cellStyle name="Обычный 4 2 148" xfId="4032"/>
    <cellStyle name="Обычный 4 2 148 2" xfId="9373"/>
    <cellStyle name="Обычный 4 2 148 2 2" xfId="20053"/>
    <cellStyle name="Обычный 4 2 148 2 2 2" xfId="52097"/>
    <cellStyle name="Обычный 4 2 148 2 3" xfId="30734"/>
    <cellStyle name="Обычный 4 2 148 2 3 2" xfId="62777"/>
    <cellStyle name="Обычный 4 2 148 2 4" xfId="41417"/>
    <cellStyle name="Обычный 4 2 148 3" xfId="14713"/>
    <cellStyle name="Обычный 4 2 148 3 2" xfId="46757"/>
    <cellStyle name="Обычный 4 2 148 4" xfId="25394"/>
    <cellStyle name="Обычный 4 2 148 4 2" xfId="57437"/>
    <cellStyle name="Обычный 4 2 148 5" xfId="36077"/>
    <cellStyle name="Обычный 4 2 149" xfId="4064"/>
    <cellStyle name="Обычный 4 2 149 2" xfId="9405"/>
    <cellStyle name="Обычный 4 2 149 2 2" xfId="20085"/>
    <cellStyle name="Обычный 4 2 149 2 2 2" xfId="52129"/>
    <cellStyle name="Обычный 4 2 149 2 3" xfId="30766"/>
    <cellStyle name="Обычный 4 2 149 2 3 2" xfId="62809"/>
    <cellStyle name="Обычный 4 2 149 2 4" xfId="41449"/>
    <cellStyle name="Обычный 4 2 149 3" xfId="14745"/>
    <cellStyle name="Обычный 4 2 149 3 2" xfId="46789"/>
    <cellStyle name="Обычный 4 2 149 4" xfId="25426"/>
    <cellStyle name="Обычный 4 2 149 4 2" xfId="57469"/>
    <cellStyle name="Обычный 4 2 149 5" xfId="36109"/>
    <cellStyle name="Обычный 4 2 15" xfId="204"/>
    <cellStyle name="Обычный 4 2 15 2" xfId="672"/>
    <cellStyle name="Обычный 4 2 15 2 2" xfId="6015"/>
    <cellStyle name="Обычный 4 2 15 2 2 2" xfId="16695"/>
    <cellStyle name="Обычный 4 2 15 2 2 2 2" xfId="48739"/>
    <cellStyle name="Обычный 4 2 15 2 2 3" xfId="27376"/>
    <cellStyle name="Обычный 4 2 15 2 2 3 2" xfId="59419"/>
    <cellStyle name="Обычный 4 2 15 2 2 4" xfId="38059"/>
    <cellStyle name="Обычный 4 2 15 2 3" xfId="11355"/>
    <cellStyle name="Обычный 4 2 15 2 3 2" xfId="43399"/>
    <cellStyle name="Обычный 4 2 15 2 4" xfId="22036"/>
    <cellStyle name="Обычный 4 2 15 2 4 2" xfId="54079"/>
    <cellStyle name="Обычный 4 2 15 2 5" xfId="32719"/>
    <cellStyle name="Обычный 4 2 15 3" xfId="5548"/>
    <cellStyle name="Обычный 4 2 15 3 2" xfId="16228"/>
    <cellStyle name="Обычный 4 2 15 3 2 2" xfId="48272"/>
    <cellStyle name="Обычный 4 2 15 3 3" xfId="26909"/>
    <cellStyle name="Обычный 4 2 15 3 3 2" xfId="58952"/>
    <cellStyle name="Обычный 4 2 15 3 4" xfId="37592"/>
    <cellStyle name="Обычный 4 2 15 4" xfId="10888"/>
    <cellStyle name="Обычный 4 2 15 4 2" xfId="42932"/>
    <cellStyle name="Обычный 4 2 15 5" xfId="21569"/>
    <cellStyle name="Обычный 4 2 15 5 2" xfId="53612"/>
    <cellStyle name="Обычный 4 2 15 6" xfId="32252"/>
    <cellStyle name="Обычный 4 2 150" xfId="4096"/>
    <cellStyle name="Обычный 4 2 150 2" xfId="9437"/>
    <cellStyle name="Обычный 4 2 150 2 2" xfId="20117"/>
    <cellStyle name="Обычный 4 2 150 2 2 2" xfId="52161"/>
    <cellStyle name="Обычный 4 2 150 2 3" xfId="30798"/>
    <cellStyle name="Обычный 4 2 150 2 3 2" xfId="62841"/>
    <cellStyle name="Обычный 4 2 150 2 4" xfId="41481"/>
    <cellStyle name="Обычный 4 2 150 3" xfId="14777"/>
    <cellStyle name="Обычный 4 2 150 3 2" xfId="46821"/>
    <cellStyle name="Обычный 4 2 150 4" xfId="25458"/>
    <cellStyle name="Обычный 4 2 150 4 2" xfId="57501"/>
    <cellStyle name="Обычный 4 2 150 5" xfId="36141"/>
    <cellStyle name="Обычный 4 2 151" xfId="4128"/>
    <cellStyle name="Обычный 4 2 151 2" xfId="9469"/>
    <cellStyle name="Обычный 4 2 151 2 2" xfId="20149"/>
    <cellStyle name="Обычный 4 2 151 2 2 2" xfId="52193"/>
    <cellStyle name="Обычный 4 2 151 2 3" xfId="30830"/>
    <cellStyle name="Обычный 4 2 151 2 3 2" xfId="62873"/>
    <cellStyle name="Обычный 4 2 151 2 4" xfId="41513"/>
    <cellStyle name="Обычный 4 2 151 3" xfId="14809"/>
    <cellStyle name="Обычный 4 2 151 3 2" xfId="46853"/>
    <cellStyle name="Обычный 4 2 151 4" xfId="25490"/>
    <cellStyle name="Обычный 4 2 151 4 2" xfId="57533"/>
    <cellStyle name="Обычный 4 2 151 5" xfId="36173"/>
    <cellStyle name="Обычный 4 2 152" xfId="4160"/>
    <cellStyle name="Обычный 4 2 152 2" xfId="9501"/>
    <cellStyle name="Обычный 4 2 152 2 2" xfId="20181"/>
    <cellStyle name="Обычный 4 2 152 2 2 2" xfId="52225"/>
    <cellStyle name="Обычный 4 2 152 2 3" xfId="30862"/>
    <cellStyle name="Обычный 4 2 152 2 3 2" xfId="62905"/>
    <cellStyle name="Обычный 4 2 152 2 4" xfId="41545"/>
    <cellStyle name="Обычный 4 2 152 3" xfId="14841"/>
    <cellStyle name="Обычный 4 2 152 3 2" xfId="46885"/>
    <cellStyle name="Обычный 4 2 152 4" xfId="25522"/>
    <cellStyle name="Обычный 4 2 152 4 2" xfId="57565"/>
    <cellStyle name="Обычный 4 2 152 5" xfId="36205"/>
    <cellStyle name="Обычный 4 2 153" xfId="4192"/>
    <cellStyle name="Обычный 4 2 153 2" xfId="9533"/>
    <cellStyle name="Обычный 4 2 153 2 2" xfId="20213"/>
    <cellStyle name="Обычный 4 2 153 2 2 2" xfId="52257"/>
    <cellStyle name="Обычный 4 2 153 2 3" xfId="30894"/>
    <cellStyle name="Обычный 4 2 153 2 3 2" xfId="62937"/>
    <cellStyle name="Обычный 4 2 153 2 4" xfId="41577"/>
    <cellStyle name="Обычный 4 2 153 3" xfId="14873"/>
    <cellStyle name="Обычный 4 2 153 3 2" xfId="46917"/>
    <cellStyle name="Обычный 4 2 153 4" xfId="25554"/>
    <cellStyle name="Обычный 4 2 153 4 2" xfId="57597"/>
    <cellStyle name="Обычный 4 2 153 5" xfId="36237"/>
    <cellStyle name="Обычный 4 2 154" xfId="4224"/>
    <cellStyle name="Обычный 4 2 154 2" xfId="9565"/>
    <cellStyle name="Обычный 4 2 154 2 2" xfId="20245"/>
    <cellStyle name="Обычный 4 2 154 2 2 2" xfId="52289"/>
    <cellStyle name="Обычный 4 2 154 2 3" xfId="30926"/>
    <cellStyle name="Обычный 4 2 154 2 3 2" xfId="62969"/>
    <cellStyle name="Обычный 4 2 154 2 4" xfId="41609"/>
    <cellStyle name="Обычный 4 2 154 3" xfId="14905"/>
    <cellStyle name="Обычный 4 2 154 3 2" xfId="46949"/>
    <cellStyle name="Обычный 4 2 154 4" xfId="25586"/>
    <cellStyle name="Обычный 4 2 154 4 2" xfId="57629"/>
    <cellStyle name="Обычный 4 2 154 5" xfId="36269"/>
    <cellStyle name="Обычный 4 2 155" xfId="4256"/>
    <cellStyle name="Обычный 4 2 155 2" xfId="9597"/>
    <cellStyle name="Обычный 4 2 155 2 2" xfId="20277"/>
    <cellStyle name="Обычный 4 2 155 2 2 2" xfId="52321"/>
    <cellStyle name="Обычный 4 2 155 2 3" xfId="30958"/>
    <cellStyle name="Обычный 4 2 155 2 3 2" xfId="63001"/>
    <cellStyle name="Обычный 4 2 155 2 4" xfId="41641"/>
    <cellStyle name="Обычный 4 2 155 3" xfId="14937"/>
    <cellStyle name="Обычный 4 2 155 3 2" xfId="46981"/>
    <cellStyle name="Обычный 4 2 155 4" xfId="25618"/>
    <cellStyle name="Обычный 4 2 155 4 2" xfId="57661"/>
    <cellStyle name="Обычный 4 2 155 5" xfId="36301"/>
    <cellStyle name="Обычный 4 2 156" xfId="4288"/>
    <cellStyle name="Обычный 4 2 156 2" xfId="9629"/>
    <cellStyle name="Обычный 4 2 156 2 2" xfId="20309"/>
    <cellStyle name="Обычный 4 2 156 2 2 2" xfId="52353"/>
    <cellStyle name="Обычный 4 2 156 2 3" xfId="30990"/>
    <cellStyle name="Обычный 4 2 156 2 3 2" xfId="63033"/>
    <cellStyle name="Обычный 4 2 156 2 4" xfId="41673"/>
    <cellStyle name="Обычный 4 2 156 3" xfId="14969"/>
    <cellStyle name="Обычный 4 2 156 3 2" xfId="47013"/>
    <cellStyle name="Обычный 4 2 156 4" xfId="25650"/>
    <cellStyle name="Обычный 4 2 156 4 2" xfId="57693"/>
    <cellStyle name="Обычный 4 2 156 5" xfId="36333"/>
    <cellStyle name="Обычный 4 2 157" xfId="4320"/>
    <cellStyle name="Обычный 4 2 157 2" xfId="9661"/>
    <cellStyle name="Обычный 4 2 157 2 2" xfId="20341"/>
    <cellStyle name="Обычный 4 2 157 2 2 2" xfId="52385"/>
    <cellStyle name="Обычный 4 2 157 2 3" xfId="31022"/>
    <cellStyle name="Обычный 4 2 157 2 3 2" xfId="63065"/>
    <cellStyle name="Обычный 4 2 157 2 4" xfId="41705"/>
    <cellStyle name="Обычный 4 2 157 3" xfId="15001"/>
    <cellStyle name="Обычный 4 2 157 3 2" xfId="47045"/>
    <cellStyle name="Обычный 4 2 157 4" xfId="25682"/>
    <cellStyle name="Обычный 4 2 157 4 2" xfId="57725"/>
    <cellStyle name="Обычный 4 2 157 5" xfId="36365"/>
    <cellStyle name="Обычный 4 2 158" xfId="4352"/>
    <cellStyle name="Обычный 4 2 158 2" xfId="9693"/>
    <cellStyle name="Обычный 4 2 158 2 2" xfId="20373"/>
    <cellStyle name="Обычный 4 2 158 2 2 2" xfId="52417"/>
    <cellStyle name="Обычный 4 2 158 2 3" xfId="31054"/>
    <cellStyle name="Обычный 4 2 158 2 3 2" xfId="63097"/>
    <cellStyle name="Обычный 4 2 158 2 4" xfId="41737"/>
    <cellStyle name="Обычный 4 2 158 3" xfId="15033"/>
    <cellStyle name="Обычный 4 2 158 3 2" xfId="47077"/>
    <cellStyle name="Обычный 4 2 158 4" xfId="25714"/>
    <cellStyle name="Обычный 4 2 158 4 2" xfId="57757"/>
    <cellStyle name="Обычный 4 2 158 5" xfId="36397"/>
    <cellStyle name="Обычный 4 2 159" xfId="4384"/>
    <cellStyle name="Обычный 4 2 159 2" xfId="9725"/>
    <cellStyle name="Обычный 4 2 159 2 2" xfId="20405"/>
    <cellStyle name="Обычный 4 2 159 2 2 2" xfId="52449"/>
    <cellStyle name="Обычный 4 2 159 2 3" xfId="31086"/>
    <cellStyle name="Обычный 4 2 159 2 3 2" xfId="63129"/>
    <cellStyle name="Обычный 4 2 159 2 4" xfId="41769"/>
    <cellStyle name="Обычный 4 2 159 3" xfId="15065"/>
    <cellStyle name="Обычный 4 2 159 3 2" xfId="47109"/>
    <cellStyle name="Обычный 4 2 159 4" xfId="25746"/>
    <cellStyle name="Обычный 4 2 159 4 2" xfId="57789"/>
    <cellStyle name="Обычный 4 2 159 5" xfId="36429"/>
    <cellStyle name="Обычный 4 2 16" xfId="214"/>
    <cellStyle name="Обычный 4 2 16 2" xfId="682"/>
    <cellStyle name="Обычный 4 2 16 2 2" xfId="6025"/>
    <cellStyle name="Обычный 4 2 16 2 2 2" xfId="16705"/>
    <cellStyle name="Обычный 4 2 16 2 2 2 2" xfId="48749"/>
    <cellStyle name="Обычный 4 2 16 2 2 3" xfId="27386"/>
    <cellStyle name="Обычный 4 2 16 2 2 3 2" xfId="59429"/>
    <cellStyle name="Обычный 4 2 16 2 2 4" xfId="38069"/>
    <cellStyle name="Обычный 4 2 16 2 3" xfId="11365"/>
    <cellStyle name="Обычный 4 2 16 2 3 2" xfId="43409"/>
    <cellStyle name="Обычный 4 2 16 2 4" xfId="22046"/>
    <cellStyle name="Обычный 4 2 16 2 4 2" xfId="54089"/>
    <cellStyle name="Обычный 4 2 16 2 5" xfId="32729"/>
    <cellStyle name="Обычный 4 2 16 3" xfId="5558"/>
    <cellStyle name="Обычный 4 2 16 3 2" xfId="16238"/>
    <cellStyle name="Обычный 4 2 16 3 2 2" xfId="48282"/>
    <cellStyle name="Обычный 4 2 16 3 3" xfId="26919"/>
    <cellStyle name="Обычный 4 2 16 3 3 2" xfId="58962"/>
    <cellStyle name="Обычный 4 2 16 3 4" xfId="37602"/>
    <cellStyle name="Обычный 4 2 16 4" xfId="10898"/>
    <cellStyle name="Обычный 4 2 16 4 2" xfId="42942"/>
    <cellStyle name="Обычный 4 2 16 5" xfId="21579"/>
    <cellStyle name="Обычный 4 2 16 5 2" xfId="53622"/>
    <cellStyle name="Обычный 4 2 16 6" xfId="32262"/>
    <cellStyle name="Обычный 4 2 160" xfId="4416"/>
    <cellStyle name="Обычный 4 2 160 2" xfId="9757"/>
    <cellStyle name="Обычный 4 2 160 2 2" xfId="20437"/>
    <cellStyle name="Обычный 4 2 160 2 2 2" xfId="52481"/>
    <cellStyle name="Обычный 4 2 160 2 3" xfId="31118"/>
    <cellStyle name="Обычный 4 2 160 2 3 2" xfId="63161"/>
    <cellStyle name="Обычный 4 2 160 2 4" xfId="41801"/>
    <cellStyle name="Обычный 4 2 160 3" xfId="15097"/>
    <cellStyle name="Обычный 4 2 160 3 2" xfId="47141"/>
    <cellStyle name="Обычный 4 2 160 4" xfId="25778"/>
    <cellStyle name="Обычный 4 2 160 4 2" xfId="57821"/>
    <cellStyle name="Обычный 4 2 160 5" xfId="36461"/>
    <cellStyle name="Обычный 4 2 161" xfId="4448"/>
    <cellStyle name="Обычный 4 2 161 2" xfId="9789"/>
    <cellStyle name="Обычный 4 2 161 2 2" xfId="20469"/>
    <cellStyle name="Обычный 4 2 161 2 2 2" xfId="52513"/>
    <cellStyle name="Обычный 4 2 161 2 3" xfId="31150"/>
    <cellStyle name="Обычный 4 2 161 2 3 2" xfId="63193"/>
    <cellStyle name="Обычный 4 2 161 2 4" xfId="41833"/>
    <cellStyle name="Обычный 4 2 161 3" xfId="15129"/>
    <cellStyle name="Обычный 4 2 161 3 2" xfId="47173"/>
    <cellStyle name="Обычный 4 2 161 4" xfId="25810"/>
    <cellStyle name="Обычный 4 2 161 4 2" xfId="57853"/>
    <cellStyle name="Обычный 4 2 161 5" xfId="36493"/>
    <cellStyle name="Обычный 4 2 162" xfId="4480"/>
    <cellStyle name="Обычный 4 2 162 2" xfId="9821"/>
    <cellStyle name="Обычный 4 2 162 2 2" xfId="20501"/>
    <cellStyle name="Обычный 4 2 162 2 2 2" xfId="52545"/>
    <cellStyle name="Обычный 4 2 162 2 3" xfId="31182"/>
    <cellStyle name="Обычный 4 2 162 2 3 2" xfId="63225"/>
    <cellStyle name="Обычный 4 2 162 2 4" xfId="41865"/>
    <cellStyle name="Обычный 4 2 162 3" xfId="15161"/>
    <cellStyle name="Обычный 4 2 162 3 2" xfId="47205"/>
    <cellStyle name="Обычный 4 2 162 4" xfId="25842"/>
    <cellStyle name="Обычный 4 2 162 4 2" xfId="57885"/>
    <cellStyle name="Обычный 4 2 162 5" xfId="36525"/>
    <cellStyle name="Обычный 4 2 163" xfId="4512"/>
    <cellStyle name="Обычный 4 2 163 2" xfId="9853"/>
    <cellStyle name="Обычный 4 2 163 2 2" xfId="20533"/>
    <cellStyle name="Обычный 4 2 163 2 2 2" xfId="52577"/>
    <cellStyle name="Обычный 4 2 163 2 3" xfId="31214"/>
    <cellStyle name="Обычный 4 2 163 2 3 2" xfId="63257"/>
    <cellStyle name="Обычный 4 2 163 2 4" xfId="41897"/>
    <cellStyle name="Обычный 4 2 163 3" xfId="15193"/>
    <cellStyle name="Обычный 4 2 163 3 2" xfId="47237"/>
    <cellStyle name="Обычный 4 2 163 4" xfId="25874"/>
    <cellStyle name="Обычный 4 2 163 4 2" xfId="57917"/>
    <cellStyle name="Обычный 4 2 163 5" xfId="36557"/>
    <cellStyle name="Обычный 4 2 164" xfId="4544"/>
    <cellStyle name="Обычный 4 2 164 2" xfId="9885"/>
    <cellStyle name="Обычный 4 2 164 2 2" xfId="20565"/>
    <cellStyle name="Обычный 4 2 164 2 2 2" xfId="52609"/>
    <cellStyle name="Обычный 4 2 164 2 3" xfId="31246"/>
    <cellStyle name="Обычный 4 2 164 2 3 2" xfId="63289"/>
    <cellStyle name="Обычный 4 2 164 2 4" xfId="41929"/>
    <cellStyle name="Обычный 4 2 164 3" xfId="15225"/>
    <cellStyle name="Обычный 4 2 164 3 2" xfId="47269"/>
    <cellStyle name="Обычный 4 2 164 4" xfId="25906"/>
    <cellStyle name="Обычный 4 2 164 4 2" xfId="57949"/>
    <cellStyle name="Обычный 4 2 164 5" xfId="36589"/>
    <cellStyle name="Обычный 4 2 165" xfId="4576"/>
    <cellStyle name="Обычный 4 2 165 2" xfId="9917"/>
    <cellStyle name="Обычный 4 2 165 2 2" xfId="20597"/>
    <cellStyle name="Обычный 4 2 165 2 2 2" xfId="52641"/>
    <cellStyle name="Обычный 4 2 165 2 3" xfId="31278"/>
    <cellStyle name="Обычный 4 2 165 2 3 2" xfId="63321"/>
    <cellStyle name="Обычный 4 2 165 2 4" xfId="41961"/>
    <cellStyle name="Обычный 4 2 165 3" xfId="15257"/>
    <cellStyle name="Обычный 4 2 165 3 2" xfId="47301"/>
    <cellStyle name="Обычный 4 2 165 4" xfId="25938"/>
    <cellStyle name="Обычный 4 2 165 4 2" xfId="57981"/>
    <cellStyle name="Обычный 4 2 165 5" xfId="36621"/>
    <cellStyle name="Обычный 4 2 166" xfId="4608"/>
    <cellStyle name="Обычный 4 2 166 2" xfId="9949"/>
    <cellStyle name="Обычный 4 2 166 2 2" xfId="20629"/>
    <cellStyle name="Обычный 4 2 166 2 2 2" xfId="52673"/>
    <cellStyle name="Обычный 4 2 166 2 3" xfId="31310"/>
    <cellStyle name="Обычный 4 2 166 2 3 2" xfId="63353"/>
    <cellStyle name="Обычный 4 2 166 2 4" xfId="41993"/>
    <cellStyle name="Обычный 4 2 166 3" xfId="15289"/>
    <cellStyle name="Обычный 4 2 166 3 2" xfId="47333"/>
    <cellStyle name="Обычный 4 2 166 4" xfId="25970"/>
    <cellStyle name="Обычный 4 2 166 4 2" xfId="58013"/>
    <cellStyle name="Обычный 4 2 166 5" xfId="36653"/>
    <cellStyle name="Обычный 4 2 167" xfId="4640"/>
    <cellStyle name="Обычный 4 2 167 2" xfId="9981"/>
    <cellStyle name="Обычный 4 2 167 2 2" xfId="20661"/>
    <cellStyle name="Обычный 4 2 167 2 2 2" xfId="52705"/>
    <cellStyle name="Обычный 4 2 167 2 3" xfId="31342"/>
    <cellStyle name="Обычный 4 2 167 2 3 2" xfId="63385"/>
    <cellStyle name="Обычный 4 2 167 2 4" xfId="42025"/>
    <cellStyle name="Обычный 4 2 167 3" xfId="15321"/>
    <cellStyle name="Обычный 4 2 167 3 2" xfId="47365"/>
    <cellStyle name="Обычный 4 2 167 4" xfId="26002"/>
    <cellStyle name="Обычный 4 2 167 4 2" xfId="58045"/>
    <cellStyle name="Обычный 4 2 167 5" xfId="36685"/>
    <cellStyle name="Обычный 4 2 168" xfId="4672"/>
    <cellStyle name="Обычный 4 2 168 2" xfId="10013"/>
    <cellStyle name="Обычный 4 2 168 2 2" xfId="20693"/>
    <cellStyle name="Обычный 4 2 168 2 2 2" xfId="52737"/>
    <cellStyle name="Обычный 4 2 168 2 3" xfId="31374"/>
    <cellStyle name="Обычный 4 2 168 2 3 2" xfId="63417"/>
    <cellStyle name="Обычный 4 2 168 2 4" xfId="42057"/>
    <cellStyle name="Обычный 4 2 168 3" xfId="15353"/>
    <cellStyle name="Обычный 4 2 168 3 2" xfId="47397"/>
    <cellStyle name="Обычный 4 2 168 4" xfId="26034"/>
    <cellStyle name="Обычный 4 2 168 4 2" xfId="58077"/>
    <cellStyle name="Обычный 4 2 168 5" xfId="36717"/>
    <cellStyle name="Обычный 4 2 169" xfId="4706"/>
    <cellStyle name="Обычный 4 2 169 2" xfId="10047"/>
    <cellStyle name="Обычный 4 2 169 2 2" xfId="20727"/>
    <cellStyle name="Обычный 4 2 169 2 2 2" xfId="52771"/>
    <cellStyle name="Обычный 4 2 169 2 3" xfId="31408"/>
    <cellStyle name="Обычный 4 2 169 2 3 2" xfId="63451"/>
    <cellStyle name="Обычный 4 2 169 2 4" xfId="42091"/>
    <cellStyle name="Обычный 4 2 169 3" xfId="15387"/>
    <cellStyle name="Обычный 4 2 169 3 2" xfId="47431"/>
    <cellStyle name="Обычный 4 2 169 4" xfId="26068"/>
    <cellStyle name="Обычный 4 2 169 4 2" xfId="58111"/>
    <cellStyle name="Обычный 4 2 169 5" xfId="36751"/>
    <cellStyle name="Обычный 4 2 17" xfId="224"/>
    <cellStyle name="Обычный 4 2 17 2" xfId="692"/>
    <cellStyle name="Обычный 4 2 17 2 2" xfId="6035"/>
    <cellStyle name="Обычный 4 2 17 2 2 2" xfId="16715"/>
    <cellStyle name="Обычный 4 2 17 2 2 2 2" xfId="48759"/>
    <cellStyle name="Обычный 4 2 17 2 2 3" xfId="27396"/>
    <cellStyle name="Обычный 4 2 17 2 2 3 2" xfId="59439"/>
    <cellStyle name="Обычный 4 2 17 2 2 4" xfId="38079"/>
    <cellStyle name="Обычный 4 2 17 2 3" xfId="11375"/>
    <cellStyle name="Обычный 4 2 17 2 3 2" xfId="43419"/>
    <cellStyle name="Обычный 4 2 17 2 4" xfId="22056"/>
    <cellStyle name="Обычный 4 2 17 2 4 2" xfId="54099"/>
    <cellStyle name="Обычный 4 2 17 2 5" xfId="32739"/>
    <cellStyle name="Обычный 4 2 17 3" xfId="5568"/>
    <cellStyle name="Обычный 4 2 17 3 2" xfId="16248"/>
    <cellStyle name="Обычный 4 2 17 3 2 2" xfId="48292"/>
    <cellStyle name="Обычный 4 2 17 3 3" xfId="26929"/>
    <cellStyle name="Обычный 4 2 17 3 3 2" xfId="58972"/>
    <cellStyle name="Обычный 4 2 17 3 4" xfId="37612"/>
    <cellStyle name="Обычный 4 2 17 4" xfId="10908"/>
    <cellStyle name="Обычный 4 2 17 4 2" xfId="42952"/>
    <cellStyle name="Обычный 4 2 17 5" xfId="21589"/>
    <cellStyle name="Обычный 4 2 17 5 2" xfId="53632"/>
    <cellStyle name="Обычный 4 2 17 6" xfId="32272"/>
    <cellStyle name="Обычный 4 2 170" xfId="4738"/>
    <cellStyle name="Обычный 4 2 170 2" xfId="10079"/>
    <cellStyle name="Обычный 4 2 170 2 2" xfId="20759"/>
    <cellStyle name="Обычный 4 2 170 2 2 2" xfId="52803"/>
    <cellStyle name="Обычный 4 2 170 2 3" xfId="31440"/>
    <cellStyle name="Обычный 4 2 170 2 3 2" xfId="63483"/>
    <cellStyle name="Обычный 4 2 170 2 4" xfId="42123"/>
    <cellStyle name="Обычный 4 2 170 3" xfId="15419"/>
    <cellStyle name="Обычный 4 2 170 3 2" xfId="47463"/>
    <cellStyle name="Обычный 4 2 170 4" xfId="26100"/>
    <cellStyle name="Обычный 4 2 170 4 2" xfId="58143"/>
    <cellStyle name="Обычный 4 2 170 5" xfId="36783"/>
    <cellStyle name="Обычный 4 2 171" xfId="4770"/>
    <cellStyle name="Обычный 4 2 171 2" xfId="10111"/>
    <cellStyle name="Обычный 4 2 171 2 2" xfId="20791"/>
    <cellStyle name="Обычный 4 2 171 2 2 2" xfId="52835"/>
    <cellStyle name="Обычный 4 2 171 2 3" xfId="31472"/>
    <cellStyle name="Обычный 4 2 171 2 3 2" xfId="63515"/>
    <cellStyle name="Обычный 4 2 171 2 4" xfId="42155"/>
    <cellStyle name="Обычный 4 2 171 3" xfId="15451"/>
    <cellStyle name="Обычный 4 2 171 3 2" xfId="47495"/>
    <cellStyle name="Обычный 4 2 171 4" xfId="26132"/>
    <cellStyle name="Обычный 4 2 171 4 2" xfId="58175"/>
    <cellStyle name="Обычный 4 2 171 5" xfId="36815"/>
    <cellStyle name="Обычный 4 2 172" xfId="4802"/>
    <cellStyle name="Обычный 4 2 172 2" xfId="10143"/>
    <cellStyle name="Обычный 4 2 172 2 2" xfId="20823"/>
    <cellStyle name="Обычный 4 2 172 2 2 2" xfId="52867"/>
    <cellStyle name="Обычный 4 2 172 2 3" xfId="31504"/>
    <cellStyle name="Обычный 4 2 172 2 3 2" xfId="63547"/>
    <cellStyle name="Обычный 4 2 172 2 4" xfId="42187"/>
    <cellStyle name="Обычный 4 2 172 3" xfId="15483"/>
    <cellStyle name="Обычный 4 2 172 3 2" xfId="47527"/>
    <cellStyle name="Обычный 4 2 172 4" xfId="26164"/>
    <cellStyle name="Обычный 4 2 172 4 2" xfId="58207"/>
    <cellStyle name="Обычный 4 2 172 5" xfId="36847"/>
    <cellStyle name="Обычный 4 2 173" xfId="4834"/>
    <cellStyle name="Обычный 4 2 173 2" xfId="10175"/>
    <cellStyle name="Обычный 4 2 173 2 2" xfId="20855"/>
    <cellStyle name="Обычный 4 2 173 2 2 2" xfId="52899"/>
    <cellStyle name="Обычный 4 2 173 2 3" xfId="31536"/>
    <cellStyle name="Обычный 4 2 173 2 3 2" xfId="63579"/>
    <cellStyle name="Обычный 4 2 173 2 4" xfId="42219"/>
    <cellStyle name="Обычный 4 2 173 3" xfId="15515"/>
    <cellStyle name="Обычный 4 2 173 3 2" xfId="47559"/>
    <cellStyle name="Обычный 4 2 173 4" xfId="26196"/>
    <cellStyle name="Обычный 4 2 173 4 2" xfId="58239"/>
    <cellStyle name="Обычный 4 2 173 5" xfId="36879"/>
    <cellStyle name="Обычный 4 2 174" xfId="4866"/>
    <cellStyle name="Обычный 4 2 174 2" xfId="10207"/>
    <cellStyle name="Обычный 4 2 174 2 2" xfId="20887"/>
    <cellStyle name="Обычный 4 2 174 2 2 2" xfId="52931"/>
    <cellStyle name="Обычный 4 2 174 2 3" xfId="31568"/>
    <cellStyle name="Обычный 4 2 174 2 3 2" xfId="63611"/>
    <cellStyle name="Обычный 4 2 174 2 4" xfId="42251"/>
    <cellStyle name="Обычный 4 2 174 3" xfId="15547"/>
    <cellStyle name="Обычный 4 2 174 3 2" xfId="47591"/>
    <cellStyle name="Обычный 4 2 174 4" xfId="26228"/>
    <cellStyle name="Обычный 4 2 174 4 2" xfId="58271"/>
    <cellStyle name="Обычный 4 2 174 5" xfId="36911"/>
    <cellStyle name="Обычный 4 2 175" xfId="4898"/>
    <cellStyle name="Обычный 4 2 175 2" xfId="10239"/>
    <cellStyle name="Обычный 4 2 175 2 2" xfId="20919"/>
    <cellStyle name="Обычный 4 2 175 2 2 2" xfId="52963"/>
    <cellStyle name="Обычный 4 2 175 2 3" xfId="31600"/>
    <cellStyle name="Обычный 4 2 175 2 3 2" xfId="63643"/>
    <cellStyle name="Обычный 4 2 175 2 4" xfId="42283"/>
    <cellStyle name="Обычный 4 2 175 3" xfId="15579"/>
    <cellStyle name="Обычный 4 2 175 3 2" xfId="47623"/>
    <cellStyle name="Обычный 4 2 175 4" xfId="26260"/>
    <cellStyle name="Обычный 4 2 175 4 2" xfId="58303"/>
    <cellStyle name="Обычный 4 2 175 5" xfId="36943"/>
    <cellStyle name="Обычный 4 2 176" xfId="4930"/>
    <cellStyle name="Обычный 4 2 176 2" xfId="10271"/>
    <cellStyle name="Обычный 4 2 176 2 2" xfId="20951"/>
    <cellStyle name="Обычный 4 2 176 2 2 2" xfId="52995"/>
    <cellStyle name="Обычный 4 2 176 2 3" xfId="31632"/>
    <cellStyle name="Обычный 4 2 176 2 3 2" xfId="63675"/>
    <cellStyle name="Обычный 4 2 176 2 4" xfId="42315"/>
    <cellStyle name="Обычный 4 2 176 3" xfId="15611"/>
    <cellStyle name="Обычный 4 2 176 3 2" xfId="47655"/>
    <cellStyle name="Обычный 4 2 176 4" xfId="26292"/>
    <cellStyle name="Обычный 4 2 176 4 2" xfId="58335"/>
    <cellStyle name="Обычный 4 2 176 5" xfId="36975"/>
    <cellStyle name="Обычный 4 2 177" xfId="4962"/>
    <cellStyle name="Обычный 4 2 177 2" xfId="10303"/>
    <cellStyle name="Обычный 4 2 177 2 2" xfId="20983"/>
    <cellStyle name="Обычный 4 2 177 2 2 2" xfId="53027"/>
    <cellStyle name="Обычный 4 2 177 2 3" xfId="31664"/>
    <cellStyle name="Обычный 4 2 177 2 3 2" xfId="63707"/>
    <cellStyle name="Обычный 4 2 177 2 4" xfId="42347"/>
    <cellStyle name="Обычный 4 2 177 3" xfId="15643"/>
    <cellStyle name="Обычный 4 2 177 3 2" xfId="47687"/>
    <cellStyle name="Обычный 4 2 177 4" xfId="26324"/>
    <cellStyle name="Обычный 4 2 177 4 2" xfId="58367"/>
    <cellStyle name="Обычный 4 2 177 5" xfId="37007"/>
    <cellStyle name="Обычный 4 2 178" xfId="4994"/>
    <cellStyle name="Обычный 4 2 178 2" xfId="10335"/>
    <cellStyle name="Обычный 4 2 178 2 2" xfId="21015"/>
    <cellStyle name="Обычный 4 2 178 2 2 2" xfId="53059"/>
    <cellStyle name="Обычный 4 2 178 2 3" xfId="31696"/>
    <cellStyle name="Обычный 4 2 178 2 3 2" xfId="63739"/>
    <cellStyle name="Обычный 4 2 178 2 4" xfId="42379"/>
    <cellStyle name="Обычный 4 2 178 3" xfId="15675"/>
    <cellStyle name="Обычный 4 2 178 3 2" xfId="47719"/>
    <cellStyle name="Обычный 4 2 178 4" xfId="26356"/>
    <cellStyle name="Обычный 4 2 178 4 2" xfId="58399"/>
    <cellStyle name="Обычный 4 2 178 5" xfId="37039"/>
    <cellStyle name="Обычный 4 2 179" xfId="5026"/>
    <cellStyle name="Обычный 4 2 179 2" xfId="10367"/>
    <cellStyle name="Обычный 4 2 179 2 2" xfId="21047"/>
    <cellStyle name="Обычный 4 2 179 2 2 2" xfId="53091"/>
    <cellStyle name="Обычный 4 2 179 2 3" xfId="31728"/>
    <cellStyle name="Обычный 4 2 179 2 3 2" xfId="63771"/>
    <cellStyle name="Обычный 4 2 179 2 4" xfId="42411"/>
    <cellStyle name="Обычный 4 2 179 3" xfId="15707"/>
    <cellStyle name="Обычный 4 2 179 3 2" xfId="47751"/>
    <cellStyle name="Обычный 4 2 179 4" xfId="26388"/>
    <cellStyle name="Обычный 4 2 179 4 2" xfId="58431"/>
    <cellStyle name="Обычный 4 2 179 5" xfId="37071"/>
    <cellStyle name="Обычный 4 2 18" xfId="234"/>
    <cellStyle name="Обычный 4 2 18 2" xfId="702"/>
    <cellStyle name="Обычный 4 2 18 2 2" xfId="6045"/>
    <cellStyle name="Обычный 4 2 18 2 2 2" xfId="16725"/>
    <cellStyle name="Обычный 4 2 18 2 2 2 2" xfId="48769"/>
    <cellStyle name="Обычный 4 2 18 2 2 3" xfId="27406"/>
    <cellStyle name="Обычный 4 2 18 2 2 3 2" xfId="59449"/>
    <cellStyle name="Обычный 4 2 18 2 2 4" xfId="38089"/>
    <cellStyle name="Обычный 4 2 18 2 3" xfId="11385"/>
    <cellStyle name="Обычный 4 2 18 2 3 2" xfId="43429"/>
    <cellStyle name="Обычный 4 2 18 2 4" xfId="22066"/>
    <cellStyle name="Обычный 4 2 18 2 4 2" xfId="54109"/>
    <cellStyle name="Обычный 4 2 18 2 5" xfId="32749"/>
    <cellStyle name="Обычный 4 2 18 3" xfId="5578"/>
    <cellStyle name="Обычный 4 2 18 3 2" xfId="16258"/>
    <cellStyle name="Обычный 4 2 18 3 2 2" xfId="48302"/>
    <cellStyle name="Обычный 4 2 18 3 3" xfId="26939"/>
    <cellStyle name="Обычный 4 2 18 3 3 2" xfId="58982"/>
    <cellStyle name="Обычный 4 2 18 3 4" xfId="37622"/>
    <cellStyle name="Обычный 4 2 18 4" xfId="10918"/>
    <cellStyle name="Обычный 4 2 18 4 2" xfId="42962"/>
    <cellStyle name="Обычный 4 2 18 5" xfId="21599"/>
    <cellStyle name="Обычный 4 2 18 5 2" xfId="53642"/>
    <cellStyle name="Обычный 4 2 18 6" xfId="32282"/>
    <cellStyle name="Обычный 4 2 180" xfId="5058"/>
    <cellStyle name="Обычный 4 2 180 2" xfId="10399"/>
    <cellStyle name="Обычный 4 2 180 2 2" xfId="21079"/>
    <cellStyle name="Обычный 4 2 180 2 2 2" xfId="53123"/>
    <cellStyle name="Обычный 4 2 180 2 3" xfId="31760"/>
    <cellStyle name="Обычный 4 2 180 2 3 2" xfId="63803"/>
    <cellStyle name="Обычный 4 2 180 2 4" xfId="42443"/>
    <cellStyle name="Обычный 4 2 180 3" xfId="15739"/>
    <cellStyle name="Обычный 4 2 180 3 2" xfId="47783"/>
    <cellStyle name="Обычный 4 2 180 4" xfId="26420"/>
    <cellStyle name="Обычный 4 2 180 4 2" xfId="58463"/>
    <cellStyle name="Обычный 4 2 180 5" xfId="37103"/>
    <cellStyle name="Обычный 4 2 181" xfId="5090"/>
    <cellStyle name="Обычный 4 2 181 2" xfId="10431"/>
    <cellStyle name="Обычный 4 2 181 2 2" xfId="21111"/>
    <cellStyle name="Обычный 4 2 181 2 2 2" xfId="53155"/>
    <cellStyle name="Обычный 4 2 181 2 3" xfId="31792"/>
    <cellStyle name="Обычный 4 2 181 2 3 2" xfId="63835"/>
    <cellStyle name="Обычный 4 2 181 2 4" xfId="42475"/>
    <cellStyle name="Обычный 4 2 181 3" xfId="15771"/>
    <cellStyle name="Обычный 4 2 181 3 2" xfId="47815"/>
    <cellStyle name="Обычный 4 2 181 4" xfId="26452"/>
    <cellStyle name="Обычный 4 2 181 4 2" xfId="58495"/>
    <cellStyle name="Обычный 4 2 181 5" xfId="37135"/>
    <cellStyle name="Обычный 4 2 182" xfId="5122"/>
    <cellStyle name="Обычный 4 2 182 2" xfId="10463"/>
    <cellStyle name="Обычный 4 2 182 2 2" xfId="21143"/>
    <cellStyle name="Обычный 4 2 182 2 2 2" xfId="53187"/>
    <cellStyle name="Обычный 4 2 182 2 3" xfId="31824"/>
    <cellStyle name="Обычный 4 2 182 2 3 2" xfId="63867"/>
    <cellStyle name="Обычный 4 2 182 2 4" xfId="42507"/>
    <cellStyle name="Обычный 4 2 182 3" xfId="15803"/>
    <cellStyle name="Обычный 4 2 182 3 2" xfId="47847"/>
    <cellStyle name="Обычный 4 2 182 4" xfId="26484"/>
    <cellStyle name="Обычный 4 2 182 4 2" xfId="58527"/>
    <cellStyle name="Обычный 4 2 182 5" xfId="37167"/>
    <cellStyle name="Обычный 4 2 183" xfId="5154"/>
    <cellStyle name="Обычный 4 2 183 2" xfId="10495"/>
    <cellStyle name="Обычный 4 2 183 2 2" xfId="21175"/>
    <cellStyle name="Обычный 4 2 183 2 2 2" xfId="53219"/>
    <cellStyle name="Обычный 4 2 183 2 3" xfId="31856"/>
    <cellStyle name="Обычный 4 2 183 2 3 2" xfId="63899"/>
    <cellStyle name="Обычный 4 2 183 2 4" xfId="42539"/>
    <cellStyle name="Обычный 4 2 183 3" xfId="15835"/>
    <cellStyle name="Обычный 4 2 183 3 2" xfId="47879"/>
    <cellStyle name="Обычный 4 2 183 4" xfId="26516"/>
    <cellStyle name="Обычный 4 2 183 4 2" xfId="58559"/>
    <cellStyle name="Обычный 4 2 183 5" xfId="37199"/>
    <cellStyle name="Обычный 4 2 184" xfId="5186"/>
    <cellStyle name="Обычный 4 2 184 2" xfId="10527"/>
    <cellStyle name="Обычный 4 2 184 2 2" xfId="21207"/>
    <cellStyle name="Обычный 4 2 184 2 2 2" xfId="53251"/>
    <cellStyle name="Обычный 4 2 184 2 3" xfId="31888"/>
    <cellStyle name="Обычный 4 2 184 2 3 2" xfId="63931"/>
    <cellStyle name="Обычный 4 2 184 2 4" xfId="42571"/>
    <cellStyle name="Обычный 4 2 184 3" xfId="15867"/>
    <cellStyle name="Обычный 4 2 184 3 2" xfId="47911"/>
    <cellStyle name="Обычный 4 2 184 4" xfId="26548"/>
    <cellStyle name="Обычный 4 2 184 4 2" xfId="58591"/>
    <cellStyle name="Обычный 4 2 184 5" xfId="37231"/>
    <cellStyle name="Обычный 4 2 185" xfId="5218"/>
    <cellStyle name="Обычный 4 2 185 2" xfId="10559"/>
    <cellStyle name="Обычный 4 2 185 2 2" xfId="21239"/>
    <cellStyle name="Обычный 4 2 185 2 2 2" xfId="53283"/>
    <cellStyle name="Обычный 4 2 185 2 3" xfId="31920"/>
    <cellStyle name="Обычный 4 2 185 2 3 2" xfId="63963"/>
    <cellStyle name="Обычный 4 2 185 2 4" xfId="42603"/>
    <cellStyle name="Обычный 4 2 185 3" xfId="15899"/>
    <cellStyle name="Обычный 4 2 185 3 2" xfId="47943"/>
    <cellStyle name="Обычный 4 2 185 4" xfId="26580"/>
    <cellStyle name="Обычный 4 2 185 4 2" xfId="58623"/>
    <cellStyle name="Обычный 4 2 185 5" xfId="37263"/>
    <cellStyle name="Обычный 4 2 186" xfId="5250"/>
    <cellStyle name="Обычный 4 2 186 2" xfId="10591"/>
    <cellStyle name="Обычный 4 2 186 2 2" xfId="21271"/>
    <cellStyle name="Обычный 4 2 186 2 2 2" xfId="53315"/>
    <cellStyle name="Обычный 4 2 186 2 3" xfId="31952"/>
    <cellStyle name="Обычный 4 2 186 2 3 2" xfId="63995"/>
    <cellStyle name="Обычный 4 2 186 2 4" xfId="42635"/>
    <cellStyle name="Обычный 4 2 186 3" xfId="15931"/>
    <cellStyle name="Обычный 4 2 186 3 2" xfId="47975"/>
    <cellStyle name="Обычный 4 2 186 4" xfId="26612"/>
    <cellStyle name="Обычный 4 2 186 4 2" xfId="58655"/>
    <cellStyle name="Обычный 4 2 186 5" xfId="37295"/>
    <cellStyle name="Обычный 4 2 187" xfId="5282"/>
    <cellStyle name="Обычный 4 2 187 2" xfId="10623"/>
    <cellStyle name="Обычный 4 2 187 2 2" xfId="21303"/>
    <cellStyle name="Обычный 4 2 187 2 2 2" xfId="53347"/>
    <cellStyle name="Обычный 4 2 187 2 3" xfId="31984"/>
    <cellStyle name="Обычный 4 2 187 2 3 2" xfId="64027"/>
    <cellStyle name="Обычный 4 2 187 2 4" xfId="42667"/>
    <cellStyle name="Обычный 4 2 187 3" xfId="15963"/>
    <cellStyle name="Обычный 4 2 187 3 2" xfId="48007"/>
    <cellStyle name="Обычный 4 2 187 4" xfId="26644"/>
    <cellStyle name="Обычный 4 2 187 4 2" xfId="58687"/>
    <cellStyle name="Обычный 4 2 187 5" xfId="37327"/>
    <cellStyle name="Обычный 4 2 188" xfId="5314"/>
    <cellStyle name="Обычный 4 2 188 2" xfId="10655"/>
    <cellStyle name="Обычный 4 2 188 2 2" xfId="21335"/>
    <cellStyle name="Обычный 4 2 188 2 2 2" xfId="53379"/>
    <cellStyle name="Обычный 4 2 188 2 3" xfId="32016"/>
    <cellStyle name="Обычный 4 2 188 2 3 2" xfId="64059"/>
    <cellStyle name="Обычный 4 2 188 2 4" xfId="42699"/>
    <cellStyle name="Обычный 4 2 188 3" xfId="15995"/>
    <cellStyle name="Обычный 4 2 188 3 2" xfId="48039"/>
    <cellStyle name="Обычный 4 2 188 4" xfId="26676"/>
    <cellStyle name="Обычный 4 2 188 4 2" xfId="58719"/>
    <cellStyle name="Обычный 4 2 188 5" xfId="37359"/>
    <cellStyle name="Обычный 4 2 189" xfId="5346"/>
    <cellStyle name="Обычный 4 2 189 2" xfId="10687"/>
    <cellStyle name="Обычный 4 2 189 2 2" xfId="21367"/>
    <cellStyle name="Обычный 4 2 189 2 2 2" xfId="53411"/>
    <cellStyle name="Обычный 4 2 189 2 3" xfId="32048"/>
    <cellStyle name="Обычный 4 2 189 2 3 2" xfId="64091"/>
    <cellStyle name="Обычный 4 2 189 2 4" xfId="42731"/>
    <cellStyle name="Обычный 4 2 189 3" xfId="16027"/>
    <cellStyle name="Обычный 4 2 189 3 2" xfId="48071"/>
    <cellStyle name="Обычный 4 2 189 4" xfId="26708"/>
    <cellStyle name="Обычный 4 2 189 4 2" xfId="58751"/>
    <cellStyle name="Обычный 4 2 189 5" xfId="37391"/>
    <cellStyle name="Обычный 4 2 19" xfId="244"/>
    <cellStyle name="Обычный 4 2 19 2" xfId="712"/>
    <cellStyle name="Обычный 4 2 19 2 2" xfId="6055"/>
    <cellStyle name="Обычный 4 2 19 2 2 2" xfId="16735"/>
    <cellStyle name="Обычный 4 2 19 2 2 2 2" xfId="48779"/>
    <cellStyle name="Обычный 4 2 19 2 2 3" xfId="27416"/>
    <cellStyle name="Обычный 4 2 19 2 2 3 2" xfId="59459"/>
    <cellStyle name="Обычный 4 2 19 2 2 4" xfId="38099"/>
    <cellStyle name="Обычный 4 2 19 2 3" xfId="11395"/>
    <cellStyle name="Обычный 4 2 19 2 3 2" xfId="43439"/>
    <cellStyle name="Обычный 4 2 19 2 4" xfId="22076"/>
    <cellStyle name="Обычный 4 2 19 2 4 2" xfId="54119"/>
    <cellStyle name="Обычный 4 2 19 2 5" xfId="32759"/>
    <cellStyle name="Обычный 4 2 19 3" xfId="5588"/>
    <cellStyle name="Обычный 4 2 19 3 2" xfId="16268"/>
    <cellStyle name="Обычный 4 2 19 3 2 2" xfId="48312"/>
    <cellStyle name="Обычный 4 2 19 3 3" xfId="26949"/>
    <cellStyle name="Обычный 4 2 19 3 3 2" xfId="58992"/>
    <cellStyle name="Обычный 4 2 19 3 4" xfId="37632"/>
    <cellStyle name="Обычный 4 2 19 4" xfId="10928"/>
    <cellStyle name="Обычный 4 2 19 4 2" xfId="42972"/>
    <cellStyle name="Обычный 4 2 19 5" xfId="21609"/>
    <cellStyle name="Обычный 4 2 19 5 2" xfId="53652"/>
    <cellStyle name="Обычный 4 2 19 6" xfId="32292"/>
    <cellStyle name="Обычный 4 2 190" xfId="5378"/>
    <cellStyle name="Обычный 4 2 190 2" xfId="16058"/>
    <cellStyle name="Обычный 4 2 190 2 2" xfId="48102"/>
    <cellStyle name="Обычный 4 2 190 3" xfId="26739"/>
    <cellStyle name="Обычный 4 2 190 3 2" xfId="58782"/>
    <cellStyle name="Обычный 4 2 190 4" xfId="37422"/>
    <cellStyle name="Обычный 4 2 191" xfId="10718"/>
    <cellStyle name="Обычный 4 2 191 2" xfId="42762"/>
    <cellStyle name="Обычный 4 2 192" xfId="21399"/>
    <cellStyle name="Обычный 4 2 192 2" xfId="53442"/>
    <cellStyle name="Обычный 4 2 193" xfId="32082"/>
    <cellStyle name="Обычный 4 2 2" xfId="78"/>
    <cellStyle name="Обычный 4 2 2 10" xfId="1160"/>
    <cellStyle name="Обычный 4 2 2 10 2" xfId="6503"/>
    <cellStyle name="Обычный 4 2 2 10 2 2" xfId="17183"/>
    <cellStyle name="Обычный 4 2 2 10 2 2 2" xfId="49227"/>
    <cellStyle name="Обычный 4 2 2 10 2 3" xfId="27864"/>
    <cellStyle name="Обычный 4 2 2 10 2 3 2" xfId="59907"/>
    <cellStyle name="Обычный 4 2 2 10 2 4" xfId="38547"/>
    <cellStyle name="Обычный 4 2 2 10 3" xfId="11843"/>
    <cellStyle name="Обычный 4 2 2 10 3 2" xfId="43887"/>
    <cellStyle name="Обычный 4 2 2 10 4" xfId="22524"/>
    <cellStyle name="Обычный 4 2 2 10 4 2" xfId="54567"/>
    <cellStyle name="Обычный 4 2 2 10 5" xfId="33207"/>
    <cellStyle name="Обычный 4 2 2 100" xfId="3820"/>
    <cellStyle name="Обычный 4 2 2 100 2" xfId="9161"/>
    <cellStyle name="Обычный 4 2 2 100 2 2" xfId="19841"/>
    <cellStyle name="Обычный 4 2 2 100 2 2 2" xfId="51885"/>
    <cellStyle name="Обычный 4 2 2 100 2 3" xfId="30522"/>
    <cellStyle name="Обычный 4 2 2 100 2 3 2" xfId="62565"/>
    <cellStyle name="Обычный 4 2 2 100 2 4" xfId="41205"/>
    <cellStyle name="Обычный 4 2 2 100 3" xfId="14501"/>
    <cellStyle name="Обычный 4 2 2 100 3 2" xfId="46545"/>
    <cellStyle name="Обычный 4 2 2 100 4" xfId="25182"/>
    <cellStyle name="Обычный 4 2 2 100 4 2" xfId="57225"/>
    <cellStyle name="Обычный 4 2 2 100 5" xfId="35865"/>
    <cellStyle name="Обычный 4 2 2 101" xfId="3852"/>
    <cellStyle name="Обычный 4 2 2 101 2" xfId="9193"/>
    <cellStyle name="Обычный 4 2 2 101 2 2" xfId="19873"/>
    <cellStyle name="Обычный 4 2 2 101 2 2 2" xfId="51917"/>
    <cellStyle name="Обычный 4 2 2 101 2 3" xfId="30554"/>
    <cellStyle name="Обычный 4 2 2 101 2 3 2" xfId="62597"/>
    <cellStyle name="Обычный 4 2 2 101 2 4" xfId="41237"/>
    <cellStyle name="Обычный 4 2 2 101 3" xfId="14533"/>
    <cellStyle name="Обычный 4 2 2 101 3 2" xfId="46577"/>
    <cellStyle name="Обычный 4 2 2 101 4" xfId="25214"/>
    <cellStyle name="Обычный 4 2 2 101 4 2" xfId="57257"/>
    <cellStyle name="Обычный 4 2 2 101 5" xfId="35897"/>
    <cellStyle name="Обычный 4 2 2 102" xfId="3884"/>
    <cellStyle name="Обычный 4 2 2 102 2" xfId="9225"/>
    <cellStyle name="Обычный 4 2 2 102 2 2" xfId="19905"/>
    <cellStyle name="Обычный 4 2 2 102 2 2 2" xfId="51949"/>
    <cellStyle name="Обычный 4 2 2 102 2 3" xfId="30586"/>
    <cellStyle name="Обычный 4 2 2 102 2 3 2" xfId="62629"/>
    <cellStyle name="Обычный 4 2 2 102 2 4" xfId="41269"/>
    <cellStyle name="Обычный 4 2 2 102 3" xfId="14565"/>
    <cellStyle name="Обычный 4 2 2 102 3 2" xfId="46609"/>
    <cellStyle name="Обычный 4 2 2 102 4" xfId="25246"/>
    <cellStyle name="Обычный 4 2 2 102 4 2" xfId="57289"/>
    <cellStyle name="Обычный 4 2 2 102 5" xfId="35929"/>
    <cellStyle name="Обычный 4 2 2 103" xfId="3916"/>
    <cellStyle name="Обычный 4 2 2 103 2" xfId="9257"/>
    <cellStyle name="Обычный 4 2 2 103 2 2" xfId="19937"/>
    <cellStyle name="Обычный 4 2 2 103 2 2 2" xfId="51981"/>
    <cellStyle name="Обычный 4 2 2 103 2 3" xfId="30618"/>
    <cellStyle name="Обычный 4 2 2 103 2 3 2" xfId="62661"/>
    <cellStyle name="Обычный 4 2 2 103 2 4" xfId="41301"/>
    <cellStyle name="Обычный 4 2 2 103 3" xfId="14597"/>
    <cellStyle name="Обычный 4 2 2 103 3 2" xfId="46641"/>
    <cellStyle name="Обычный 4 2 2 103 4" xfId="25278"/>
    <cellStyle name="Обычный 4 2 2 103 4 2" xfId="57321"/>
    <cellStyle name="Обычный 4 2 2 103 5" xfId="35961"/>
    <cellStyle name="Обычный 4 2 2 104" xfId="3948"/>
    <cellStyle name="Обычный 4 2 2 104 2" xfId="9289"/>
    <cellStyle name="Обычный 4 2 2 104 2 2" xfId="19969"/>
    <cellStyle name="Обычный 4 2 2 104 2 2 2" xfId="52013"/>
    <cellStyle name="Обычный 4 2 2 104 2 3" xfId="30650"/>
    <cellStyle name="Обычный 4 2 2 104 2 3 2" xfId="62693"/>
    <cellStyle name="Обычный 4 2 2 104 2 4" xfId="41333"/>
    <cellStyle name="Обычный 4 2 2 104 3" xfId="14629"/>
    <cellStyle name="Обычный 4 2 2 104 3 2" xfId="46673"/>
    <cellStyle name="Обычный 4 2 2 104 4" xfId="25310"/>
    <cellStyle name="Обычный 4 2 2 104 4 2" xfId="57353"/>
    <cellStyle name="Обычный 4 2 2 104 5" xfId="35993"/>
    <cellStyle name="Обычный 4 2 2 105" xfId="3980"/>
    <cellStyle name="Обычный 4 2 2 105 2" xfId="9321"/>
    <cellStyle name="Обычный 4 2 2 105 2 2" xfId="20001"/>
    <cellStyle name="Обычный 4 2 2 105 2 2 2" xfId="52045"/>
    <cellStyle name="Обычный 4 2 2 105 2 3" xfId="30682"/>
    <cellStyle name="Обычный 4 2 2 105 2 3 2" xfId="62725"/>
    <cellStyle name="Обычный 4 2 2 105 2 4" xfId="41365"/>
    <cellStyle name="Обычный 4 2 2 105 3" xfId="14661"/>
    <cellStyle name="Обычный 4 2 2 105 3 2" xfId="46705"/>
    <cellStyle name="Обычный 4 2 2 105 4" xfId="25342"/>
    <cellStyle name="Обычный 4 2 2 105 4 2" xfId="57385"/>
    <cellStyle name="Обычный 4 2 2 105 5" xfId="36025"/>
    <cellStyle name="Обычный 4 2 2 106" xfId="4012"/>
    <cellStyle name="Обычный 4 2 2 106 2" xfId="9353"/>
    <cellStyle name="Обычный 4 2 2 106 2 2" xfId="20033"/>
    <cellStyle name="Обычный 4 2 2 106 2 2 2" xfId="52077"/>
    <cellStyle name="Обычный 4 2 2 106 2 3" xfId="30714"/>
    <cellStyle name="Обычный 4 2 2 106 2 3 2" xfId="62757"/>
    <cellStyle name="Обычный 4 2 2 106 2 4" xfId="41397"/>
    <cellStyle name="Обычный 4 2 2 106 3" xfId="14693"/>
    <cellStyle name="Обычный 4 2 2 106 3 2" xfId="46737"/>
    <cellStyle name="Обычный 4 2 2 106 4" xfId="25374"/>
    <cellStyle name="Обычный 4 2 2 106 4 2" xfId="57417"/>
    <cellStyle name="Обычный 4 2 2 106 5" xfId="36057"/>
    <cellStyle name="Обычный 4 2 2 107" xfId="4044"/>
    <cellStyle name="Обычный 4 2 2 107 2" xfId="9385"/>
    <cellStyle name="Обычный 4 2 2 107 2 2" xfId="20065"/>
    <cellStyle name="Обычный 4 2 2 107 2 2 2" xfId="52109"/>
    <cellStyle name="Обычный 4 2 2 107 2 3" xfId="30746"/>
    <cellStyle name="Обычный 4 2 2 107 2 3 2" xfId="62789"/>
    <cellStyle name="Обычный 4 2 2 107 2 4" xfId="41429"/>
    <cellStyle name="Обычный 4 2 2 107 3" xfId="14725"/>
    <cellStyle name="Обычный 4 2 2 107 3 2" xfId="46769"/>
    <cellStyle name="Обычный 4 2 2 107 4" xfId="25406"/>
    <cellStyle name="Обычный 4 2 2 107 4 2" xfId="57449"/>
    <cellStyle name="Обычный 4 2 2 107 5" xfId="36089"/>
    <cellStyle name="Обычный 4 2 2 108" xfId="4076"/>
    <cellStyle name="Обычный 4 2 2 108 2" xfId="9417"/>
    <cellStyle name="Обычный 4 2 2 108 2 2" xfId="20097"/>
    <cellStyle name="Обычный 4 2 2 108 2 2 2" xfId="52141"/>
    <cellStyle name="Обычный 4 2 2 108 2 3" xfId="30778"/>
    <cellStyle name="Обычный 4 2 2 108 2 3 2" xfId="62821"/>
    <cellStyle name="Обычный 4 2 2 108 2 4" xfId="41461"/>
    <cellStyle name="Обычный 4 2 2 108 3" xfId="14757"/>
    <cellStyle name="Обычный 4 2 2 108 3 2" xfId="46801"/>
    <cellStyle name="Обычный 4 2 2 108 4" xfId="25438"/>
    <cellStyle name="Обычный 4 2 2 108 4 2" xfId="57481"/>
    <cellStyle name="Обычный 4 2 2 108 5" xfId="36121"/>
    <cellStyle name="Обычный 4 2 2 109" xfId="4108"/>
    <cellStyle name="Обычный 4 2 2 109 2" xfId="9449"/>
    <cellStyle name="Обычный 4 2 2 109 2 2" xfId="20129"/>
    <cellStyle name="Обычный 4 2 2 109 2 2 2" xfId="52173"/>
    <cellStyle name="Обычный 4 2 2 109 2 3" xfId="30810"/>
    <cellStyle name="Обычный 4 2 2 109 2 3 2" xfId="62853"/>
    <cellStyle name="Обычный 4 2 2 109 2 4" xfId="41493"/>
    <cellStyle name="Обычный 4 2 2 109 3" xfId="14789"/>
    <cellStyle name="Обычный 4 2 2 109 3 2" xfId="46833"/>
    <cellStyle name="Обычный 4 2 2 109 4" xfId="25470"/>
    <cellStyle name="Обычный 4 2 2 109 4 2" xfId="57513"/>
    <cellStyle name="Обычный 4 2 2 109 5" xfId="36153"/>
    <cellStyle name="Обычный 4 2 2 11" xfId="1186"/>
    <cellStyle name="Обычный 4 2 2 11 2" xfId="6529"/>
    <cellStyle name="Обычный 4 2 2 11 2 2" xfId="17209"/>
    <cellStyle name="Обычный 4 2 2 11 2 2 2" xfId="49253"/>
    <cellStyle name="Обычный 4 2 2 11 2 3" xfId="27890"/>
    <cellStyle name="Обычный 4 2 2 11 2 3 2" xfId="59933"/>
    <cellStyle name="Обычный 4 2 2 11 2 4" xfId="38573"/>
    <cellStyle name="Обычный 4 2 2 11 3" xfId="11869"/>
    <cellStyle name="Обычный 4 2 2 11 3 2" xfId="43913"/>
    <cellStyle name="Обычный 4 2 2 11 4" xfId="22550"/>
    <cellStyle name="Обычный 4 2 2 11 4 2" xfId="54593"/>
    <cellStyle name="Обычный 4 2 2 11 5" xfId="33233"/>
    <cellStyle name="Обычный 4 2 2 110" xfId="4140"/>
    <cellStyle name="Обычный 4 2 2 110 2" xfId="9481"/>
    <cellStyle name="Обычный 4 2 2 110 2 2" xfId="20161"/>
    <cellStyle name="Обычный 4 2 2 110 2 2 2" xfId="52205"/>
    <cellStyle name="Обычный 4 2 2 110 2 3" xfId="30842"/>
    <cellStyle name="Обычный 4 2 2 110 2 3 2" xfId="62885"/>
    <cellStyle name="Обычный 4 2 2 110 2 4" xfId="41525"/>
    <cellStyle name="Обычный 4 2 2 110 3" xfId="14821"/>
    <cellStyle name="Обычный 4 2 2 110 3 2" xfId="46865"/>
    <cellStyle name="Обычный 4 2 2 110 4" xfId="25502"/>
    <cellStyle name="Обычный 4 2 2 110 4 2" xfId="57545"/>
    <cellStyle name="Обычный 4 2 2 110 5" xfId="36185"/>
    <cellStyle name="Обычный 4 2 2 111" xfId="4172"/>
    <cellStyle name="Обычный 4 2 2 111 2" xfId="9513"/>
    <cellStyle name="Обычный 4 2 2 111 2 2" xfId="20193"/>
    <cellStyle name="Обычный 4 2 2 111 2 2 2" xfId="52237"/>
    <cellStyle name="Обычный 4 2 2 111 2 3" xfId="30874"/>
    <cellStyle name="Обычный 4 2 2 111 2 3 2" xfId="62917"/>
    <cellStyle name="Обычный 4 2 2 111 2 4" xfId="41557"/>
    <cellStyle name="Обычный 4 2 2 111 3" xfId="14853"/>
    <cellStyle name="Обычный 4 2 2 111 3 2" xfId="46897"/>
    <cellStyle name="Обычный 4 2 2 111 4" xfId="25534"/>
    <cellStyle name="Обычный 4 2 2 111 4 2" xfId="57577"/>
    <cellStyle name="Обычный 4 2 2 111 5" xfId="36217"/>
    <cellStyle name="Обычный 4 2 2 112" xfId="4204"/>
    <cellStyle name="Обычный 4 2 2 112 2" xfId="9545"/>
    <cellStyle name="Обычный 4 2 2 112 2 2" xfId="20225"/>
    <cellStyle name="Обычный 4 2 2 112 2 2 2" xfId="52269"/>
    <cellStyle name="Обычный 4 2 2 112 2 3" xfId="30906"/>
    <cellStyle name="Обычный 4 2 2 112 2 3 2" xfId="62949"/>
    <cellStyle name="Обычный 4 2 2 112 2 4" xfId="41589"/>
    <cellStyle name="Обычный 4 2 2 112 3" xfId="14885"/>
    <cellStyle name="Обычный 4 2 2 112 3 2" xfId="46929"/>
    <cellStyle name="Обычный 4 2 2 112 4" xfId="25566"/>
    <cellStyle name="Обычный 4 2 2 112 4 2" xfId="57609"/>
    <cellStyle name="Обычный 4 2 2 112 5" xfId="36249"/>
    <cellStyle name="Обычный 4 2 2 113" xfId="4236"/>
    <cellStyle name="Обычный 4 2 2 113 2" xfId="9577"/>
    <cellStyle name="Обычный 4 2 2 113 2 2" xfId="20257"/>
    <cellStyle name="Обычный 4 2 2 113 2 2 2" xfId="52301"/>
    <cellStyle name="Обычный 4 2 2 113 2 3" xfId="30938"/>
    <cellStyle name="Обычный 4 2 2 113 2 3 2" xfId="62981"/>
    <cellStyle name="Обычный 4 2 2 113 2 4" xfId="41621"/>
    <cellStyle name="Обычный 4 2 2 113 3" xfId="14917"/>
    <cellStyle name="Обычный 4 2 2 113 3 2" xfId="46961"/>
    <cellStyle name="Обычный 4 2 2 113 4" xfId="25598"/>
    <cellStyle name="Обычный 4 2 2 113 4 2" xfId="57641"/>
    <cellStyle name="Обычный 4 2 2 113 5" xfId="36281"/>
    <cellStyle name="Обычный 4 2 2 114" xfId="4268"/>
    <cellStyle name="Обычный 4 2 2 114 2" xfId="9609"/>
    <cellStyle name="Обычный 4 2 2 114 2 2" xfId="20289"/>
    <cellStyle name="Обычный 4 2 2 114 2 2 2" xfId="52333"/>
    <cellStyle name="Обычный 4 2 2 114 2 3" xfId="30970"/>
    <cellStyle name="Обычный 4 2 2 114 2 3 2" xfId="63013"/>
    <cellStyle name="Обычный 4 2 2 114 2 4" xfId="41653"/>
    <cellStyle name="Обычный 4 2 2 114 3" xfId="14949"/>
    <cellStyle name="Обычный 4 2 2 114 3 2" xfId="46993"/>
    <cellStyle name="Обычный 4 2 2 114 4" xfId="25630"/>
    <cellStyle name="Обычный 4 2 2 114 4 2" xfId="57673"/>
    <cellStyle name="Обычный 4 2 2 114 5" xfId="36313"/>
    <cellStyle name="Обычный 4 2 2 115" xfId="4300"/>
    <cellStyle name="Обычный 4 2 2 115 2" xfId="9641"/>
    <cellStyle name="Обычный 4 2 2 115 2 2" xfId="20321"/>
    <cellStyle name="Обычный 4 2 2 115 2 2 2" xfId="52365"/>
    <cellStyle name="Обычный 4 2 2 115 2 3" xfId="31002"/>
    <cellStyle name="Обычный 4 2 2 115 2 3 2" xfId="63045"/>
    <cellStyle name="Обычный 4 2 2 115 2 4" xfId="41685"/>
    <cellStyle name="Обычный 4 2 2 115 3" xfId="14981"/>
    <cellStyle name="Обычный 4 2 2 115 3 2" xfId="47025"/>
    <cellStyle name="Обычный 4 2 2 115 4" xfId="25662"/>
    <cellStyle name="Обычный 4 2 2 115 4 2" xfId="57705"/>
    <cellStyle name="Обычный 4 2 2 115 5" xfId="36345"/>
    <cellStyle name="Обычный 4 2 2 116" xfId="4332"/>
    <cellStyle name="Обычный 4 2 2 116 2" xfId="9673"/>
    <cellStyle name="Обычный 4 2 2 116 2 2" xfId="20353"/>
    <cellStyle name="Обычный 4 2 2 116 2 2 2" xfId="52397"/>
    <cellStyle name="Обычный 4 2 2 116 2 3" xfId="31034"/>
    <cellStyle name="Обычный 4 2 2 116 2 3 2" xfId="63077"/>
    <cellStyle name="Обычный 4 2 2 116 2 4" xfId="41717"/>
    <cellStyle name="Обычный 4 2 2 116 3" xfId="15013"/>
    <cellStyle name="Обычный 4 2 2 116 3 2" xfId="47057"/>
    <cellStyle name="Обычный 4 2 2 116 4" xfId="25694"/>
    <cellStyle name="Обычный 4 2 2 116 4 2" xfId="57737"/>
    <cellStyle name="Обычный 4 2 2 116 5" xfId="36377"/>
    <cellStyle name="Обычный 4 2 2 117" xfId="4364"/>
    <cellStyle name="Обычный 4 2 2 117 2" xfId="9705"/>
    <cellStyle name="Обычный 4 2 2 117 2 2" xfId="20385"/>
    <cellStyle name="Обычный 4 2 2 117 2 2 2" xfId="52429"/>
    <cellStyle name="Обычный 4 2 2 117 2 3" xfId="31066"/>
    <cellStyle name="Обычный 4 2 2 117 2 3 2" xfId="63109"/>
    <cellStyle name="Обычный 4 2 2 117 2 4" xfId="41749"/>
    <cellStyle name="Обычный 4 2 2 117 3" xfId="15045"/>
    <cellStyle name="Обычный 4 2 2 117 3 2" xfId="47089"/>
    <cellStyle name="Обычный 4 2 2 117 4" xfId="25726"/>
    <cellStyle name="Обычный 4 2 2 117 4 2" xfId="57769"/>
    <cellStyle name="Обычный 4 2 2 117 5" xfId="36409"/>
    <cellStyle name="Обычный 4 2 2 118" xfId="4396"/>
    <cellStyle name="Обычный 4 2 2 118 2" xfId="9737"/>
    <cellStyle name="Обычный 4 2 2 118 2 2" xfId="20417"/>
    <cellStyle name="Обычный 4 2 2 118 2 2 2" xfId="52461"/>
    <cellStyle name="Обычный 4 2 2 118 2 3" xfId="31098"/>
    <cellStyle name="Обычный 4 2 2 118 2 3 2" xfId="63141"/>
    <cellStyle name="Обычный 4 2 2 118 2 4" xfId="41781"/>
    <cellStyle name="Обычный 4 2 2 118 3" xfId="15077"/>
    <cellStyle name="Обычный 4 2 2 118 3 2" xfId="47121"/>
    <cellStyle name="Обычный 4 2 2 118 4" xfId="25758"/>
    <cellStyle name="Обычный 4 2 2 118 4 2" xfId="57801"/>
    <cellStyle name="Обычный 4 2 2 118 5" xfId="36441"/>
    <cellStyle name="Обычный 4 2 2 119" xfId="4428"/>
    <cellStyle name="Обычный 4 2 2 119 2" xfId="9769"/>
    <cellStyle name="Обычный 4 2 2 119 2 2" xfId="20449"/>
    <cellStyle name="Обычный 4 2 2 119 2 2 2" xfId="52493"/>
    <cellStyle name="Обычный 4 2 2 119 2 3" xfId="31130"/>
    <cellStyle name="Обычный 4 2 2 119 2 3 2" xfId="63173"/>
    <cellStyle name="Обычный 4 2 2 119 2 4" xfId="41813"/>
    <cellStyle name="Обычный 4 2 2 119 3" xfId="15109"/>
    <cellStyle name="Обычный 4 2 2 119 3 2" xfId="47153"/>
    <cellStyle name="Обычный 4 2 2 119 4" xfId="25790"/>
    <cellStyle name="Обычный 4 2 2 119 4 2" xfId="57833"/>
    <cellStyle name="Обычный 4 2 2 119 5" xfId="36473"/>
    <cellStyle name="Обычный 4 2 2 12" xfId="1212"/>
    <cellStyle name="Обычный 4 2 2 12 2" xfId="6555"/>
    <cellStyle name="Обычный 4 2 2 12 2 2" xfId="17235"/>
    <cellStyle name="Обычный 4 2 2 12 2 2 2" xfId="49279"/>
    <cellStyle name="Обычный 4 2 2 12 2 3" xfId="27916"/>
    <cellStyle name="Обычный 4 2 2 12 2 3 2" xfId="59959"/>
    <cellStyle name="Обычный 4 2 2 12 2 4" xfId="38599"/>
    <cellStyle name="Обычный 4 2 2 12 3" xfId="11895"/>
    <cellStyle name="Обычный 4 2 2 12 3 2" xfId="43939"/>
    <cellStyle name="Обычный 4 2 2 12 4" xfId="22576"/>
    <cellStyle name="Обычный 4 2 2 12 4 2" xfId="54619"/>
    <cellStyle name="Обычный 4 2 2 12 5" xfId="33259"/>
    <cellStyle name="Обычный 4 2 2 120" xfId="4460"/>
    <cellStyle name="Обычный 4 2 2 120 2" xfId="9801"/>
    <cellStyle name="Обычный 4 2 2 120 2 2" xfId="20481"/>
    <cellStyle name="Обычный 4 2 2 120 2 2 2" xfId="52525"/>
    <cellStyle name="Обычный 4 2 2 120 2 3" xfId="31162"/>
    <cellStyle name="Обычный 4 2 2 120 2 3 2" xfId="63205"/>
    <cellStyle name="Обычный 4 2 2 120 2 4" xfId="41845"/>
    <cellStyle name="Обычный 4 2 2 120 3" xfId="15141"/>
    <cellStyle name="Обычный 4 2 2 120 3 2" xfId="47185"/>
    <cellStyle name="Обычный 4 2 2 120 4" xfId="25822"/>
    <cellStyle name="Обычный 4 2 2 120 4 2" xfId="57865"/>
    <cellStyle name="Обычный 4 2 2 120 5" xfId="36505"/>
    <cellStyle name="Обычный 4 2 2 121" xfId="4492"/>
    <cellStyle name="Обычный 4 2 2 121 2" xfId="9833"/>
    <cellStyle name="Обычный 4 2 2 121 2 2" xfId="20513"/>
    <cellStyle name="Обычный 4 2 2 121 2 2 2" xfId="52557"/>
    <cellStyle name="Обычный 4 2 2 121 2 3" xfId="31194"/>
    <cellStyle name="Обычный 4 2 2 121 2 3 2" xfId="63237"/>
    <cellStyle name="Обычный 4 2 2 121 2 4" xfId="41877"/>
    <cellStyle name="Обычный 4 2 2 121 3" xfId="15173"/>
    <cellStyle name="Обычный 4 2 2 121 3 2" xfId="47217"/>
    <cellStyle name="Обычный 4 2 2 121 4" xfId="25854"/>
    <cellStyle name="Обычный 4 2 2 121 4 2" xfId="57897"/>
    <cellStyle name="Обычный 4 2 2 121 5" xfId="36537"/>
    <cellStyle name="Обычный 4 2 2 122" xfId="4524"/>
    <cellStyle name="Обычный 4 2 2 122 2" xfId="9865"/>
    <cellStyle name="Обычный 4 2 2 122 2 2" xfId="20545"/>
    <cellStyle name="Обычный 4 2 2 122 2 2 2" xfId="52589"/>
    <cellStyle name="Обычный 4 2 2 122 2 3" xfId="31226"/>
    <cellStyle name="Обычный 4 2 2 122 2 3 2" xfId="63269"/>
    <cellStyle name="Обычный 4 2 2 122 2 4" xfId="41909"/>
    <cellStyle name="Обычный 4 2 2 122 3" xfId="15205"/>
    <cellStyle name="Обычный 4 2 2 122 3 2" xfId="47249"/>
    <cellStyle name="Обычный 4 2 2 122 4" xfId="25886"/>
    <cellStyle name="Обычный 4 2 2 122 4 2" xfId="57929"/>
    <cellStyle name="Обычный 4 2 2 122 5" xfId="36569"/>
    <cellStyle name="Обычный 4 2 2 123" xfId="4556"/>
    <cellStyle name="Обычный 4 2 2 123 2" xfId="9897"/>
    <cellStyle name="Обычный 4 2 2 123 2 2" xfId="20577"/>
    <cellStyle name="Обычный 4 2 2 123 2 2 2" xfId="52621"/>
    <cellStyle name="Обычный 4 2 2 123 2 3" xfId="31258"/>
    <cellStyle name="Обычный 4 2 2 123 2 3 2" xfId="63301"/>
    <cellStyle name="Обычный 4 2 2 123 2 4" xfId="41941"/>
    <cellStyle name="Обычный 4 2 2 123 3" xfId="15237"/>
    <cellStyle name="Обычный 4 2 2 123 3 2" xfId="47281"/>
    <cellStyle name="Обычный 4 2 2 123 4" xfId="25918"/>
    <cellStyle name="Обычный 4 2 2 123 4 2" xfId="57961"/>
    <cellStyle name="Обычный 4 2 2 123 5" xfId="36601"/>
    <cellStyle name="Обычный 4 2 2 124" xfId="4588"/>
    <cellStyle name="Обычный 4 2 2 124 2" xfId="9929"/>
    <cellStyle name="Обычный 4 2 2 124 2 2" xfId="20609"/>
    <cellStyle name="Обычный 4 2 2 124 2 2 2" xfId="52653"/>
    <cellStyle name="Обычный 4 2 2 124 2 3" xfId="31290"/>
    <cellStyle name="Обычный 4 2 2 124 2 3 2" xfId="63333"/>
    <cellStyle name="Обычный 4 2 2 124 2 4" xfId="41973"/>
    <cellStyle name="Обычный 4 2 2 124 3" xfId="15269"/>
    <cellStyle name="Обычный 4 2 2 124 3 2" xfId="47313"/>
    <cellStyle name="Обычный 4 2 2 124 4" xfId="25950"/>
    <cellStyle name="Обычный 4 2 2 124 4 2" xfId="57993"/>
    <cellStyle name="Обычный 4 2 2 124 5" xfId="36633"/>
    <cellStyle name="Обычный 4 2 2 125" xfId="4620"/>
    <cellStyle name="Обычный 4 2 2 125 2" xfId="9961"/>
    <cellStyle name="Обычный 4 2 2 125 2 2" xfId="20641"/>
    <cellStyle name="Обычный 4 2 2 125 2 2 2" xfId="52685"/>
    <cellStyle name="Обычный 4 2 2 125 2 3" xfId="31322"/>
    <cellStyle name="Обычный 4 2 2 125 2 3 2" xfId="63365"/>
    <cellStyle name="Обычный 4 2 2 125 2 4" xfId="42005"/>
    <cellStyle name="Обычный 4 2 2 125 3" xfId="15301"/>
    <cellStyle name="Обычный 4 2 2 125 3 2" xfId="47345"/>
    <cellStyle name="Обычный 4 2 2 125 4" xfId="25982"/>
    <cellStyle name="Обычный 4 2 2 125 4 2" xfId="58025"/>
    <cellStyle name="Обычный 4 2 2 125 5" xfId="36665"/>
    <cellStyle name="Обычный 4 2 2 126" xfId="4652"/>
    <cellStyle name="Обычный 4 2 2 126 2" xfId="9993"/>
    <cellStyle name="Обычный 4 2 2 126 2 2" xfId="20673"/>
    <cellStyle name="Обычный 4 2 2 126 2 2 2" xfId="52717"/>
    <cellStyle name="Обычный 4 2 2 126 2 3" xfId="31354"/>
    <cellStyle name="Обычный 4 2 2 126 2 3 2" xfId="63397"/>
    <cellStyle name="Обычный 4 2 2 126 2 4" xfId="42037"/>
    <cellStyle name="Обычный 4 2 2 126 3" xfId="15333"/>
    <cellStyle name="Обычный 4 2 2 126 3 2" xfId="47377"/>
    <cellStyle name="Обычный 4 2 2 126 4" xfId="26014"/>
    <cellStyle name="Обычный 4 2 2 126 4 2" xfId="58057"/>
    <cellStyle name="Обычный 4 2 2 126 5" xfId="36697"/>
    <cellStyle name="Обычный 4 2 2 127" xfId="4684"/>
    <cellStyle name="Обычный 4 2 2 127 2" xfId="10025"/>
    <cellStyle name="Обычный 4 2 2 127 2 2" xfId="20705"/>
    <cellStyle name="Обычный 4 2 2 127 2 2 2" xfId="52749"/>
    <cellStyle name="Обычный 4 2 2 127 2 3" xfId="31386"/>
    <cellStyle name="Обычный 4 2 2 127 2 3 2" xfId="63429"/>
    <cellStyle name="Обычный 4 2 2 127 2 4" xfId="42069"/>
    <cellStyle name="Обычный 4 2 2 127 3" xfId="15365"/>
    <cellStyle name="Обычный 4 2 2 127 3 2" xfId="47409"/>
    <cellStyle name="Обычный 4 2 2 127 4" xfId="26046"/>
    <cellStyle name="Обычный 4 2 2 127 4 2" xfId="58089"/>
    <cellStyle name="Обычный 4 2 2 127 5" xfId="36729"/>
    <cellStyle name="Обычный 4 2 2 128" xfId="4718"/>
    <cellStyle name="Обычный 4 2 2 128 2" xfId="10059"/>
    <cellStyle name="Обычный 4 2 2 128 2 2" xfId="20739"/>
    <cellStyle name="Обычный 4 2 2 128 2 2 2" xfId="52783"/>
    <cellStyle name="Обычный 4 2 2 128 2 3" xfId="31420"/>
    <cellStyle name="Обычный 4 2 2 128 2 3 2" xfId="63463"/>
    <cellStyle name="Обычный 4 2 2 128 2 4" xfId="42103"/>
    <cellStyle name="Обычный 4 2 2 128 3" xfId="15399"/>
    <cellStyle name="Обычный 4 2 2 128 3 2" xfId="47443"/>
    <cellStyle name="Обычный 4 2 2 128 4" xfId="26080"/>
    <cellStyle name="Обычный 4 2 2 128 4 2" xfId="58123"/>
    <cellStyle name="Обычный 4 2 2 128 5" xfId="36763"/>
    <cellStyle name="Обычный 4 2 2 129" xfId="4750"/>
    <cellStyle name="Обычный 4 2 2 129 2" xfId="10091"/>
    <cellStyle name="Обычный 4 2 2 129 2 2" xfId="20771"/>
    <cellStyle name="Обычный 4 2 2 129 2 2 2" xfId="52815"/>
    <cellStyle name="Обычный 4 2 2 129 2 3" xfId="31452"/>
    <cellStyle name="Обычный 4 2 2 129 2 3 2" xfId="63495"/>
    <cellStyle name="Обычный 4 2 2 129 2 4" xfId="42135"/>
    <cellStyle name="Обычный 4 2 2 129 3" xfId="15431"/>
    <cellStyle name="Обычный 4 2 2 129 3 2" xfId="47475"/>
    <cellStyle name="Обычный 4 2 2 129 4" xfId="26112"/>
    <cellStyle name="Обычный 4 2 2 129 4 2" xfId="58155"/>
    <cellStyle name="Обычный 4 2 2 129 5" xfId="36795"/>
    <cellStyle name="Обычный 4 2 2 13" xfId="1238"/>
    <cellStyle name="Обычный 4 2 2 13 2" xfId="6581"/>
    <cellStyle name="Обычный 4 2 2 13 2 2" xfId="17261"/>
    <cellStyle name="Обычный 4 2 2 13 2 2 2" xfId="49305"/>
    <cellStyle name="Обычный 4 2 2 13 2 3" xfId="27942"/>
    <cellStyle name="Обычный 4 2 2 13 2 3 2" xfId="59985"/>
    <cellStyle name="Обычный 4 2 2 13 2 4" xfId="38625"/>
    <cellStyle name="Обычный 4 2 2 13 3" xfId="11921"/>
    <cellStyle name="Обычный 4 2 2 13 3 2" xfId="43965"/>
    <cellStyle name="Обычный 4 2 2 13 4" xfId="22602"/>
    <cellStyle name="Обычный 4 2 2 13 4 2" xfId="54645"/>
    <cellStyle name="Обычный 4 2 2 13 5" xfId="33285"/>
    <cellStyle name="Обычный 4 2 2 130" xfId="4782"/>
    <cellStyle name="Обычный 4 2 2 130 2" xfId="10123"/>
    <cellStyle name="Обычный 4 2 2 130 2 2" xfId="20803"/>
    <cellStyle name="Обычный 4 2 2 130 2 2 2" xfId="52847"/>
    <cellStyle name="Обычный 4 2 2 130 2 3" xfId="31484"/>
    <cellStyle name="Обычный 4 2 2 130 2 3 2" xfId="63527"/>
    <cellStyle name="Обычный 4 2 2 130 2 4" xfId="42167"/>
    <cellStyle name="Обычный 4 2 2 130 3" xfId="15463"/>
    <cellStyle name="Обычный 4 2 2 130 3 2" xfId="47507"/>
    <cellStyle name="Обычный 4 2 2 130 4" xfId="26144"/>
    <cellStyle name="Обычный 4 2 2 130 4 2" xfId="58187"/>
    <cellStyle name="Обычный 4 2 2 130 5" xfId="36827"/>
    <cellStyle name="Обычный 4 2 2 131" xfId="4814"/>
    <cellStyle name="Обычный 4 2 2 131 2" xfId="10155"/>
    <cellStyle name="Обычный 4 2 2 131 2 2" xfId="20835"/>
    <cellStyle name="Обычный 4 2 2 131 2 2 2" xfId="52879"/>
    <cellStyle name="Обычный 4 2 2 131 2 3" xfId="31516"/>
    <cellStyle name="Обычный 4 2 2 131 2 3 2" xfId="63559"/>
    <cellStyle name="Обычный 4 2 2 131 2 4" xfId="42199"/>
    <cellStyle name="Обычный 4 2 2 131 3" xfId="15495"/>
    <cellStyle name="Обычный 4 2 2 131 3 2" xfId="47539"/>
    <cellStyle name="Обычный 4 2 2 131 4" xfId="26176"/>
    <cellStyle name="Обычный 4 2 2 131 4 2" xfId="58219"/>
    <cellStyle name="Обычный 4 2 2 131 5" xfId="36859"/>
    <cellStyle name="Обычный 4 2 2 132" xfId="4846"/>
    <cellStyle name="Обычный 4 2 2 132 2" xfId="10187"/>
    <cellStyle name="Обычный 4 2 2 132 2 2" xfId="20867"/>
    <cellStyle name="Обычный 4 2 2 132 2 2 2" xfId="52911"/>
    <cellStyle name="Обычный 4 2 2 132 2 3" xfId="31548"/>
    <cellStyle name="Обычный 4 2 2 132 2 3 2" xfId="63591"/>
    <cellStyle name="Обычный 4 2 2 132 2 4" xfId="42231"/>
    <cellStyle name="Обычный 4 2 2 132 3" xfId="15527"/>
    <cellStyle name="Обычный 4 2 2 132 3 2" xfId="47571"/>
    <cellStyle name="Обычный 4 2 2 132 4" xfId="26208"/>
    <cellStyle name="Обычный 4 2 2 132 4 2" xfId="58251"/>
    <cellStyle name="Обычный 4 2 2 132 5" xfId="36891"/>
    <cellStyle name="Обычный 4 2 2 133" xfId="4878"/>
    <cellStyle name="Обычный 4 2 2 133 2" xfId="10219"/>
    <cellStyle name="Обычный 4 2 2 133 2 2" xfId="20899"/>
    <cellStyle name="Обычный 4 2 2 133 2 2 2" xfId="52943"/>
    <cellStyle name="Обычный 4 2 2 133 2 3" xfId="31580"/>
    <cellStyle name="Обычный 4 2 2 133 2 3 2" xfId="63623"/>
    <cellStyle name="Обычный 4 2 2 133 2 4" xfId="42263"/>
    <cellStyle name="Обычный 4 2 2 133 3" xfId="15559"/>
    <cellStyle name="Обычный 4 2 2 133 3 2" xfId="47603"/>
    <cellStyle name="Обычный 4 2 2 133 4" xfId="26240"/>
    <cellStyle name="Обычный 4 2 2 133 4 2" xfId="58283"/>
    <cellStyle name="Обычный 4 2 2 133 5" xfId="36923"/>
    <cellStyle name="Обычный 4 2 2 134" xfId="4910"/>
    <cellStyle name="Обычный 4 2 2 134 2" xfId="10251"/>
    <cellStyle name="Обычный 4 2 2 134 2 2" xfId="20931"/>
    <cellStyle name="Обычный 4 2 2 134 2 2 2" xfId="52975"/>
    <cellStyle name="Обычный 4 2 2 134 2 3" xfId="31612"/>
    <cellStyle name="Обычный 4 2 2 134 2 3 2" xfId="63655"/>
    <cellStyle name="Обычный 4 2 2 134 2 4" xfId="42295"/>
    <cellStyle name="Обычный 4 2 2 134 3" xfId="15591"/>
    <cellStyle name="Обычный 4 2 2 134 3 2" xfId="47635"/>
    <cellStyle name="Обычный 4 2 2 134 4" xfId="26272"/>
    <cellStyle name="Обычный 4 2 2 134 4 2" xfId="58315"/>
    <cellStyle name="Обычный 4 2 2 134 5" xfId="36955"/>
    <cellStyle name="Обычный 4 2 2 135" xfId="4942"/>
    <cellStyle name="Обычный 4 2 2 135 2" xfId="10283"/>
    <cellStyle name="Обычный 4 2 2 135 2 2" xfId="20963"/>
    <cellStyle name="Обычный 4 2 2 135 2 2 2" xfId="53007"/>
    <cellStyle name="Обычный 4 2 2 135 2 3" xfId="31644"/>
    <cellStyle name="Обычный 4 2 2 135 2 3 2" xfId="63687"/>
    <cellStyle name="Обычный 4 2 2 135 2 4" xfId="42327"/>
    <cellStyle name="Обычный 4 2 2 135 3" xfId="15623"/>
    <cellStyle name="Обычный 4 2 2 135 3 2" xfId="47667"/>
    <cellStyle name="Обычный 4 2 2 135 4" xfId="26304"/>
    <cellStyle name="Обычный 4 2 2 135 4 2" xfId="58347"/>
    <cellStyle name="Обычный 4 2 2 135 5" xfId="36987"/>
    <cellStyle name="Обычный 4 2 2 136" xfId="4974"/>
    <cellStyle name="Обычный 4 2 2 136 2" xfId="10315"/>
    <cellStyle name="Обычный 4 2 2 136 2 2" xfId="20995"/>
    <cellStyle name="Обычный 4 2 2 136 2 2 2" xfId="53039"/>
    <cellStyle name="Обычный 4 2 2 136 2 3" xfId="31676"/>
    <cellStyle name="Обычный 4 2 2 136 2 3 2" xfId="63719"/>
    <cellStyle name="Обычный 4 2 2 136 2 4" xfId="42359"/>
    <cellStyle name="Обычный 4 2 2 136 3" xfId="15655"/>
    <cellStyle name="Обычный 4 2 2 136 3 2" xfId="47699"/>
    <cellStyle name="Обычный 4 2 2 136 4" xfId="26336"/>
    <cellStyle name="Обычный 4 2 2 136 4 2" xfId="58379"/>
    <cellStyle name="Обычный 4 2 2 136 5" xfId="37019"/>
    <cellStyle name="Обычный 4 2 2 137" xfId="5006"/>
    <cellStyle name="Обычный 4 2 2 137 2" xfId="10347"/>
    <cellStyle name="Обычный 4 2 2 137 2 2" xfId="21027"/>
    <cellStyle name="Обычный 4 2 2 137 2 2 2" xfId="53071"/>
    <cellStyle name="Обычный 4 2 2 137 2 3" xfId="31708"/>
    <cellStyle name="Обычный 4 2 2 137 2 3 2" xfId="63751"/>
    <cellStyle name="Обычный 4 2 2 137 2 4" xfId="42391"/>
    <cellStyle name="Обычный 4 2 2 137 3" xfId="15687"/>
    <cellStyle name="Обычный 4 2 2 137 3 2" xfId="47731"/>
    <cellStyle name="Обычный 4 2 2 137 4" xfId="26368"/>
    <cellStyle name="Обычный 4 2 2 137 4 2" xfId="58411"/>
    <cellStyle name="Обычный 4 2 2 137 5" xfId="37051"/>
    <cellStyle name="Обычный 4 2 2 138" xfId="5038"/>
    <cellStyle name="Обычный 4 2 2 138 2" xfId="10379"/>
    <cellStyle name="Обычный 4 2 2 138 2 2" xfId="21059"/>
    <cellStyle name="Обычный 4 2 2 138 2 2 2" xfId="53103"/>
    <cellStyle name="Обычный 4 2 2 138 2 3" xfId="31740"/>
    <cellStyle name="Обычный 4 2 2 138 2 3 2" xfId="63783"/>
    <cellStyle name="Обычный 4 2 2 138 2 4" xfId="42423"/>
    <cellStyle name="Обычный 4 2 2 138 3" xfId="15719"/>
    <cellStyle name="Обычный 4 2 2 138 3 2" xfId="47763"/>
    <cellStyle name="Обычный 4 2 2 138 4" xfId="26400"/>
    <cellStyle name="Обычный 4 2 2 138 4 2" xfId="58443"/>
    <cellStyle name="Обычный 4 2 2 138 5" xfId="37083"/>
    <cellStyle name="Обычный 4 2 2 139" xfId="5070"/>
    <cellStyle name="Обычный 4 2 2 139 2" xfId="10411"/>
    <cellStyle name="Обычный 4 2 2 139 2 2" xfId="21091"/>
    <cellStyle name="Обычный 4 2 2 139 2 2 2" xfId="53135"/>
    <cellStyle name="Обычный 4 2 2 139 2 3" xfId="31772"/>
    <cellStyle name="Обычный 4 2 2 139 2 3 2" xfId="63815"/>
    <cellStyle name="Обычный 4 2 2 139 2 4" xfId="42455"/>
    <cellStyle name="Обычный 4 2 2 139 3" xfId="15751"/>
    <cellStyle name="Обычный 4 2 2 139 3 2" xfId="47795"/>
    <cellStyle name="Обычный 4 2 2 139 4" xfId="26432"/>
    <cellStyle name="Обычный 4 2 2 139 4 2" xfId="58475"/>
    <cellStyle name="Обычный 4 2 2 139 5" xfId="37115"/>
    <cellStyle name="Обычный 4 2 2 14" xfId="1264"/>
    <cellStyle name="Обычный 4 2 2 14 2" xfId="6607"/>
    <cellStyle name="Обычный 4 2 2 14 2 2" xfId="17287"/>
    <cellStyle name="Обычный 4 2 2 14 2 2 2" xfId="49331"/>
    <cellStyle name="Обычный 4 2 2 14 2 3" xfId="27968"/>
    <cellStyle name="Обычный 4 2 2 14 2 3 2" xfId="60011"/>
    <cellStyle name="Обычный 4 2 2 14 2 4" xfId="38651"/>
    <cellStyle name="Обычный 4 2 2 14 3" xfId="11947"/>
    <cellStyle name="Обычный 4 2 2 14 3 2" xfId="43991"/>
    <cellStyle name="Обычный 4 2 2 14 4" xfId="22628"/>
    <cellStyle name="Обычный 4 2 2 14 4 2" xfId="54671"/>
    <cellStyle name="Обычный 4 2 2 14 5" xfId="33311"/>
    <cellStyle name="Обычный 4 2 2 140" xfId="5102"/>
    <cellStyle name="Обычный 4 2 2 140 2" xfId="10443"/>
    <cellStyle name="Обычный 4 2 2 140 2 2" xfId="21123"/>
    <cellStyle name="Обычный 4 2 2 140 2 2 2" xfId="53167"/>
    <cellStyle name="Обычный 4 2 2 140 2 3" xfId="31804"/>
    <cellStyle name="Обычный 4 2 2 140 2 3 2" xfId="63847"/>
    <cellStyle name="Обычный 4 2 2 140 2 4" xfId="42487"/>
    <cellStyle name="Обычный 4 2 2 140 3" xfId="15783"/>
    <cellStyle name="Обычный 4 2 2 140 3 2" xfId="47827"/>
    <cellStyle name="Обычный 4 2 2 140 4" xfId="26464"/>
    <cellStyle name="Обычный 4 2 2 140 4 2" xfId="58507"/>
    <cellStyle name="Обычный 4 2 2 140 5" xfId="37147"/>
    <cellStyle name="Обычный 4 2 2 141" xfId="5134"/>
    <cellStyle name="Обычный 4 2 2 141 2" xfId="10475"/>
    <cellStyle name="Обычный 4 2 2 141 2 2" xfId="21155"/>
    <cellStyle name="Обычный 4 2 2 141 2 2 2" xfId="53199"/>
    <cellStyle name="Обычный 4 2 2 141 2 3" xfId="31836"/>
    <cellStyle name="Обычный 4 2 2 141 2 3 2" xfId="63879"/>
    <cellStyle name="Обычный 4 2 2 141 2 4" xfId="42519"/>
    <cellStyle name="Обычный 4 2 2 141 3" xfId="15815"/>
    <cellStyle name="Обычный 4 2 2 141 3 2" xfId="47859"/>
    <cellStyle name="Обычный 4 2 2 141 4" xfId="26496"/>
    <cellStyle name="Обычный 4 2 2 141 4 2" xfId="58539"/>
    <cellStyle name="Обычный 4 2 2 141 5" xfId="37179"/>
    <cellStyle name="Обычный 4 2 2 142" xfId="5166"/>
    <cellStyle name="Обычный 4 2 2 142 2" xfId="10507"/>
    <cellStyle name="Обычный 4 2 2 142 2 2" xfId="21187"/>
    <cellStyle name="Обычный 4 2 2 142 2 2 2" xfId="53231"/>
    <cellStyle name="Обычный 4 2 2 142 2 3" xfId="31868"/>
    <cellStyle name="Обычный 4 2 2 142 2 3 2" xfId="63911"/>
    <cellStyle name="Обычный 4 2 2 142 2 4" xfId="42551"/>
    <cellStyle name="Обычный 4 2 2 142 3" xfId="15847"/>
    <cellStyle name="Обычный 4 2 2 142 3 2" xfId="47891"/>
    <cellStyle name="Обычный 4 2 2 142 4" xfId="26528"/>
    <cellStyle name="Обычный 4 2 2 142 4 2" xfId="58571"/>
    <cellStyle name="Обычный 4 2 2 142 5" xfId="37211"/>
    <cellStyle name="Обычный 4 2 2 143" xfId="5198"/>
    <cellStyle name="Обычный 4 2 2 143 2" xfId="10539"/>
    <cellStyle name="Обычный 4 2 2 143 2 2" xfId="21219"/>
    <cellStyle name="Обычный 4 2 2 143 2 2 2" xfId="53263"/>
    <cellStyle name="Обычный 4 2 2 143 2 3" xfId="31900"/>
    <cellStyle name="Обычный 4 2 2 143 2 3 2" xfId="63943"/>
    <cellStyle name="Обычный 4 2 2 143 2 4" xfId="42583"/>
    <cellStyle name="Обычный 4 2 2 143 3" xfId="15879"/>
    <cellStyle name="Обычный 4 2 2 143 3 2" xfId="47923"/>
    <cellStyle name="Обычный 4 2 2 143 4" xfId="26560"/>
    <cellStyle name="Обычный 4 2 2 143 4 2" xfId="58603"/>
    <cellStyle name="Обычный 4 2 2 143 5" xfId="37243"/>
    <cellStyle name="Обычный 4 2 2 144" xfId="5230"/>
    <cellStyle name="Обычный 4 2 2 144 2" xfId="10571"/>
    <cellStyle name="Обычный 4 2 2 144 2 2" xfId="21251"/>
    <cellStyle name="Обычный 4 2 2 144 2 2 2" xfId="53295"/>
    <cellStyle name="Обычный 4 2 2 144 2 3" xfId="31932"/>
    <cellStyle name="Обычный 4 2 2 144 2 3 2" xfId="63975"/>
    <cellStyle name="Обычный 4 2 2 144 2 4" xfId="42615"/>
    <cellStyle name="Обычный 4 2 2 144 3" xfId="15911"/>
    <cellStyle name="Обычный 4 2 2 144 3 2" xfId="47955"/>
    <cellStyle name="Обычный 4 2 2 144 4" xfId="26592"/>
    <cellStyle name="Обычный 4 2 2 144 4 2" xfId="58635"/>
    <cellStyle name="Обычный 4 2 2 144 5" xfId="37275"/>
    <cellStyle name="Обычный 4 2 2 145" xfId="5262"/>
    <cellStyle name="Обычный 4 2 2 145 2" xfId="10603"/>
    <cellStyle name="Обычный 4 2 2 145 2 2" xfId="21283"/>
    <cellStyle name="Обычный 4 2 2 145 2 2 2" xfId="53327"/>
    <cellStyle name="Обычный 4 2 2 145 2 3" xfId="31964"/>
    <cellStyle name="Обычный 4 2 2 145 2 3 2" xfId="64007"/>
    <cellStyle name="Обычный 4 2 2 145 2 4" xfId="42647"/>
    <cellStyle name="Обычный 4 2 2 145 3" xfId="15943"/>
    <cellStyle name="Обычный 4 2 2 145 3 2" xfId="47987"/>
    <cellStyle name="Обычный 4 2 2 145 4" xfId="26624"/>
    <cellStyle name="Обычный 4 2 2 145 4 2" xfId="58667"/>
    <cellStyle name="Обычный 4 2 2 145 5" xfId="37307"/>
    <cellStyle name="Обычный 4 2 2 146" xfId="5294"/>
    <cellStyle name="Обычный 4 2 2 146 2" xfId="10635"/>
    <cellStyle name="Обычный 4 2 2 146 2 2" xfId="21315"/>
    <cellStyle name="Обычный 4 2 2 146 2 2 2" xfId="53359"/>
    <cellStyle name="Обычный 4 2 2 146 2 3" xfId="31996"/>
    <cellStyle name="Обычный 4 2 2 146 2 3 2" xfId="64039"/>
    <cellStyle name="Обычный 4 2 2 146 2 4" xfId="42679"/>
    <cellStyle name="Обычный 4 2 2 146 3" xfId="15975"/>
    <cellStyle name="Обычный 4 2 2 146 3 2" xfId="48019"/>
    <cellStyle name="Обычный 4 2 2 146 4" xfId="26656"/>
    <cellStyle name="Обычный 4 2 2 146 4 2" xfId="58699"/>
    <cellStyle name="Обычный 4 2 2 146 5" xfId="37339"/>
    <cellStyle name="Обычный 4 2 2 147" xfId="5326"/>
    <cellStyle name="Обычный 4 2 2 147 2" xfId="10667"/>
    <cellStyle name="Обычный 4 2 2 147 2 2" xfId="21347"/>
    <cellStyle name="Обычный 4 2 2 147 2 2 2" xfId="53391"/>
    <cellStyle name="Обычный 4 2 2 147 2 3" xfId="32028"/>
    <cellStyle name="Обычный 4 2 2 147 2 3 2" xfId="64071"/>
    <cellStyle name="Обычный 4 2 2 147 2 4" xfId="42711"/>
    <cellStyle name="Обычный 4 2 2 147 3" xfId="16007"/>
    <cellStyle name="Обычный 4 2 2 147 3 2" xfId="48051"/>
    <cellStyle name="Обычный 4 2 2 147 4" xfId="26688"/>
    <cellStyle name="Обычный 4 2 2 147 4 2" xfId="58731"/>
    <cellStyle name="Обычный 4 2 2 147 5" xfId="37371"/>
    <cellStyle name="Обычный 4 2 2 148" xfId="5358"/>
    <cellStyle name="Обычный 4 2 2 148 2" xfId="10699"/>
    <cellStyle name="Обычный 4 2 2 148 2 2" xfId="21379"/>
    <cellStyle name="Обычный 4 2 2 148 2 2 2" xfId="53423"/>
    <cellStyle name="Обычный 4 2 2 148 2 3" xfId="32060"/>
    <cellStyle name="Обычный 4 2 2 148 2 3 2" xfId="64103"/>
    <cellStyle name="Обычный 4 2 2 148 2 4" xfId="42743"/>
    <cellStyle name="Обычный 4 2 2 148 3" xfId="16039"/>
    <cellStyle name="Обычный 4 2 2 148 3 2" xfId="48083"/>
    <cellStyle name="Обычный 4 2 2 148 4" xfId="26720"/>
    <cellStyle name="Обычный 4 2 2 148 4 2" xfId="58763"/>
    <cellStyle name="Обычный 4 2 2 148 5" xfId="37403"/>
    <cellStyle name="Обычный 4 2 2 149" xfId="5422"/>
    <cellStyle name="Обычный 4 2 2 149 2" xfId="16102"/>
    <cellStyle name="Обычный 4 2 2 149 2 2" xfId="48146"/>
    <cellStyle name="Обычный 4 2 2 149 3" xfId="26783"/>
    <cellStyle name="Обычный 4 2 2 149 3 2" xfId="58826"/>
    <cellStyle name="Обычный 4 2 2 149 4" xfId="37466"/>
    <cellStyle name="Обычный 4 2 2 15" xfId="1290"/>
    <cellStyle name="Обычный 4 2 2 15 2" xfId="6633"/>
    <cellStyle name="Обычный 4 2 2 15 2 2" xfId="17313"/>
    <cellStyle name="Обычный 4 2 2 15 2 2 2" xfId="49357"/>
    <cellStyle name="Обычный 4 2 2 15 2 3" xfId="27994"/>
    <cellStyle name="Обычный 4 2 2 15 2 3 2" xfId="60037"/>
    <cellStyle name="Обычный 4 2 2 15 2 4" xfId="38677"/>
    <cellStyle name="Обычный 4 2 2 15 3" xfId="11973"/>
    <cellStyle name="Обычный 4 2 2 15 3 2" xfId="44017"/>
    <cellStyle name="Обычный 4 2 2 15 4" xfId="22654"/>
    <cellStyle name="Обычный 4 2 2 15 4 2" xfId="54697"/>
    <cellStyle name="Обычный 4 2 2 15 5" xfId="33337"/>
    <cellStyle name="Обычный 4 2 2 150" xfId="10762"/>
    <cellStyle name="Обычный 4 2 2 150 2" xfId="42806"/>
    <cellStyle name="Обычный 4 2 2 151" xfId="21443"/>
    <cellStyle name="Обычный 4 2 2 151 2" xfId="53486"/>
    <cellStyle name="Обычный 4 2 2 152" xfId="32126"/>
    <cellStyle name="Обычный 4 2 2 16" xfId="1317"/>
    <cellStyle name="Обычный 4 2 2 16 2" xfId="6659"/>
    <cellStyle name="Обычный 4 2 2 16 2 2" xfId="17339"/>
    <cellStyle name="Обычный 4 2 2 16 2 2 2" xfId="49383"/>
    <cellStyle name="Обычный 4 2 2 16 2 3" xfId="28020"/>
    <cellStyle name="Обычный 4 2 2 16 2 3 2" xfId="60063"/>
    <cellStyle name="Обычный 4 2 2 16 2 4" xfId="38703"/>
    <cellStyle name="Обычный 4 2 2 16 3" xfId="11999"/>
    <cellStyle name="Обычный 4 2 2 16 3 2" xfId="44043"/>
    <cellStyle name="Обычный 4 2 2 16 4" xfId="22680"/>
    <cellStyle name="Обычный 4 2 2 16 4 2" xfId="54723"/>
    <cellStyle name="Обычный 4 2 2 16 5" xfId="33363"/>
    <cellStyle name="Обычный 4 2 2 17" xfId="1343"/>
    <cellStyle name="Обычный 4 2 2 17 2" xfId="6685"/>
    <cellStyle name="Обычный 4 2 2 17 2 2" xfId="17365"/>
    <cellStyle name="Обычный 4 2 2 17 2 2 2" xfId="49409"/>
    <cellStyle name="Обычный 4 2 2 17 2 3" xfId="28046"/>
    <cellStyle name="Обычный 4 2 2 17 2 3 2" xfId="60089"/>
    <cellStyle name="Обычный 4 2 2 17 2 4" xfId="38729"/>
    <cellStyle name="Обычный 4 2 2 17 3" xfId="12025"/>
    <cellStyle name="Обычный 4 2 2 17 3 2" xfId="44069"/>
    <cellStyle name="Обычный 4 2 2 17 4" xfId="22706"/>
    <cellStyle name="Обычный 4 2 2 17 4 2" xfId="54749"/>
    <cellStyle name="Обычный 4 2 2 17 5" xfId="33389"/>
    <cellStyle name="Обычный 4 2 2 18" xfId="1369"/>
    <cellStyle name="Обычный 4 2 2 18 2" xfId="6711"/>
    <cellStyle name="Обычный 4 2 2 18 2 2" xfId="17391"/>
    <cellStyle name="Обычный 4 2 2 18 2 2 2" xfId="49435"/>
    <cellStyle name="Обычный 4 2 2 18 2 3" xfId="28072"/>
    <cellStyle name="Обычный 4 2 2 18 2 3 2" xfId="60115"/>
    <cellStyle name="Обычный 4 2 2 18 2 4" xfId="38755"/>
    <cellStyle name="Обычный 4 2 2 18 3" xfId="12051"/>
    <cellStyle name="Обычный 4 2 2 18 3 2" xfId="44095"/>
    <cellStyle name="Обычный 4 2 2 18 4" xfId="22732"/>
    <cellStyle name="Обычный 4 2 2 18 4 2" xfId="54775"/>
    <cellStyle name="Обычный 4 2 2 18 5" xfId="33415"/>
    <cellStyle name="Обычный 4 2 2 19" xfId="1395"/>
    <cellStyle name="Обычный 4 2 2 19 2" xfId="6737"/>
    <cellStyle name="Обычный 4 2 2 19 2 2" xfId="17417"/>
    <cellStyle name="Обычный 4 2 2 19 2 2 2" xfId="49461"/>
    <cellStyle name="Обычный 4 2 2 19 2 3" xfId="28098"/>
    <cellStyle name="Обычный 4 2 2 19 2 3 2" xfId="60141"/>
    <cellStyle name="Обычный 4 2 2 19 2 4" xfId="38781"/>
    <cellStyle name="Обычный 4 2 2 19 3" xfId="12077"/>
    <cellStyle name="Обычный 4 2 2 19 3 2" xfId="44121"/>
    <cellStyle name="Обычный 4 2 2 19 4" xfId="22758"/>
    <cellStyle name="Обычный 4 2 2 19 4 2" xfId="54801"/>
    <cellStyle name="Обычный 4 2 2 19 5" xfId="33441"/>
    <cellStyle name="Обычный 4 2 2 2" xfId="546"/>
    <cellStyle name="Обычный 4 2 2 2 2" xfId="5889"/>
    <cellStyle name="Обычный 4 2 2 2 2 2" xfId="16569"/>
    <cellStyle name="Обычный 4 2 2 2 2 2 2" xfId="48613"/>
    <cellStyle name="Обычный 4 2 2 2 2 3" xfId="27250"/>
    <cellStyle name="Обычный 4 2 2 2 2 3 2" xfId="59293"/>
    <cellStyle name="Обычный 4 2 2 2 2 4" xfId="37933"/>
    <cellStyle name="Обычный 4 2 2 2 3" xfId="11229"/>
    <cellStyle name="Обычный 4 2 2 2 3 2" xfId="43273"/>
    <cellStyle name="Обычный 4 2 2 2 4" xfId="21910"/>
    <cellStyle name="Обычный 4 2 2 2 4 2" xfId="53953"/>
    <cellStyle name="Обычный 4 2 2 2 5" xfId="32593"/>
    <cellStyle name="Обычный 4 2 2 20" xfId="1421"/>
    <cellStyle name="Обычный 4 2 2 20 2" xfId="6763"/>
    <cellStyle name="Обычный 4 2 2 20 2 2" xfId="17443"/>
    <cellStyle name="Обычный 4 2 2 20 2 2 2" xfId="49487"/>
    <cellStyle name="Обычный 4 2 2 20 2 3" xfId="28124"/>
    <cellStyle name="Обычный 4 2 2 20 2 3 2" xfId="60167"/>
    <cellStyle name="Обычный 4 2 2 20 2 4" xfId="38807"/>
    <cellStyle name="Обычный 4 2 2 20 3" xfId="12103"/>
    <cellStyle name="Обычный 4 2 2 20 3 2" xfId="44147"/>
    <cellStyle name="Обычный 4 2 2 20 4" xfId="22784"/>
    <cellStyle name="Обычный 4 2 2 20 4 2" xfId="54827"/>
    <cellStyle name="Обычный 4 2 2 20 5" xfId="33467"/>
    <cellStyle name="Обычный 4 2 2 21" xfId="1447"/>
    <cellStyle name="Обычный 4 2 2 21 2" xfId="6789"/>
    <cellStyle name="Обычный 4 2 2 21 2 2" xfId="17469"/>
    <cellStyle name="Обычный 4 2 2 21 2 2 2" xfId="49513"/>
    <cellStyle name="Обычный 4 2 2 21 2 3" xfId="28150"/>
    <cellStyle name="Обычный 4 2 2 21 2 3 2" xfId="60193"/>
    <cellStyle name="Обычный 4 2 2 21 2 4" xfId="38833"/>
    <cellStyle name="Обычный 4 2 2 21 3" xfId="12129"/>
    <cellStyle name="Обычный 4 2 2 21 3 2" xfId="44173"/>
    <cellStyle name="Обычный 4 2 2 21 4" xfId="22810"/>
    <cellStyle name="Обычный 4 2 2 21 4 2" xfId="54853"/>
    <cellStyle name="Обычный 4 2 2 21 5" xfId="33493"/>
    <cellStyle name="Обычный 4 2 2 22" xfId="1473"/>
    <cellStyle name="Обычный 4 2 2 22 2" xfId="6815"/>
    <cellStyle name="Обычный 4 2 2 22 2 2" xfId="17495"/>
    <cellStyle name="Обычный 4 2 2 22 2 2 2" xfId="49539"/>
    <cellStyle name="Обычный 4 2 2 22 2 3" xfId="28176"/>
    <cellStyle name="Обычный 4 2 2 22 2 3 2" xfId="60219"/>
    <cellStyle name="Обычный 4 2 2 22 2 4" xfId="38859"/>
    <cellStyle name="Обычный 4 2 2 22 3" xfId="12155"/>
    <cellStyle name="Обычный 4 2 2 22 3 2" xfId="44199"/>
    <cellStyle name="Обычный 4 2 2 22 4" xfId="22836"/>
    <cellStyle name="Обычный 4 2 2 22 4 2" xfId="54879"/>
    <cellStyle name="Обычный 4 2 2 22 5" xfId="33519"/>
    <cellStyle name="Обычный 4 2 2 23" xfId="1499"/>
    <cellStyle name="Обычный 4 2 2 23 2" xfId="6841"/>
    <cellStyle name="Обычный 4 2 2 23 2 2" xfId="17521"/>
    <cellStyle name="Обычный 4 2 2 23 2 2 2" xfId="49565"/>
    <cellStyle name="Обычный 4 2 2 23 2 3" xfId="28202"/>
    <cellStyle name="Обычный 4 2 2 23 2 3 2" xfId="60245"/>
    <cellStyle name="Обычный 4 2 2 23 2 4" xfId="38885"/>
    <cellStyle name="Обычный 4 2 2 23 3" xfId="12181"/>
    <cellStyle name="Обычный 4 2 2 23 3 2" xfId="44225"/>
    <cellStyle name="Обычный 4 2 2 23 4" xfId="22862"/>
    <cellStyle name="Обычный 4 2 2 23 4 2" xfId="54905"/>
    <cellStyle name="Обычный 4 2 2 23 5" xfId="33545"/>
    <cellStyle name="Обычный 4 2 2 24" xfId="1525"/>
    <cellStyle name="Обычный 4 2 2 24 2" xfId="6867"/>
    <cellStyle name="Обычный 4 2 2 24 2 2" xfId="17547"/>
    <cellStyle name="Обычный 4 2 2 24 2 2 2" xfId="49591"/>
    <cellStyle name="Обычный 4 2 2 24 2 3" xfId="28228"/>
    <cellStyle name="Обычный 4 2 2 24 2 3 2" xfId="60271"/>
    <cellStyle name="Обычный 4 2 2 24 2 4" xfId="38911"/>
    <cellStyle name="Обычный 4 2 2 24 3" xfId="12207"/>
    <cellStyle name="Обычный 4 2 2 24 3 2" xfId="44251"/>
    <cellStyle name="Обычный 4 2 2 24 4" xfId="22888"/>
    <cellStyle name="Обычный 4 2 2 24 4 2" xfId="54931"/>
    <cellStyle name="Обычный 4 2 2 24 5" xfId="33571"/>
    <cellStyle name="Обычный 4 2 2 25" xfId="1551"/>
    <cellStyle name="Обычный 4 2 2 25 2" xfId="6893"/>
    <cellStyle name="Обычный 4 2 2 25 2 2" xfId="17573"/>
    <cellStyle name="Обычный 4 2 2 25 2 2 2" xfId="49617"/>
    <cellStyle name="Обычный 4 2 2 25 2 3" xfId="28254"/>
    <cellStyle name="Обычный 4 2 2 25 2 3 2" xfId="60297"/>
    <cellStyle name="Обычный 4 2 2 25 2 4" xfId="38937"/>
    <cellStyle name="Обычный 4 2 2 25 3" xfId="12233"/>
    <cellStyle name="Обычный 4 2 2 25 3 2" xfId="44277"/>
    <cellStyle name="Обычный 4 2 2 25 4" xfId="22914"/>
    <cellStyle name="Обычный 4 2 2 25 4 2" xfId="54957"/>
    <cellStyle name="Обычный 4 2 2 25 5" xfId="33597"/>
    <cellStyle name="Обычный 4 2 2 26" xfId="1577"/>
    <cellStyle name="Обычный 4 2 2 26 2" xfId="6919"/>
    <cellStyle name="Обычный 4 2 2 26 2 2" xfId="17599"/>
    <cellStyle name="Обычный 4 2 2 26 2 2 2" xfId="49643"/>
    <cellStyle name="Обычный 4 2 2 26 2 3" xfId="28280"/>
    <cellStyle name="Обычный 4 2 2 26 2 3 2" xfId="60323"/>
    <cellStyle name="Обычный 4 2 2 26 2 4" xfId="38963"/>
    <cellStyle name="Обычный 4 2 2 26 3" xfId="12259"/>
    <cellStyle name="Обычный 4 2 2 26 3 2" xfId="44303"/>
    <cellStyle name="Обычный 4 2 2 26 4" xfId="22940"/>
    <cellStyle name="Обычный 4 2 2 26 4 2" xfId="54983"/>
    <cellStyle name="Обычный 4 2 2 26 5" xfId="33623"/>
    <cellStyle name="Обычный 4 2 2 27" xfId="1603"/>
    <cellStyle name="Обычный 4 2 2 27 2" xfId="6945"/>
    <cellStyle name="Обычный 4 2 2 27 2 2" xfId="17625"/>
    <cellStyle name="Обычный 4 2 2 27 2 2 2" xfId="49669"/>
    <cellStyle name="Обычный 4 2 2 27 2 3" xfId="28306"/>
    <cellStyle name="Обычный 4 2 2 27 2 3 2" xfId="60349"/>
    <cellStyle name="Обычный 4 2 2 27 2 4" xfId="38989"/>
    <cellStyle name="Обычный 4 2 2 27 3" xfId="12285"/>
    <cellStyle name="Обычный 4 2 2 27 3 2" xfId="44329"/>
    <cellStyle name="Обычный 4 2 2 27 4" xfId="22966"/>
    <cellStyle name="Обычный 4 2 2 27 4 2" xfId="55009"/>
    <cellStyle name="Обычный 4 2 2 27 5" xfId="33649"/>
    <cellStyle name="Обычный 4 2 2 28" xfId="1629"/>
    <cellStyle name="Обычный 4 2 2 28 2" xfId="6971"/>
    <cellStyle name="Обычный 4 2 2 28 2 2" xfId="17651"/>
    <cellStyle name="Обычный 4 2 2 28 2 2 2" xfId="49695"/>
    <cellStyle name="Обычный 4 2 2 28 2 3" xfId="28332"/>
    <cellStyle name="Обычный 4 2 2 28 2 3 2" xfId="60375"/>
    <cellStyle name="Обычный 4 2 2 28 2 4" xfId="39015"/>
    <cellStyle name="Обычный 4 2 2 28 3" xfId="12311"/>
    <cellStyle name="Обычный 4 2 2 28 3 2" xfId="44355"/>
    <cellStyle name="Обычный 4 2 2 28 4" xfId="22992"/>
    <cellStyle name="Обычный 4 2 2 28 4 2" xfId="55035"/>
    <cellStyle name="Обычный 4 2 2 28 5" xfId="33675"/>
    <cellStyle name="Обычный 4 2 2 29" xfId="1655"/>
    <cellStyle name="Обычный 4 2 2 29 2" xfId="6997"/>
    <cellStyle name="Обычный 4 2 2 29 2 2" xfId="17677"/>
    <cellStyle name="Обычный 4 2 2 29 2 2 2" xfId="49721"/>
    <cellStyle name="Обычный 4 2 2 29 2 3" xfId="28358"/>
    <cellStyle name="Обычный 4 2 2 29 2 3 2" xfId="60401"/>
    <cellStyle name="Обычный 4 2 2 29 2 4" xfId="39041"/>
    <cellStyle name="Обычный 4 2 2 29 3" xfId="12337"/>
    <cellStyle name="Обычный 4 2 2 29 3 2" xfId="44381"/>
    <cellStyle name="Обычный 4 2 2 29 4" xfId="23018"/>
    <cellStyle name="Обычный 4 2 2 29 4 2" xfId="55061"/>
    <cellStyle name="Обычный 4 2 2 29 5" xfId="33701"/>
    <cellStyle name="Обычный 4 2 2 3" xfId="982"/>
    <cellStyle name="Обычный 4 2 2 3 2" xfId="6325"/>
    <cellStyle name="Обычный 4 2 2 3 2 2" xfId="17005"/>
    <cellStyle name="Обычный 4 2 2 3 2 2 2" xfId="49049"/>
    <cellStyle name="Обычный 4 2 2 3 2 3" xfId="27686"/>
    <cellStyle name="Обычный 4 2 2 3 2 3 2" xfId="59729"/>
    <cellStyle name="Обычный 4 2 2 3 2 4" xfId="38369"/>
    <cellStyle name="Обычный 4 2 2 3 3" xfId="11665"/>
    <cellStyle name="Обычный 4 2 2 3 3 2" xfId="43709"/>
    <cellStyle name="Обычный 4 2 2 3 4" xfId="22346"/>
    <cellStyle name="Обычный 4 2 2 3 4 2" xfId="54389"/>
    <cellStyle name="Обычный 4 2 2 3 5" xfId="33029"/>
    <cellStyle name="Обычный 4 2 2 30" xfId="1681"/>
    <cellStyle name="Обычный 4 2 2 30 2" xfId="7023"/>
    <cellStyle name="Обычный 4 2 2 30 2 2" xfId="17703"/>
    <cellStyle name="Обычный 4 2 2 30 2 2 2" xfId="49747"/>
    <cellStyle name="Обычный 4 2 2 30 2 3" xfId="28384"/>
    <cellStyle name="Обычный 4 2 2 30 2 3 2" xfId="60427"/>
    <cellStyle name="Обычный 4 2 2 30 2 4" xfId="39067"/>
    <cellStyle name="Обычный 4 2 2 30 3" xfId="12363"/>
    <cellStyle name="Обычный 4 2 2 30 3 2" xfId="44407"/>
    <cellStyle name="Обычный 4 2 2 30 4" xfId="23044"/>
    <cellStyle name="Обычный 4 2 2 30 4 2" xfId="55087"/>
    <cellStyle name="Обычный 4 2 2 30 5" xfId="33727"/>
    <cellStyle name="Обычный 4 2 2 31" xfId="1707"/>
    <cellStyle name="Обычный 4 2 2 31 2" xfId="7049"/>
    <cellStyle name="Обычный 4 2 2 31 2 2" xfId="17729"/>
    <cellStyle name="Обычный 4 2 2 31 2 2 2" xfId="49773"/>
    <cellStyle name="Обычный 4 2 2 31 2 3" xfId="28410"/>
    <cellStyle name="Обычный 4 2 2 31 2 3 2" xfId="60453"/>
    <cellStyle name="Обычный 4 2 2 31 2 4" xfId="39093"/>
    <cellStyle name="Обычный 4 2 2 31 3" xfId="12389"/>
    <cellStyle name="Обычный 4 2 2 31 3 2" xfId="44433"/>
    <cellStyle name="Обычный 4 2 2 31 4" xfId="23070"/>
    <cellStyle name="Обычный 4 2 2 31 4 2" xfId="55113"/>
    <cellStyle name="Обычный 4 2 2 31 5" xfId="33753"/>
    <cellStyle name="Обычный 4 2 2 32" xfId="1733"/>
    <cellStyle name="Обычный 4 2 2 32 2" xfId="7075"/>
    <cellStyle name="Обычный 4 2 2 32 2 2" xfId="17755"/>
    <cellStyle name="Обычный 4 2 2 32 2 2 2" xfId="49799"/>
    <cellStyle name="Обычный 4 2 2 32 2 3" xfId="28436"/>
    <cellStyle name="Обычный 4 2 2 32 2 3 2" xfId="60479"/>
    <cellStyle name="Обычный 4 2 2 32 2 4" xfId="39119"/>
    <cellStyle name="Обычный 4 2 2 32 3" xfId="12415"/>
    <cellStyle name="Обычный 4 2 2 32 3 2" xfId="44459"/>
    <cellStyle name="Обычный 4 2 2 32 4" xfId="23096"/>
    <cellStyle name="Обычный 4 2 2 32 4 2" xfId="55139"/>
    <cellStyle name="Обычный 4 2 2 32 5" xfId="33779"/>
    <cellStyle name="Обычный 4 2 2 33" xfId="1759"/>
    <cellStyle name="Обычный 4 2 2 33 2" xfId="7101"/>
    <cellStyle name="Обычный 4 2 2 33 2 2" xfId="17781"/>
    <cellStyle name="Обычный 4 2 2 33 2 2 2" xfId="49825"/>
    <cellStyle name="Обычный 4 2 2 33 2 3" xfId="28462"/>
    <cellStyle name="Обычный 4 2 2 33 2 3 2" xfId="60505"/>
    <cellStyle name="Обычный 4 2 2 33 2 4" xfId="39145"/>
    <cellStyle name="Обычный 4 2 2 33 3" xfId="12441"/>
    <cellStyle name="Обычный 4 2 2 33 3 2" xfId="44485"/>
    <cellStyle name="Обычный 4 2 2 33 4" xfId="23122"/>
    <cellStyle name="Обычный 4 2 2 33 4 2" xfId="55165"/>
    <cellStyle name="Обычный 4 2 2 33 5" xfId="33805"/>
    <cellStyle name="Обычный 4 2 2 34" xfId="1785"/>
    <cellStyle name="Обычный 4 2 2 34 2" xfId="7127"/>
    <cellStyle name="Обычный 4 2 2 34 2 2" xfId="17807"/>
    <cellStyle name="Обычный 4 2 2 34 2 2 2" xfId="49851"/>
    <cellStyle name="Обычный 4 2 2 34 2 3" xfId="28488"/>
    <cellStyle name="Обычный 4 2 2 34 2 3 2" xfId="60531"/>
    <cellStyle name="Обычный 4 2 2 34 2 4" xfId="39171"/>
    <cellStyle name="Обычный 4 2 2 34 3" xfId="12467"/>
    <cellStyle name="Обычный 4 2 2 34 3 2" xfId="44511"/>
    <cellStyle name="Обычный 4 2 2 34 4" xfId="23148"/>
    <cellStyle name="Обычный 4 2 2 34 4 2" xfId="55191"/>
    <cellStyle name="Обычный 4 2 2 34 5" xfId="33831"/>
    <cellStyle name="Обычный 4 2 2 35" xfId="1811"/>
    <cellStyle name="Обычный 4 2 2 35 2" xfId="7153"/>
    <cellStyle name="Обычный 4 2 2 35 2 2" xfId="17833"/>
    <cellStyle name="Обычный 4 2 2 35 2 2 2" xfId="49877"/>
    <cellStyle name="Обычный 4 2 2 35 2 3" xfId="28514"/>
    <cellStyle name="Обычный 4 2 2 35 2 3 2" xfId="60557"/>
    <cellStyle name="Обычный 4 2 2 35 2 4" xfId="39197"/>
    <cellStyle name="Обычный 4 2 2 35 3" xfId="12493"/>
    <cellStyle name="Обычный 4 2 2 35 3 2" xfId="44537"/>
    <cellStyle name="Обычный 4 2 2 35 4" xfId="23174"/>
    <cellStyle name="Обычный 4 2 2 35 4 2" xfId="55217"/>
    <cellStyle name="Обычный 4 2 2 35 5" xfId="33857"/>
    <cellStyle name="Обычный 4 2 2 36" xfId="1837"/>
    <cellStyle name="Обычный 4 2 2 36 2" xfId="7179"/>
    <cellStyle name="Обычный 4 2 2 36 2 2" xfId="17859"/>
    <cellStyle name="Обычный 4 2 2 36 2 2 2" xfId="49903"/>
    <cellStyle name="Обычный 4 2 2 36 2 3" xfId="28540"/>
    <cellStyle name="Обычный 4 2 2 36 2 3 2" xfId="60583"/>
    <cellStyle name="Обычный 4 2 2 36 2 4" xfId="39223"/>
    <cellStyle name="Обычный 4 2 2 36 3" xfId="12519"/>
    <cellStyle name="Обычный 4 2 2 36 3 2" xfId="44563"/>
    <cellStyle name="Обычный 4 2 2 36 4" xfId="23200"/>
    <cellStyle name="Обычный 4 2 2 36 4 2" xfId="55243"/>
    <cellStyle name="Обычный 4 2 2 36 5" xfId="33883"/>
    <cellStyle name="Обычный 4 2 2 37" xfId="1863"/>
    <cellStyle name="Обычный 4 2 2 37 2" xfId="7205"/>
    <cellStyle name="Обычный 4 2 2 37 2 2" xfId="17885"/>
    <cellStyle name="Обычный 4 2 2 37 2 2 2" xfId="49929"/>
    <cellStyle name="Обычный 4 2 2 37 2 3" xfId="28566"/>
    <cellStyle name="Обычный 4 2 2 37 2 3 2" xfId="60609"/>
    <cellStyle name="Обычный 4 2 2 37 2 4" xfId="39249"/>
    <cellStyle name="Обычный 4 2 2 37 3" xfId="12545"/>
    <cellStyle name="Обычный 4 2 2 37 3 2" xfId="44589"/>
    <cellStyle name="Обычный 4 2 2 37 4" xfId="23226"/>
    <cellStyle name="Обычный 4 2 2 37 4 2" xfId="55269"/>
    <cellStyle name="Обычный 4 2 2 37 5" xfId="33909"/>
    <cellStyle name="Обычный 4 2 2 38" xfId="1889"/>
    <cellStyle name="Обычный 4 2 2 38 2" xfId="7231"/>
    <cellStyle name="Обычный 4 2 2 38 2 2" xfId="17911"/>
    <cellStyle name="Обычный 4 2 2 38 2 2 2" xfId="49955"/>
    <cellStyle name="Обычный 4 2 2 38 2 3" xfId="28592"/>
    <cellStyle name="Обычный 4 2 2 38 2 3 2" xfId="60635"/>
    <cellStyle name="Обычный 4 2 2 38 2 4" xfId="39275"/>
    <cellStyle name="Обычный 4 2 2 38 3" xfId="12571"/>
    <cellStyle name="Обычный 4 2 2 38 3 2" xfId="44615"/>
    <cellStyle name="Обычный 4 2 2 38 4" xfId="23252"/>
    <cellStyle name="Обычный 4 2 2 38 4 2" xfId="55295"/>
    <cellStyle name="Обычный 4 2 2 38 5" xfId="33935"/>
    <cellStyle name="Обычный 4 2 2 39" xfId="1915"/>
    <cellStyle name="Обычный 4 2 2 39 2" xfId="7257"/>
    <cellStyle name="Обычный 4 2 2 39 2 2" xfId="17937"/>
    <cellStyle name="Обычный 4 2 2 39 2 2 2" xfId="49981"/>
    <cellStyle name="Обычный 4 2 2 39 2 3" xfId="28618"/>
    <cellStyle name="Обычный 4 2 2 39 2 3 2" xfId="60661"/>
    <cellStyle name="Обычный 4 2 2 39 2 4" xfId="39301"/>
    <cellStyle name="Обычный 4 2 2 39 3" xfId="12597"/>
    <cellStyle name="Обычный 4 2 2 39 3 2" xfId="44641"/>
    <cellStyle name="Обычный 4 2 2 39 4" xfId="23278"/>
    <cellStyle name="Обычный 4 2 2 39 4 2" xfId="55321"/>
    <cellStyle name="Обычный 4 2 2 39 5" xfId="33961"/>
    <cellStyle name="Обычный 4 2 2 4" xfId="1006"/>
    <cellStyle name="Обычный 4 2 2 4 2" xfId="6349"/>
    <cellStyle name="Обычный 4 2 2 4 2 2" xfId="17029"/>
    <cellStyle name="Обычный 4 2 2 4 2 2 2" xfId="49073"/>
    <cellStyle name="Обычный 4 2 2 4 2 3" xfId="27710"/>
    <cellStyle name="Обычный 4 2 2 4 2 3 2" xfId="59753"/>
    <cellStyle name="Обычный 4 2 2 4 2 4" xfId="38393"/>
    <cellStyle name="Обычный 4 2 2 4 3" xfId="11689"/>
    <cellStyle name="Обычный 4 2 2 4 3 2" xfId="43733"/>
    <cellStyle name="Обычный 4 2 2 4 4" xfId="22370"/>
    <cellStyle name="Обычный 4 2 2 4 4 2" xfId="54413"/>
    <cellStyle name="Обычный 4 2 2 4 5" xfId="33053"/>
    <cellStyle name="Обычный 4 2 2 40" xfId="1943"/>
    <cellStyle name="Обычный 4 2 2 40 2" xfId="7285"/>
    <cellStyle name="Обычный 4 2 2 40 2 2" xfId="17965"/>
    <cellStyle name="Обычный 4 2 2 40 2 2 2" xfId="50009"/>
    <cellStyle name="Обычный 4 2 2 40 2 3" xfId="28646"/>
    <cellStyle name="Обычный 4 2 2 40 2 3 2" xfId="60689"/>
    <cellStyle name="Обычный 4 2 2 40 2 4" xfId="39329"/>
    <cellStyle name="Обычный 4 2 2 40 3" xfId="12625"/>
    <cellStyle name="Обычный 4 2 2 40 3 2" xfId="44669"/>
    <cellStyle name="Обычный 4 2 2 40 4" xfId="23306"/>
    <cellStyle name="Обычный 4 2 2 40 4 2" xfId="55349"/>
    <cellStyle name="Обычный 4 2 2 40 5" xfId="33989"/>
    <cellStyle name="Обычный 4 2 2 41" xfId="1971"/>
    <cellStyle name="Обычный 4 2 2 41 2" xfId="7313"/>
    <cellStyle name="Обычный 4 2 2 41 2 2" xfId="17993"/>
    <cellStyle name="Обычный 4 2 2 41 2 2 2" xfId="50037"/>
    <cellStyle name="Обычный 4 2 2 41 2 3" xfId="28674"/>
    <cellStyle name="Обычный 4 2 2 41 2 3 2" xfId="60717"/>
    <cellStyle name="Обычный 4 2 2 41 2 4" xfId="39357"/>
    <cellStyle name="Обычный 4 2 2 41 3" xfId="12653"/>
    <cellStyle name="Обычный 4 2 2 41 3 2" xfId="44697"/>
    <cellStyle name="Обычный 4 2 2 41 4" xfId="23334"/>
    <cellStyle name="Обычный 4 2 2 41 4 2" xfId="55377"/>
    <cellStyle name="Обычный 4 2 2 41 5" xfId="34017"/>
    <cellStyle name="Обычный 4 2 2 42" xfId="1999"/>
    <cellStyle name="Обычный 4 2 2 42 2" xfId="7341"/>
    <cellStyle name="Обычный 4 2 2 42 2 2" xfId="18021"/>
    <cellStyle name="Обычный 4 2 2 42 2 2 2" xfId="50065"/>
    <cellStyle name="Обычный 4 2 2 42 2 3" xfId="28702"/>
    <cellStyle name="Обычный 4 2 2 42 2 3 2" xfId="60745"/>
    <cellStyle name="Обычный 4 2 2 42 2 4" xfId="39385"/>
    <cellStyle name="Обычный 4 2 2 42 3" xfId="12681"/>
    <cellStyle name="Обычный 4 2 2 42 3 2" xfId="44725"/>
    <cellStyle name="Обычный 4 2 2 42 4" xfId="23362"/>
    <cellStyle name="Обычный 4 2 2 42 4 2" xfId="55405"/>
    <cellStyle name="Обычный 4 2 2 42 5" xfId="34045"/>
    <cellStyle name="Обычный 4 2 2 43" xfId="2027"/>
    <cellStyle name="Обычный 4 2 2 43 2" xfId="7369"/>
    <cellStyle name="Обычный 4 2 2 43 2 2" xfId="18049"/>
    <cellStyle name="Обычный 4 2 2 43 2 2 2" xfId="50093"/>
    <cellStyle name="Обычный 4 2 2 43 2 3" xfId="28730"/>
    <cellStyle name="Обычный 4 2 2 43 2 3 2" xfId="60773"/>
    <cellStyle name="Обычный 4 2 2 43 2 4" xfId="39413"/>
    <cellStyle name="Обычный 4 2 2 43 3" xfId="12709"/>
    <cellStyle name="Обычный 4 2 2 43 3 2" xfId="44753"/>
    <cellStyle name="Обычный 4 2 2 43 4" xfId="23390"/>
    <cellStyle name="Обычный 4 2 2 43 4 2" xfId="55433"/>
    <cellStyle name="Обычный 4 2 2 43 5" xfId="34073"/>
    <cellStyle name="Обычный 4 2 2 44" xfId="2055"/>
    <cellStyle name="Обычный 4 2 2 44 2" xfId="7397"/>
    <cellStyle name="Обычный 4 2 2 44 2 2" xfId="18077"/>
    <cellStyle name="Обычный 4 2 2 44 2 2 2" xfId="50121"/>
    <cellStyle name="Обычный 4 2 2 44 2 3" xfId="28758"/>
    <cellStyle name="Обычный 4 2 2 44 2 3 2" xfId="60801"/>
    <cellStyle name="Обычный 4 2 2 44 2 4" xfId="39441"/>
    <cellStyle name="Обычный 4 2 2 44 3" xfId="12737"/>
    <cellStyle name="Обычный 4 2 2 44 3 2" xfId="44781"/>
    <cellStyle name="Обычный 4 2 2 44 4" xfId="23418"/>
    <cellStyle name="Обычный 4 2 2 44 4 2" xfId="55461"/>
    <cellStyle name="Обычный 4 2 2 44 5" xfId="34101"/>
    <cellStyle name="Обычный 4 2 2 45" xfId="2083"/>
    <cellStyle name="Обычный 4 2 2 45 2" xfId="7425"/>
    <cellStyle name="Обычный 4 2 2 45 2 2" xfId="18105"/>
    <cellStyle name="Обычный 4 2 2 45 2 2 2" xfId="50149"/>
    <cellStyle name="Обычный 4 2 2 45 2 3" xfId="28786"/>
    <cellStyle name="Обычный 4 2 2 45 2 3 2" xfId="60829"/>
    <cellStyle name="Обычный 4 2 2 45 2 4" xfId="39469"/>
    <cellStyle name="Обычный 4 2 2 45 3" xfId="12765"/>
    <cellStyle name="Обычный 4 2 2 45 3 2" xfId="44809"/>
    <cellStyle name="Обычный 4 2 2 45 4" xfId="23446"/>
    <cellStyle name="Обычный 4 2 2 45 4 2" xfId="55489"/>
    <cellStyle name="Обычный 4 2 2 45 5" xfId="34129"/>
    <cellStyle name="Обычный 4 2 2 46" xfId="2111"/>
    <cellStyle name="Обычный 4 2 2 46 2" xfId="7453"/>
    <cellStyle name="Обычный 4 2 2 46 2 2" xfId="18133"/>
    <cellStyle name="Обычный 4 2 2 46 2 2 2" xfId="50177"/>
    <cellStyle name="Обычный 4 2 2 46 2 3" xfId="28814"/>
    <cellStyle name="Обычный 4 2 2 46 2 3 2" xfId="60857"/>
    <cellStyle name="Обычный 4 2 2 46 2 4" xfId="39497"/>
    <cellStyle name="Обычный 4 2 2 46 3" xfId="12793"/>
    <cellStyle name="Обычный 4 2 2 46 3 2" xfId="44837"/>
    <cellStyle name="Обычный 4 2 2 46 4" xfId="23474"/>
    <cellStyle name="Обычный 4 2 2 46 4 2" xfId="55517"/>
    <cellStyle name="Обычный 4 2 2 46 5" xfId="34157"/>
    <cellStyle name="Обычный 4 2 2 47" xfId="2141"/>
    <cellStyle name="Обычный 4 2 2 47 2" xfId="7483"/>
    <cellStyle name="Обычный 4 2 2 47 2 2" xfId="18163"/>
    <cellStyle name="Обычный 4 2 2 47 2 2 2" xfId="50207"/>
    <cellStyle name="Обычный 4 2 2 47 2 3" xfId="28844"/>
    <cellStyle name="Обычный 4 2 2 47 2 3 2" xfId="60887"/>
    <cellStyle name="Обычный 4 2 2 47 2 4" xfId="39527"/>
    <cellStyle name="Обычный 4 2 2 47 3" xfId="12823"/>
    <cellStyle name="Обычный 4 2 2 47 3 2" xfId="44867"/>
    <cellStyle name="Обычный 4 2 2 47 4" xfId="23504"/>
    <cellStyle name="Обычный 4 2 2 47 4 2" xfId="55547"/>
    <cellStyle name="Обычный 4 2 2 47 5" xfId="34187"/>
    <cellStyle name="Обычный 4 2 2 48" xfId="2171"/>
    <cellStyle name="Обычный 4 2 2 48 2" xfId="7513"/>
    <cellStyle name="Обычный 4 2 2 48 2 2" xfId="18193"/>
    <cellStyle name="Обычный 4 2 2 48 2 2 2" xfId="50237"/>
    <cellStyle name="Обычный 4 2 2 48 2 3" xfId="28874"/>
    <cellStyle name="Обычный 4 2 2 48 2 3 2" xfId="60917"/>
    <cellStyle name="Обычный 4 2 2 48 2 4" xfId="39557"/>
    <cellStyle name="Обычный 4 2 2 48 3" xfId="12853"/>
    <cellStyle name="Обычный 4 2 2 48 3 2" xfId="44897"/>
    <cellStyle name="Обычный 4 2 2 48 4" xfId="23534"/>
    <cellStyle name="Обычный 4 2 2 48 4 2" xfId="55577"/>
    <cellStyle name="Обычный 4 2 2 48 5" xfId="34217"/>
    <cellStyle name="Обычный 4 2 2 49" xfId="2201"/>
    <cellStyle name="Обычный 4 2 2 49 2" xfId="7543"/>
    <cellStyle name="Обычный 4 2 2 49 2 2" xfId="18223"/>
    <cellStyle name="Обычный 4 2 2 49 2 2 2" xfId="50267"/>
    <cellStyle name="Обычный 4 2 2 49 2 3" xfId="28904"/>
    <cellStyle name="Обычный 4 2 2 49 2 3 2" xfId="60947"/>
    <cellStyle name="Обычный 4 2 2 49 2 4" xfId="39587"/>
    <cellStyle name="Обычный 4 2 2 49 3" xfId="12883"/>
    <cellStyle name="Обычный 4 2 2 49 3 2" xfId="44927"/>
    <cellStyle name="Обычный 4 2 2 49 4" xfId="23564"/>
    <cellStyle name="Обычный 4 2 2 49 4 2" xfId="55607"/>
    <cellStyle name="Обычный 4 2 2 49 5" xfId="34247"/>
    <cellStyle name="Обычный 4 2 2 5" xfId="1030"/>
    <cellStyle name="Обычный 4 2 2 5 2" xfId="6373"/>
    <cellStyle name="Обычный 4 2 2 5 2 2" xfId="17053"/>
    <cellStyle name="Обычный 4 2 2 5 2 2 2" xfId="49097"/>
    <cellStyle name="Обычный 4 2 2 5 2 3" xfId="27734"/>
    <cellStyle name="Обычный 4 2 2 5 2 3 2" xfId="59777"/>
    <cellStyle name="Обычный 4 2 2 5 2 4" xfId="38417"/>
    <cellStyle name="Обычный 4 2 2 5 3" xfId="11713"/>
    <cellStyle name="Обычный 4 2 2 5 3 2" xfId="43757"/>
    <cellStyle name="Обычный 4 2 2 5 4" xfId="22394"/>
    <cellStyle name="Обычный 4 2 2 5 4 2" xfId="54437"/>
    <cellStyle name="Обычный 4 2 2 5 5" xfId="33077"/>
    <cellStyle name="Обычный 4 2 2 50" xfId="2231"/>
    <cellStyle name="Обычный 4 2 2 50 2" xfId="7573"/>
    <cellStyle name="Обычный 4 2 2 50 2 2" xfId="18253"/>
    <cellStyle name="Обычный 4 2 2 50 2 2 2" xfId="50297"/>
    <cellStyle name="Обычный 4 2 2 50 2 3" xfId="28934"/>
    <cellStyle name="Обычный 4 2 2 50 2 3 2" xfId="60977"/>
    <cellStyle name="Обычный 4 2 2 50 2 4" xfId="39617"/>
    <cellStyle name="Обычный 4 2 2 50 3" xfId="12913"/>
    <cellStyle name="Обычный 4 2 2 50 3 2" xfId="44957"/>
    <cellStyle name="Обычный 4 2 2 50 4" xfId="23594"/>
    <cellStyle name="Обычный 4 2 2 50 4 2" xfId="55637"/>
    <cellStyle name="Обычный 4 2 2 50 5" xfId="34277"/>
    <cellStyle name="Обычный 4 2 2 51" xfId="2261"/>
    <cellStyle name="Обычный 4 2 2 51 2" xfId="7603"/>
    <cellStyle name="Обычный 4 2 2 51 2 2" xfId="18283"/>
    <cellStyle name="Обычный 4 2 2 51 2 2 2" xfId="50327"/>
    <cellStyle name="Обычный 4 2 2 51 2 3" xfId="28964"/>
    <cellStyle name="Обычный 4 2 2 51 2 3 2" xfId="61007"/>
    <cellStyle name="Обычный 4 2 2 51 2 4" xfId="39647"/>
    <cellStyle name="Обычный 4 2 2 51 3" xfId="12943"/>
    <cellStyle name="Обычный 4 2 2 51 3 2" xfId="44987"/>
    <cellStyle name="Обычный 4 2 2 51 4" xfId="23624"/>
    <cellStyle name="Обычный 4 2 2 51 4 2" xfId="55667"/>
    <cellStyle name="Обычный 4 2 2 51 5" xfId="34307"/>
    <cellStyle name="Обычный 4 2 2 52" xfId="2291"/>
    <cellStyle name="Обычный 4 2 2 52 2" xfId="7633"/>
    <cellStyle name="Обычный 4 2 2 52 2 2" xfId="18313"/>
    <cellStyle name="Обычный 4 2 2 52 2 2 2" xfId="50357"/>
    <cellStyle name="Обычный 4 2 2 52 2 3" xfId="28994"/>
    <cellStyle name="Обычный 4 2 2 52 2 3 2" xfId="61037"/>
    <cellStyle name="Обычный 4 2 2 52 2 4" xfId="39677"/>
    <cellStyle name="Обычный 4 2 2 52 3" xfId="12973"/>
    <cellStyle name="Обычный 4 2 2 52 3 2" xfId="45017"/>
    <cellStyle name="Обычный 4 2 2 52 4" xfId="23654"/>
    <cellStyle name="Обычный 4 2 2 52 4 2" xfId="55697"/>
    <cellStyle name="Обычный 4 2 2 52 5" xfId="34337"/>
    <cellStyle name="Обычный 4 2 2 53" xfId="2321"/>
    <cellStyle name="Обычный 4 2 2 53 2" xfId="7663"/>
    <cellStyle name="Обычный 4 2 2 53 2 2" xfId="18343"/>
    <cellStyle name="Обычный 4 2 2 53 2 2 2" xfId="50387"/>
    <cellStyle name="Обычный 4 2 2 53 2 3" xfId="29024"/>
    <cellStyle name="Обычный 4 2 2 53 2 3 2" xfId="61067"/>
    <cellStyle name="Обычный 4 2 2 53 2 4" xfId="39707"/>
    <cellStyle name="Обычный 4 2 2 53 3" xfId="13003"/>
    <cellStyle name="Обычный 4 2 2 53 3 2" xfId="45047"/>
    <cellStyle name="Обычный 4 2 2 53 4" xfId="23684"/>
    <cellStyle name="Обычный 4 2 2 53 4 2" xfId="55727"/>
    <cellStyle name="Обычный 4 2 2 53 5" xfId="34367"/>
    <cellStyle name="Обычный 4 2 2 54" xfId="2351"/>
    <cellStyle name="Обычный 4 2 2 54 2" xfId="7693"/>
    <cellStyle name="Обычный 4 2 2 54 2 2" xfId="18373"/>
    <cellStyle name="Обычный 4 2 2 54 2 2 2" xfId="50417"/>
    <cellStyle name="Обычный 4 2 2 54 2 3" xfId="29054"/>
    <cellStyle name="Обычный 4 2 2 54 2 3 2" xfId="61097"/>
    <cellStyle name="Обычный 4 2 2 54 2 4" xfId="39737"/>
    <cellStyle name="Обычный 4 2 2 54 3" xfId="13033"/>
    <cellStyle name="Обычный 4 2 2 54 3 2" xfId="45077"/>
    <cellStyle name="Обычный 4 2 2 54 4" xfId="23714"/>
    <cellStyle name="Обычный 4 2 2 54 4 2" xfId="55757"/>
    <cellStyle name="Обычный 4 2 2 54 5" xfId="34397"/>
    <cellStyle name="Обычный 4 2 2 55" xfId="2381"/>
    <cellStyle name="Обычный 4 2 2 55 2" xfId="7723"/>
    <cellStyle name="Обычный 4 2 2 55 2 2" xfId="18403"/>
    <cellStyle name="Обычный 4 2 2 55 2 2 2" xfId="50447"/>
    <cellStyle name="Обычный 4 2 2 55 2 3" xfId="29084"/>
    <cellStyle name="Обычный 4 2 2 55 2 3 2" xfId="61127"/>
    <cellStyle name="Обычный 4 2 2 55 2 4" xfId="39767"/>
    <cellStyle name="Обычный 4 2 2 55 3" xfId="13063"/>
    <cellStyle name="Обычный 4 2 2 55 3 2" xfId="45107"/>
    <cellStyle name="Обычный 4 2 2 55 4" xfId="23744"/>
    <cellStyle name="Обычный 4 2 2 55 4 2" xfId="55787"/>
    <cellStyle name="Обычный 4 2 2 55 5" xfId="34427"/>
    <cellStyle name="Обычный 4 2 2 56" xfId="2411"/>
    <cellStyle name="Обычный 4 2 2 56 2" xfId="7753"/>
    <cellStyle name="Обычный 4 2 2 56 2 2" xfId="18433"/>
    <cellStyle name="Обычный 4 2 2 56 2 2 2" xfId="50477"/>
    <cellStyle name="Обычный 4 2 2 56 2 3" xfId="29114"/>
    <cellStyle name="Обычный 4 2 2 56 2 3 2" xfId="61157"/>
    <cellStyle name="Обычный 4 2 2 56 2 4" xfId="39797"/>
    <cellStyle name="Обычный 4 2 2 56 3" xfId="13093"/>
    <cellStyle name="Обычный 4 2 2 56 3 2" xfId="45137"/>
    <cellStyle name="Обычный 4 2 2 56 4" xfId="23774"/>
    <cellStyle name="Обычный 4 2 2 56 4 2" xfId="55817"/>
    <cellStyle name="Обычный 4 2 2 56 5" xfId="34457"/>
    <cellStyle name="Обычный 4 2 2 57" xfId="2441"/>
    <cellStyle name="Обычный 4 2 2 57 2" xfId="7783"/>
    <cellStyle name="Обычный 4 2 2 57 2 2" xfId="18463"/>
    <cellStyle name="Обычный 4 2 2 57 2 2 2" xfId="50507"/>
    <cellStyle name="Обычный 4 2 2 57 2 3" xfId="29144"/>
    <cellStyle name="Обычный 4 2 2 57 2 3 2" xfId="61187"/>
    <cellStyle name="Обычный 4 2 2 57 2 4" xfId="39827"/>
    <cellStyle name="Обычный 4 2 2 57 3" xfId="13123"/>
    <cellStyle name="Обычный 4 2 2 57 3 2" xfId="45167"/>
    <cellStyle name="Обычный 4 2 2 57 4" xfId="23804"/>
    <cellStyle name="Обычный 4 2 2 57 4 2" xfId="55847"/>
    <cellStyle name="Обычный 4 2 2 57 5" xfId="34487"/>
    <cellStyle name="Обычный 4 2 2 58" xfId="2471"/>
    <cellStyle name="Обычный 4 2 2 58 2" xfId="7813"/>
    <cellStyle name="Обычный 4 2 2 58 2 2" xfId="18493"/>
    <cellStyle name="Обычный 4 2 2 58 2 2 2" xfId="50537"/>
    <cellStyle name="Обычный 4 2 2 58 2 3" xfId="29174"/>
    <cellStyle name="Обычный 4 2 2 58 2 3 2" xfId="61217"/>
    <cellStyle name="Обычный 4 2 2 58 2 4" xfId="39857"/>
    <cellStyle name="Обычный 4 2 2 58 3" xfId="13153"/>
    <cellStyle name="Обычный 4 2 2 58 3 2" xfId="45197"/>
    <cellStyle name="Обычный 4 2 2 58 4" xfId="23834"/>
    <cellStyle name="Обычный 4 2 2 58 4 2" xfId="55877"/>
    <cellStyle name="Обычный 4 2 2 58 5" xfId="34517"/>
    <cellStyle name="Обычный 4 2 2 59" xfId="2503"/>
    <cellStyle name="Обычный 4 2 2 59 2" xfId="7845"/>
    <cellStyle name="Обычный 4 2 2 59 2 2" xfId="18525"/>
    <cellStyle name="Обычный 4 2 2 59 2 2 2" xfId="50569"/>
    <cellStyle name="Обычный 4 2 2 59 2 3" xfId="29206"/>
    <cellStyle name="Обычный 4 2 2 59 2 3 2" xfId="61249"/>
    <cellStyle name="Обычный 4 2 2 59 2 4" xfId="39889"/>
    <cellStyle name="Обычный 4 2 2 59 3" xfId="13185"/>
    <cellStyle name="Обычный 4 2 2 59 3 2" xfId="45229"/>
    <cellStyle name="Обычный 4 2 2 59 4" xfId="23866"/>
    <cellStyle name="Обычный 4 2 2 59 4 2" xfId="55909"/>
    <cellStyle name="Обычный 4 2 2 59 5" xfId="34549"/>
    <cellStyle name="Обычный 4 2 2 6" xfId="1056"/>
    <cellStyle name="Обычный 4 2 2 6 2" xfId="6399"/>
    <cellStyle name="Обычный 4 2 2 6 2 2" xfId="17079"/>
    <cellStyle name="Обычный 4 2 2 6 2 2 2" xfId="49123"/>
    <cellStyle name="Обычный 4 2 2 6 2 3" xfId="27760"/>
    <cellStyle name="Обычный 4 2 2 6 2 3 2" xfId="59803"/>
    <cellStyle name="Обычный 4 2 2 6 2 4" xfId="38443"/>
    <cellStyle name="Обычный 4 2 2 6 3" xfId="11739"/>
    <cellStyle name="Обычный 4 2 2 6 3 2" xfId="43783"/>
    <cellStyle name="Обычный 4 2 2 6 4" xfId="22420"/>
    <cellStyle name="Обычный 4 2 2 6 4 2" xfId="54463"/>
    <cellStyle name="Обычный 4 2 2 6 5" xfId="33103"/>
    <cellStyle name="Обычный 4 2 2 60" xfId="2537"/>
    <cellStyle name="Обычный 4 2 2 60 2" xfId="7879"/>
    <cellStyle name="Обычный 4 2 2 60 2 2" xfId="18559"/>
    <cellStyle name="Обычный 4 2 2 60 2 2 2" xfId="50603"/>
    <cellStyle name="Обычный 4 2 2 60 2 3" xfId="29240"/>
    <cellStyle name="Обычный 4 2 2 60 2 3 2" xfId="61283"/>
    <cellStyle name="Обычный 4 2 2 60 2 4" xfId="39923"/>
    <cellStyle name="Обычный 4 2 2 60 3" xfId="13219"/>
    <cellStyle name="Обычный 4 2 2 60 3 2" xfId="45263"/>
    <cellStyle name="Обычный 4 2 2 60 4" xfId="23900"/>
    <cellStyle name="Обычный 4 2 2 60 4 2" xfId="55943"/>
    <cellStyle name="Обычный 4 2 2 60 5" xfId="34583"/>
    <cellStyle name="Обычный 4 2 2 61" xfId="2569"/>
    <cellStyle name="Обычный 4 2 2 61 2" xfId="7911"/>
    <cellStyle name="Обычный 4 2 2 61 2 2" xfId="18591"/>
    <cellStyle name="Обычный 4 2 2 61 2 2 2" xfId="50635"/>
    <cellStyle name="Обычный 4 2 2 61 2 3" xfId="29272"/>
    <cellStyle name="Обычный 4 2 2 61 2 3 2" xfId="61315"/>
    <cellStyle name="Обычный 4 2 2 61 2 4" xfId="39955"/>
    <cellStyle name="Обычный 4 2 2 61 3" xfId="13251"/>
    <cellStyle name="Обычный 4 2 2 61 3 2" xfId="45295"/>
    <cellStyle name="Обычный 4 2 2 61 4" xfId="23932"/>
    <cellStyle name="Обычный 4 2 2 61 4 2" xfId="55975"/>
    <cellStyle name="Обычный 4 2 2 61 5" xfId="34615"/>
    <cellStyle name="Обычный 4 2 2 62" xfId="2601"/>
    <cellStyle name="Обычный 4 2 2 62 2" xfId="7943"/>
    <cellStyle name="Обычный 4 2 2 62 2 2" xfId="18623"/>
    <cellStyle name="Обычный 4 2 2 62 2 2 2" xfId="50667"/>
    <cellStyle name="Обычный 4 2 2 62 2 3" xfId="29304"/>
    <cellStyle name="Обычный 4 2 2 62 2 3 2" xfId="61347"/>
    <cellStyle name="Обычный 4 2 2 62 2 4" xfId="39987"/>
    <cellStyle name="Обычный 4 2 2 62 3" xfId="13283"/>
    <cellStyle name="Обычный 4 2 2 62 3 2" xfId="45327"/>
    <cellStyle name="Обычный 4 2 2 62 4" xfId="23964"/>
    <cellStyle name="Обычный 4 2 2 62 4 2" xfId="56007"/>
    <cellStyle name="Обычный 4 2 2 62 5" xfId="34647"/>
    <cellStyle name="Обычный 4 2 2 63" xfId="2633"/>
    <cellStyle name="Обычный 4 2 2 63 2" xfId="7975"/>
    <cellStyle name="Обычный 4 2 2 63 2 2" xfId="18655"/>
    <cellStyle name="Обычный 4 2 2 63 2 2 2" xfId="50699"/>
    <cellStyle name="Обычный 4 2 2 63 2 3" xfId="29336"/>
    <cellStyle name="Обычный 4 2 2 63 2 3 2" xfId="61379"/>
    <cellStyle name="Обычный 4 2 2 63 2 4" xfId="40019"/>
    <cellStyle name="Обычный 4 2 2 63 3" xfId="13315"/>
    <cellStyle name="Обычный 4 2 2 63 3 2" xfId="45359"/>
    <cellStyle name="Обычный 4 2 2 63 4" xfId="23996"/>
    <cellStyle name="Обычный 4 2 2 63 4 2" xfId="56039"/>
    <cellStyle name="Обычный 4 2 2 63 5" xfId="34679"/>
    <cellStyle name="Обычный 4 2 2 64" xfId="2665"/>
    <cellStyle name="Обычный 4 2 2 64 2" xfId="8007"/>
    <cellStyle name="Обычный 4 2 2 64 2 2" xfId="18687"/>
    <cellStyle name="Обычный 4 2 2 64 2 2 2" xfId="50731"/>
    <cellStyle name="Обычный 4 2 2 64 2 3" xfId="29368"/>
    <cellStyle name="Обычный 4 2 2 64 2 3 2" xfId="61411"/>
    <cellStyle name="Обычный 4 2 2 64 2 4" xfId="40051"/>
    <cellStyle name="Обычный 4 2 2 64 3" xfId="13347"/>
    <cellStyle name="Обычный 4 2 2 64 3 2" xfId="45391"/>
    <cellStyle name="Обычный 4 2 2 64 4" xfId="24028"/>
    <cellStyle name="Обычный 4 2 2 64 4 2" xfId="56071"/>
    <cellStyle name="Обычный 4 2 2 64 5" xfId="34711"/>
    <cellStyle name="Обычный 4 2 2 65" xfId="2697"/>
    <cellStyle name="Обычный 4 2 2 65 2" xfId="8039"/>
    <cellStyle name="Обычный 4 2 2 65 2 2" xfId="18719"/>
    <cellStyle name="Обычный 4 2 2 65 2 2 2" xfId="50763"/>
    <cellStyle name="Обычный 4 2 2 65 2 3" xfId="29400"/>
    <cellStyle name="Обычный 4 2 2 65 2 3 2" xfId="61443"/>
    <cellStyle name="Обычный 4 2 2 65 2 4" xfId="40083"/>
    <cellStyle name="Обычный 4 2 2 65 3" xfId="13379"/>
    <cellStyle name="Обычный 4 2 2 65 3 2" xfId="45423"/>
    <cellStyle name="Обычный 4 2 2 65 4" xfId="24060"/>
    <cellStyle name="Обычный 4 2 2 65 4 2" xfId="56103"/>
    <cellStyle name="Обычный 4 2 2 65 5" xfId="34743"/>
    <cellStyle name="Обычный 4 2 2 66" xfId="2729"/>
    <cellStyle name="Обычный 4 2 2 66 2" xfId="8071"/>
    <cellStyle name="Обычный 4 2 2 66 2 2" xfId="18751"/>
    <cellStyle name="Обычный 4 2 2 66 2 2 2" xfId="50795"/>
    <cellStyle name="Обычный 4 2 2 66 2 3" xfId="29432"/>
    <cellStyle name="Обычный 4 2 2 66 2 3 2" xfId="61475"/>
    <cellStyle name="Обычный 4 2 2 66 2 4" xfId="40115"/>
    <cellStyle name="Обычный 4 2 2 66 3" xfId="13411"/>
    <cellStyle name="Обычный 4 2 2 66 3 2" xfId="45455"/>
    <cellStyle name="Обычный 4 2 2 66 4" xfId="24092"/>
    <cellStyle name="Обычный 4 2 2 66 4 2" xfId="56135"/>
    <cellStyle name="Обычный 4 2 2 66 5" xfId="34775"/>
    <cellStyle name="Обычный 4 2 2 67" xfId="2763"/>
    <cellStyle name="Обычный 4 2 2 67 2" xfId="8105"/>
    <cellStyle name="Обычный 4 2 2 67 2 2" xfId="18785"/>
    <cellStyle name="Обычный 4 2 2 67 2 2 2" xfId="50829"/>
    <cellStyle name="Обычный 4 2 2 67 2 3" xfId="29466"/>
    <cellStyle name="Обычный 4 2 2 67 2 3 2" xfId="61509"/>
    <cellStyle name="Обычный 4 2 2 67 2 4" xfId="40149"/>
    <cellStyle name="Обычный 4 2 2 67 3" xfId="13445"/>
    <cellStyle name="Обычный 4 2 2 67 3 2" xfId="45489"/>
    <cellStyle name="Обычный 4 2 2 67 4" xfId="24126"/>
    <cellStyle name="Обычный 4 2 2 67 4 2" xfId="56169"/>
    <cellStyle name="Обычный 4 2 2 67 5" xfId="34809"/>
    <cellStyle name="Обычный 4 2 2 68" xfId="2795"/>
    <cellStyle name="Обычный 4 2 2 68 2" xfId="8137"/>
    <cellStyle name="Обычный 4 2 2 68 2 2" xfId="18817"/>
    <cellStyle name="Обычный 4 2 2 68 2 2 2" xfId="50861"/>
    <cellStyle name="Обычный 4 2 2 68 2 3" xfId="29498"/>
    <cellStyle name="Обычный 4 2 2 68 2 3 2" xfId="61541"/>
    <cellStyle name="Обычный 4 2 2 68 2 4" xfId="40181"/>
    <cellStyle name="Обычный 4 2 2 68 3" xfId="13477"/>
    <cellStyle name="Обычный 4 2 2 68 3 2" xfId="45521"/>
    <cellStyle name="Обычный 4 2 2 68 4" xfId="24158"/>
    <cellStyle name="Обычный 4 2 2 68 4 2" xfId="56201"/>
    <cellStyle name="Обычный 4 2 2 68 5" xfId="34841"/>
    <cellStyle name="Обычный 4 2 2 69" xfId="2827"/>
    <cellStyle name="Обычный 4 2 2 69 2" xfId="8169"/>
    <cellStyle name="Обычный 4 2 2 69 2 2" xfId="18849"/>
    <cellStyle name="Обычный 4 2 2 69 2 2 2" xfId="50893"/>
    <cellStyle name="Обычный 4 2 2 69 2 3" xfId="29530"/>
    <cellStyle name="Обычный 4 2 2 69 2 3 2" xfId="61573"/>
    <cellStyle name="Обычный 4 2 2 69 2 4" xfId="40213"/>
    <cellStyle name="Обычный 4 2 2 69 3" xfId="13509"/>
    <cellStyle name="Обычный 4 2 2 69 3 2" xfId="45553"/>
    <cellStyle name="Обычный 4 2 2 69 4" xfId="24190"/>
    <cellStyle name="Обычный 4 2 2 69 4 2" xfId="56233"/>
    <cellStyle name="Обычный 4 2 2 69 5" xfId="34873"/>
    <cellStyle name="Обычный 4 2 2 7" xfId="1082"/>
    <cellStyle name="Обычный 4 2 2 7 2" xfId="6425"/>
    <cellStyle name="Обычный 4 2 2 7 2 2" xfId="17105"/>
    <cellStyle name="Обычный 4 2 2 7 2 2 2" xfId="49149"/>
    <cellStyle name="Обычный 4 2 2 7 2 3" xfId="27786"/>
    <cellStyle name="Обычный 4 2 2 7 2 3 2" xfId="59829"/>
    <cellStyle name="Обычный 4 2 2 7 2 4" xfId="38469"/>
    <cellStyle name="Обычный 4 2 2 7 3" xfId="11765"/>
    <cellStyle name="Обычный 4 2 2 7 3 2" xfId="43809"/>
    <cellStyle name="Обычный 4 2 2 7 4" xfId="22446"/>
    <cellStyle name="Обычный 4 2 2 7 4 2" xfId="54489"/>
    <cellStyle name="Обычный 4 2 2 7 5" xfId="33129"/>
    <cellStyle name="Обычный 4 2 2 70" xfId="2859"/>
    <cellStyle name="Обычный 4 2 2 70 2" xfId="8201"/>
    <cellStyle name="Обычный 4 2 2 70 2 2" xfId="18881"/>
    <cellStyle name="Обычный 4 2 2 70 2 2 2" xfId="50925"/>
    <cellStyle name="Обычный 4 2 2 70 2 3" xfId="29562"/>
    <cellStyle name="Обычный 4 2 2 70 2 3 2" xfId="61605"/>
    <cellStyle name="Обычный 4 2 2 70 2 4" xfId="40245"/>
    <cellStyle name="Обычный 4 2 2 70 3" xfId="13541"/>
    <cellStyle name="Обычный 4 2 2 70 3 2" xfId="45585"/>
    <cellStyle name="Обычный 4 2 2 70 4" xfId="24222"/>
    <cellStyle name="Обычный 4 2 2 70 4 2" xfId="56265"/>
    <cellStyle name="Обычный 4 2 2 70 5" xfId="34905"/>
    <cellStyle name="Обычный 4 2 2 71" xfId="2891"/>
    <cellStyle name="Обычный 4 2 2 71 2" xfId="8233"/>
    <cellStyle name="Обычный 4 2 2 71 2 2" xfId="18913"/>
    <cellStyle name="Обычный 4 2 2 71 2 2 2" xfId="50957"/>
    <cellStyle name="Обычный 4 2 2 71 2 3" xfId="29594"/>
    <cellStyle name="Обычный 4 2 2 71 2 3 2" xfId="61637"/>
    <cellStyle name="Обычный 4 2 2 71 2 4" xfId="40277"/>
    <cellStyle name="Обычный 4 2 2 71 3" xfId="13573"/>
    <cellStyle name="Обычный 4 2 2 71 3 2" xfId="45617"/>
    <cellStyle name="Обычный 4 2 2 71 4" xfId="24254"/>
    <cellStyle name="Обычный 4 2 2 71 4 2" xfId="56297"/>
    <cellStyle name="Обычный 4 2 2 71 5" xfId="34937"/>
    <cellStyle name="Обычный 4 2 2 72" xfId="2923"/>
    <cellStyle name="Обычный 4 2 2 72 2" xfId="8265"/>
    <cellStyle name="Обычный 4 2 2 72 2 2" xfId="18945"/>
    <cellStyle name="Обычный 4 2 2 72 2 2 2" xfId="50989"/>
    <cellStyle name="Обычный 4 2 2 72 2 3" xfId="29626"/>
    <cellStyle name="Обычный 4 2 2 72 2 3 2" xfId="61669"/>
    <cellStyle name="Обычный 4 2 2 72 2 4" xfId="40309"/>
    <cellStyle name="Обычный 4 2 2 72 3" xfId="13605"/>
    <cellStyle name="Обычный 4 2 2 72 3 2" xfId="45649"/>
    <cellStyle name="Обычный 4 2 2 72 4" xfId="24286"/>
    <cellStyle name="Обычный 4 2 2 72 4 2" xfId="56329"/>
    <cellStyle name="Обычный 4 2 2 72 5" xfId="34969"/>
    <cellStyle name="Обычный 4 2 2 73" xfId="2955"/>
    <cellStyle name="Обычный 4 2 2 73 2" xfId="8297"/>
    <cellStyle name="Обычный 4 2 2 73 2 2" xfId="18977"/>
    <cellStyle name="Обычный 4 2 2 73 2 2 2" xfId="51021"/>
    <cellStyle name="Обычный 4 2 2 73 2 3" xfId="29658"/>
    <cellStyle name="Обычный 4 2 2 73 2 3 2" xfId="61701"/>
    <cellStyle name="Обычный 4 2 2 73 2 4" xfId="40341"/>
    <cellStyle name="Обычный 4 2 2 73 3" xfId="13637"/>
    <cellStyle name="Обычный 4 2 2 73 3 2" xfId="45681"/>
    <cellStyle name="Обычный 4 2 2 73 4" xfId="24318"/>
    <cellStyle name="Обычный 4 2 2 73 4 2" xfId="56361"/>
    <cellStyle name="Обычный 4 2 2 73 5" xfId="35001"/>
    <cellStyle name="Обычный 4 2 2 74" xfId="2987"/>
    <cellStyle name="Обычный 4 2 2 74 2" xfId="8329"/>
    <cellStyle name="Обычный 4 2 2 74 2 2" xfId="19009"/>
    <cellStyle name="Обычный 4 2 2 74 2 2 2" xfId="51053"/>
    <cellStyle name="Обычный 4 2 2 74 2 3" xfId="29690"/>
    <cellStyle name="Обычный 4 2 2 74 2 3 2" xfId="61733"/>
    <cellStyle name="Обычный 4 2 2 74 2 4" xfId="40373"/>
    <cellStyle name="Обычный 4 2 2 74 3" xfId="13669"/>
    <cellStyle name="Обычный 4 2 2 74 3 2" xfId="45713"/>
    <cellStyle name="Обычный 4 2 2 74 4" xfId="24350"/>
    <cellStyle name="Обычный 4 2 2 74 4 2" xfId="56393"/>
    <cellStyle name="Обычный 4 2 2 74 5" xfId="35033"/>
    <cellStyle name="Обычный 4 2 2 75" xfId="3019"/>
    <cellStyle name="Обычный 4 2 2 75 2" xfId="8361"/>
    <cellStyle name="Обычный 4 2 2 75 2 2" xfId="19041"/>
    <cellStyle name="Обычный 4 2 2 75 2 2 2" xfId="51085"/>
    <cellStyle name="Обычный 4 2 2 75 2 3" xfId="29722"/>
    <cellStyle name="Обычный 4 2 2 75 2 3 2" xfId="61765"/>
    <cellStyle name="Обычный 4 2 2 75 2 4" xfId="40405"/>
    <cellStyle name="Обычный 4 2 2 75 3" xfId="13701"/>
    <cellStyle name="Обычный 4 2 2 75 3 2" xfId="45745"/>
    <cellStyle name="Обычный 4 2 2 75 4" xfId="24382"/>
    <cellStyle name="Обычный 4 2 2 75 4 2" xfId="56425"/>
    <cellStyle name="Обычный 4 2 2 75 5" xfId="35065"/>
    <cellStyle name="Обычный 4 2 2 76" xfId="3051"/>
    <cellStyle name="Обычный 4 2 2 76 2" xfId="8393"/>
    <cellStyle name="Обычный 4 2 2 76 2 2" xfId="19073"/>
    <cellStyle name="Обычный 4 2 2 76 2 2 2" xfId="51117"/>
    <cellStyle name="Обычный 4 2 2 76 2 3" xfId="29754"/>
    <cellStyle name="Обычный 4 2 2 76 2 3 2" xfId="61797"/>
    <cellStyle name="Обычный 4 2 2 76 2 4" xfId="40437"/>
    <cellStyle name="Обычный 4 2 2 76 3" xfId="13733"/>
    <cellStyle name="Обычный 4 2 2 76 3 2" xfId="45777"/>
    <cellStyle name="Обычный 4 2 2 76 4" xfId="24414"/>
    <cellStyle name="Обычный 4 2 2 76 4 2" xfId="56457"/>
    <cellStyle name="Обычный 4 2 2 76 5" xfId="35097"/>
    <cellStyle name="Обычный 4 2 2 77" xfId="3083"/>
    <cellStyle name="Обычный 4 2 2 77 2" xfId="8425"/>
    <cellStyle name="Обычный 4 2 2 77 2 2" xfId="19105"/>
    <cellStyle name="Обычный 4 2 2 77 2 2 2" xfId="51149"/>
    <cellStyle name="Обычный 4 2 2 77 2 3" xfId="29786"/>
    <cellStyle name="Обычный 4 2 2 77 2 3 2" xfId="61829"/>
    <cellStyle name="Обычный 4 2 2 77 2 4" xfId="40469"/>
    <cellStyle name="Обычный 4 2 2 77 3" xfId="13765"/>
    <cellStyle name="Обычный 4 2 2 77 3 2" xfId="45809"/>
    <cellStyle name="Обычный 4 2 2 77 4" xfId="24446"/>
    <cellStyle name="Обычный 4 2 2 77 4 2" xfId="56489"/>
    <cellStyle name="Обычный 4 2 2 77 5" xfId="35129"/>
    <cellStyle name="Обычный 4 2 2 78" xfId="3116"/>
    <cellStyle name="Обычный 4 2 2 78 2" xfId="8457"/>
    <cellStyle name="Обычный 4 2 2 78 2 2" xfId="19137"/>
    <cellStyle name="Обычный 4 2 2 78 2 2 2" xfId="51181"/>
    <cellStyle name="Обычный 4 2 2 78 2 3" xfId="29818"/>
    <cellStyle name="Обычный 4 2 2 78 2 3 2" xfId="61861"/>
    <cellStyle name="Обычный 4 2 2 78 2 4" xfId="40501"/>
    <cellStyle name="Обычный 4 2 2 78 3" xfId="13797"/>
    <cellStyle name="Обычный 4 2 2 78 3 2" xfId="45841"/>
    <cellStyle name="Обычный 4 2 2 78 4" xfId="24478"/>
    <cellStyle name="Обычный 4 2 2 78 4 2" xfId="56521"/>
    <cellStyle name="Обычный 4 2 2 78 5" xfId="35161"/>
    <cellStyle name="Обычный 4 2 2 79" xfId="3148"/>
    <cellStyle name="Обычный 4 2 2 79 2" xfId="8489"/>
    <cellStyle name="Обычный 4 2 2 79 2 2" xfId="19169"/>
    <cellStyle name="Обычный 4 2 2 79 2 2 2" xfId="51213"/>
    <cellStyle name="Обычный 4 2 2 79 2 3" xfId="29850"/>
    <cellStyle name="Обычный 4 2 2 79 2 3 2" xfId="61893"/>
    <cellStyle name="Обычный 4 2 2 79 2 4" xfId="40533"/>
    <cellStyle name="Обычный 4 2 2 79 3" xfId="13829"/>
    <cellStyle name="Обычный 4 2 2 79 3 2" xfId="45873"/>
    <cellStyle name="Обычный 4 2 2 79 4" xfId="24510"/>
    <cellStyle name="Обычный 4 2 2 79 4 2" xfId="56553"/>
    <cellStyle name="Обычный 4 2 2 79 5" xfId="35193"/>
    <cellStyle name="Обычный 4 2 2 8" xfId="1108"/>
    <cellStyle name="Обычный 4 2 2 8 2" xfId="6451"/>
    <cellStyle name="Обычный 4 2 2 8 2 2" xfId="17131"/>
    <cellStyle name="Обычный 4 2 2 8 2 2 2" xfId="49175"/>
    <cellStyle name="Обычный 4 2 2 8 2 3" xfId="27812"/>
    <cellStyle name="Обычный 4 2 2 8 2 3 2" xfId="59855"/>
    <cellStyle name="Обычный 4 2 2 8 2 4" xfId="38495"/>
    <cellStyle name="Обычный 4 2 2 8 3" xfId="11791"/>
    <cellStyle name="Обычный 4 2 2 8 3 2" xfId="43835"/>
    <cellStyle name="Обычный 4 2 2 8 4" xfId="22472"/>
    <cellStyle name="Обычный 4 2 2 8 4 2" xfId="54515"/>
    <cellStyle name="Обычный 4 2 2 8 5" xfId="33155"/>
    <cellStyle name="Обычный 4 2 2 80" xfId="3180"/>
    <cellStyle name="Обычный 4 2 2 80 2" xfId="8521"/>
    <cellStyle name="Обычный 4 2 2 80 2 2" xfId="19201"/>
    <cellStyle name="Обычный 4 2 2 80 2 2 2" xfId="51245"/>
    <cellStyle name="Обычный 4 2 2 80 2 3" xfId="29882"/>
    <cellStyle name="Обычный 4 2 2 80 2 3 2" xfId="61925"/>
    <cellStyle name="Обычный 4 2 2 80 2 4" xfId="40565"/>
    <cellStyle name="Обычный 4 2 2 80 3" xfId="13861"/>
    <cellStyle name="Обычный 4 2 2 80 3 2" xfId="45905"/>
    <cellStyle name="Обычный 4 2 2 80 4" xfId="24542"/>
    <cellStyle name="Обычный 4 2 2 80 4 2" xfId="56585"/>
    <cellStyle name="Обычный 4 2 2 80 5" xfId="35225"/>
    <cellStyle name="Обычный 4 2 2 81" xfId="3212"/>
    <cellStyle name="Обычный 4 2 2 81 2" xfId="8553"/>
    <cellStyle name="Обычный 4 2 2 81 2 2" xfId="19233"/>
    <cellStyle name="Обычный 4 2 2 81 2 2 2" xfId="51277"/>
    <cellStyle name="Обычный 4 2 2 81 2 3" xfId="29914"/>
    <cellStyle name="Обычный 4 2 2 81 2 3 2" xfId="61957"/>
    <cellStyle name="Обычный 4 2 2 81 2 4" xfId="40597"/>
    <cellStyle name="Обычный 4 2 2 81 3" xfId="13893"/>
    <cellStyle name="Обычный 4 2 2 81 3 2" xfId="45937"/>
    <cellStyle name="Обычный 4 2 2 81 4" xfId="24574"/>
    <cellStyle name="Обычный 4 2 2 81 4 2" xfId="56617"/>
    <cellStyle name="Обычный 4 2 2 81 5" xfId="35257"/>
    <cellStyle name="Обычный 4 2 2 82" xfId="3244"/>
    <cellStyle name="Обычный 4 2 2 82 2" xfId="8585"/>
    <cellStyle name="Обычный 4 2 2 82 2 2" xfId="19265"/>
    <cellStyle name="Обычный 4 2 2 82 2 2 2" xfId="51309"/>
    <cellStyle name="Обычный 4 2 2 82 2 3" xfId="29946"/>
    <cellStyle name="Обычный 4 2 2 82 2 3 2" xfId="61989"/>
    <cellStyle name="Обычный 4 2 2 82 2 4" xfId="40629"/>
    <cellStyle name="Обычный 4 2 2 82 3" xfId="13925"/>
    <cellStyle name="Обычный 4 2 2 82 3 2" xfId="45969"/>
    <cellStyle name="Обычный 4 2 2 82 4" xfId="24606"/>
    <cellStyle name="Обычный 4 2 2 82 4 2" xfId="56649"/>
    <cellStyle name="Обычный 4 2 2 82 5" xfId="35289"/>
    <cellStyle name="Обычный 4 2 2 83" xfId="3276"/>
    <cellStyle name="Обычный 4 2 2 83 2" xfId="8617"/>
    <cellStyle name="Обычный 4 2 2 83 2 2" xfId="19297"/>
    <cellStyle name="Обычный 4 2 2 83 2 2 2" xfId="51341"/>
    <cellStyle name="Обычный 4 2 2 83 2 3" xfId="29978"/>
    <cellStyle name="Обычный 4 2 2 83 2 3 2" xfId="62021"/>
    <cellStyle name="Обычный 4 2 2 83 2 4" xfId="40661"/>
    <cellStyle name="Обычный 4 2 2 83 3" xfId="13957"/>
    <cellStyle name="Обычный 4 2 2 83 3 2" xfId="46001"/>
    <cellStyle name="Обычный 4 2 2 83 4" xfId="24638"/>
    <cellStyle name="Обычный 4 2 2 83 4 2" xfId="56681"/>
    <cellStyle name="Обычный 4 2 2 83 5" xfId="35321"/>
    <cellStyle name="Обычный 4 2 2 84" xfId="3308"/>
    <cellStyle name="Обычный 4 2 2 84 2" xfId="8649"/>
    <cellStyle name="Обычный 4 2 2 84 2 2" xfId="19329"/>
    <cellStyle name="Обычный 4 2 2 84 2 2 2" xfId="51373"/>
    <cellStyle name="Обычный 4 2 2 84 2 3" xfId="30010"/>
    <cellStyle name="Обычный 4 2 2 84 2 3 2" xfId="62053"/>
    <cellStyle name="Обычный 4 2 2 84 2 4" xfId="40693"/>
    <cellStyle name="Обычный 4 2 2 84 3" xfId="13989"/>
    <cellStyle name="Обычный 4 2 2 84 3 2" xfId="46033"/>
    <cellStyle name="Обычный 4 2 2 84 4" xfId="24670"/>
    <cellStyle name="Обычный 4 2 2 84 4 2" xfId="56713"/>
    <cellStyle name="Обычный 4 2 2 84 5" xfId="35353"/>
    <cellStyle name="Обычный 4 2 2 85" xfId="3340"/>
    <cellStyle name="Обычный 4 2 2 85 2" xfId="8681"/>
    <cellStyle name="Обычный 4 2 2 85 2 2" xfId="19361"/>
    <cellStyle name="Обычный 4 2 2 85 2 2 2" xfId="51405"/>
    <cellStyle name="Обычный 4 2 2 85 2 3" xfId="30042"/>
    <cellStyle name="Обычный 4 2 2 85 2 3 2" xfId="62085"/>
    <cellStyle name="Обычный 4 2 2 85 2 4" xfId="40725"/>
    <cellStyle name="Обычный 4 2 2 85 3" xfId="14021"/>
    <cellStyle name="Обычный 4 2 2 85 3 2" xfId="46065"/>
    <cellStyle name="Обычный 4 2 2 85 4" xfId="24702"/>
    <cellStyle name="Обычный 4 2 2 85 4 2" xfId="56745"/>
    <cellStyle name="Обычный 4 2 2 85 5" xfId="35385"/>
    <cellStyle name="Обычный 4 2 2 86" xfId="3372"/>
    <cellStyle name="Обычный 4 2 2 86 2" xfId="8713"/>
    <cellStyle name="Обычный 4 2 2 86 2 2" xfId="19393"/>
    <cellStyle name="Обычный 4 2 2 86 2 2 2" xfId="51437"/>
    <cellStyle name="Обычный 4 2 2 86 2 3" xfId="30074"/>
    <cellStyle name="Обычный 4 2 2 86 2 3 2" xfId="62117"/>
    <cellStyle name="Обычный 4 2 2 86 2 4" xfId="40757"/>
    <cellStyle name="Обычный 4 2 2 86 3" xfId="14053"/>
    <cellStyle name="Обычный 4 2 2 86 3 2" xfId="46097"/>
    <cellStyle name="Обычный 4 2 2 86 4" xfId="24734"/>
    <cellStyle name="Обычный 4 2 2 86 4 2" xfId="56777"/>
    <cellStyle name="Обычный 4 2 2 86 5" xfId="35417"/>
    <cellStyle name="Обычный 4 2 2 87" xfId="3404"/>
    <cellStyle name="Обычный 4 2 2 87 2" xfId="8745"/>
    <cellStyle name="Обычный 4 2 2 87 2 2" xfId="19425"/>
    <cellStyle name="Обычный 4 2 2 87 2 2 2" xfId="51469"/>
    <cellStyle name="Обычный 4 2 2 87 2 3" xfId="30106"/>
    <cellStyle name="Обычный 4 2 2 87 2 3 2" xfId="62149"/>
    <cellStyle name="Обычный 4 2 2 87 2 4" xfId="40789"/>
    <cellStyle name="Обычный 4 2 2 87 3" xfId="14085"/>
    <cellStyle name="Обычный 4 2 2 87 3 2" xfId="46129"/>
    <cellStyle name="Обычный 4 2 2 87 4" xfId="24766"/>
    <cellStyle name="Обычный 4 2 2 87 4 2" xfId="56809"/>
    <cellStyle name="Обычный 4 2 2 87 5" xfId="35449"/>
    <cellStyle name="Обычный 4 2 2 88" xfId="3436"/>
    <cellStyle name="Обычный 4 2 2 88 2" xfId="8777"/>
    <cellStyle name="Обычный 4 2 2 88 2 2" xfId="19457"/>
    <cellStyle name="Обычный 4 2 2 88 2 2 2" xfId="51501"/>
    <cellStyle name="Обычный 4 2 2 88 2 3" xfId="30138"/>
    <cellStyle name="Обычный 4 2 2 88 2 3 2" xfId="62181"/>
    <cellStyle name="Обычный 4 2 2 88 2 4" xfId="40821"/>
    <cellStyle name="Обычный 4 2 2 88 3" xfId="14117"/>
    <cellStyle name="Обычный 4 2 2 88 3 2" xfId="46161"/>
    <cellStyle name="Обычный 4 2 2 88 4" xfId="24798"/>
    <cellStyle name="Обычный 4 2 2 88 4 2" xfId="56841"/>
    <cellStyle name="Обычный 4 2 2 88 5" xfId="35481"/>
    <cellStyle name="Обычный 4 2 2 89" xfId="3468"/>
    <cellStyle name="Обычный 4 2 2 89 2" xfId="8809"/>
    <cellStyle name="Обычный 4 2 2 89 2 2" xfId="19489"/>
    <cellStyle name="Обычный 4 2 2 89 2 2 2" xfId="51533"/>
    <cellStyle name="Обычный 4 2 2 89 2 3" xfId="30170"/>
    <cellStyle name="Обычный 4 2 2 89 2 3 2" xfId="62213"/>
    <cellStyle name="Обычный 4 2 2 89 2 4" xfId="40853"/>
    <cellStyle name="Обычный 4 2 2 89 3" xfId="14149"/>
    <cellStyle name="Обычный 4 2 2 89 3 2" xfId="46193"/>
    <cellStyle name="Обычный 4 2 2 89 4" xfId="24830"/>
    <cellStyle name="Обычный 4 2 2 89 4 2" xfId="56873"/>
    <cellStyle name="Обычный 4 2 2 89 5" xfId="35513"/>
    <cellStyle name="Обычный 4 2 2 9" xfId="1134"/>
    <cellStyle name="Обычный 4 2 2 9 2" xfId="6477"/>
    <cellStyle name="Обычный 4 2 2 9 2 2" xfId="17157"/>
    <cellStyle name="Обычный 4 2 2 9 2 2 2" xfId="49201"/>
    <cellStyle name="Обычный 4 2 2 9 2 3" xfId="27838"/>
    <cellStyle name="Обычный 4 2 2 9 2 3 2" xfId="59881"/>
    <cellStyle name="Обычный 4 2 2 9 2 4" xfId="38521"/>
    <cellStyle name="Обычный 4 2 2 9 3" xfId="11817"/>
    <cellStyle name="Обычный 4 2 2 9 3 2" xfId="43861"/>
    <cellStyle name="Обычный 4 2 2 9 4" xfId="22498"/>
    <cellStyle name="Обычный 4 2 2 9 4 2" xfId="54541"/>
    <cellStyle name="Обычный 4 2 2 9 5" xfId="33181"/>
    <cellStyle name="Обычный 4 2 2 90" xfId="3500"/>
    <cellStyle name="Обычный 4 2 2 90 2" xfId="8841"/>
    <cellStyle name="Обычный 4 2 2 90 2 2" xfId="19521"/>
    <cellStyle name="Обычный 4 2 2 90 2 2 2" xfId="51565"/>
    <cellStyle name="Обычный 4 2 2 90 2 3" xfId="30202"/>
    <cellStyle name="Обычный 4 2 2 90 2 3 2" xfId="62245"/>
    <cellStyle name="Обычный 4 2 2 90 2 4" xfId="40885"/>
    <cellStyle name="Обычный 4 2 2 90 3" xfId="14181"/>
    <cellStyle name="Обычный 4 2 2 90 3 2" xfId="46225"/>
    <cellStyle name="Обычный 4 2 2 90 4" xfId="24862"/>
    <cellStyle name="Обычный 4 2 2 90 4 2" xfId="56905"/>
    <cellStyle name="Обычный 4 2 2 90 5" xfId="35545"/>
    <cellStyle name="Обычный 4 2 2 91" xfId="3532"/>
    <cellStyle name="Обычный 4 2 2 91 2" xfId="8873"/>
    <cellStyle name="Обычный 4 2 2 91 2 2" xfId="19553"/>
    <cellStyle name="Обычный 4 2 2 91 2 2 2" xfId="51597"/>
    <cellStyle name="Обычный 4 2 2 91 2 3" xfId="30234"/>
    <cellStyle name="Обычный 4 2 2 91 2 3 2" xfId="62277"/>
    <cellStyle name="Обычный 4 2 2 91 2 4" xfId="40917"/>
    <cellStyle name="Обычный 4 2 2 91 3" xfId="14213"/>
    <cellStyle name="Обычный 4 2 2 91 3 2" xfId="46257"/>
    <cellStyle name="Обычный 4 2 2 91 4" xfId="24894"/>
    <cellStyle name="Обычный 4 2 2 91 4 2" xfId="56937"/>
    <cellStyle name="Обычный 4 2 2 91 5" xfId="35577"/>
    <cellStyle name="Обычный 4 2 2 92" xfId="3564"/>
    <cellStyle name="Обычный 4 2 2 92 2" xfId="8905"/>
    <cellStyle name="Обычный 4 2 2 92 2 2" xfId="19585"/>
    <cellStyle name="Обычный 4 2 2 92 2 2 2" xfId="51629"/>
    <cellStyle name="Обычный 4 2 2 92 2 3" xfId="30266"/>
    <cellStyle name="Обычный 4 2 2 92 2 3 2" xfId="62309"/>
    <cellStyle name="Обычный 4 2 2 92 2 4" xfId="40949"/>
    <cellStyle name="Обычный 4 2 2 92 3" xfId="14245"/>
    <cellStyle name="Обычный 4 2 2 92 3 2" xfId="46289"/>
    <cellStyle name="Обычный 4 2 2 92 4" xfId="24926"/>
    <cellStyle name="Обычный 4 2 2 92 4 2" xfId="56969"/>
    <cellStyle name="Обычный 4 2 2 92 5" xfId="35609"/>
    <cellStyle name="Обычный 4 2 2 93" xfId="3596"/>
    <cellStyle name="Обычный 4 2 2 93 2" xfId="8937"/>
    <cellStyle name="Обычный 4 2 2 93 2 2" xfId="19617"/>
    <cellStyle name="Обычный 4 2 2 93 2 2 2" xfId="51661"/>
    <cellStyle name="Обычный 4 2 2 93 2 3" xfId="30298"/>
    <cellStyle name="Обычный 4 2 2 93 2 3 2" xfId="62341"/>
    <cellStyle name="Обычный 4 2 2 93 2 4" xfId="40981"/>
    <cellStyle name="Обычный 4 2 2 93 3" xfId="14277"/>
    <cellStyle name="Обычный 4 2 2 93 3 2" xfId="46321"/>
    <cellStyle name="Обычный 4 2 2 93 4" xfId="24958"/>
    <cellStyle name="Обычный 4 2 2 93 4 2" xfId="57001"/>
    <cellStyle name="Обычный 4 2 2 93 5" xfId="35641"/>
    <cellStyle name="Обычный 4 2 2 94" xfId="3628"/>
    <cellStyle name="Обычный 4 2 2 94 2" xfId="8969"/>
    <cellStyle name="Обычный 4 2 2 94 2 2" xfId="19649"/>
    <cellStyle name="Обычный 4 2 2 94 2 2 2" xfId="51693"/>
    <cellStyle name="Обычный 4 2 2 94 2 3" xfId="30330"/>
    <cellStyle name="Обычный 4 2 2 94 2 3 2" xfId="62373"/>
    <cellStyle name="Обычный 4 2 2 94 2 4" xfId="41013"/>
    <cellStyle name="Обычный 4 2 2 94 3" xfId="14309"/>
    <cellStyle name="Обычный 4 2 2 94 3 2" xfId="46353"/>
    <cellStyle name="Обычный 4 2 2 94 4" xfId="24990"/>
    <cellStyle name="Обычный 4 2 2 94 4 2" xfId="57033"/>
    <cellStyle name="Обычный 4 2 2 94 5" xfId="35673"/>
    <cellStyle name="Обычный 4 2 2 95" xfId="3660"/>
    <cellStyle name="Обычный 4 2 2 95 2" xfId="9001"/>
    <cellStyle name="Обычный 4 2 2 95 2 2" xfId="19681"/>
    <cellStyle name="Обычный 4 2 2 95 2 2 2" xfId="51725"/>
    <cellStyle name="Обычный 4 2 2 95 2 3" xfId="30362"/>
    <cellStyle name="Обычный 4 2 2 95 2 3 2" xfId="62405"/>
    <cellStyle name="Обычный 4 2 2 95 2 4" xfId="41045"/>
    <cellStyle name="Обычный 4 2 2 95 3" xfId="14341"/>
    <cellStyle name="Обычный 4 2 2 95 3 2" xfId="46385"/>
    <cellStyle name="Обычный 4 2 2 95 4" xfId="25022"/>
    <cellStyle name="Обычный 4 2 2 95 4 2" xfId="57065"/>
    <cellStyle name="Обычный 4 2 2 95 5" xfId="35705"/>
    <cellStyle name="Обычный 4 2 2 96" xfId="3692"/>
    <cellStyle name="Обычный 4 2 2 96 2" xfId="9033"/>
    <cellStyle name="Обычный 4 2 2 96 2 2" xfId="19713"/>
    <cellStyle name="Обычный 4 2 2 96 2 2 2" xfId="51757"/>
    <cellStyle name="Обычный 4 2 2 96 2 3" xfId="30394"/>
    <cellStyle name="Обычный 4 2 2 96 2 3 2" xfId="62437"/>
    <cellStyle name="Обычный 4 2 2 96 2 4" xfId="41077"/>
    <cellStyle name="Обычный 4 2 2 96 3" xfId="14373"/>
    <cellStyle name="Обычный 4 2 2 96 3 2" xfId="46417"/>
    <cellStyle name="Обычный 4 2 2 96 4" xfId="25054"/>
    <cellStyle name="Обычный 4 2 2 96 4 2" xfId="57097"/>
    <cellStyle name="Обычный 4 2 2 96 5" xfId="35737"/>
    <cellStyle name="Обычный 4 2 2 97" xfId="3724"/>
    <cellStyle name="Обычный 4 2 2 97 2" xfId="9065"/>
    <cellStyle name="Обычный 4 2 2 97 2 2" xfId="19745"/>
    <cellStyle name="Обычный 4 2 2 97 2 2 2" xfId="51789"/>
    <cellStyle name="Обычный 4 2 2 97 2 3" xfId="30426"/>
    <cellStyle name="Обычный 4 2 2 97 2 3 2" xfId="62469"/>
    <cellStyle name="Обычный 4 2 2 97 2 4" xfId="41109"/>
    <cellStyle name="Обычный 4 2 2 97 3" xfId="14405"/>
    <cellStyle name="Обычный 4 2 2 97 3 2" xfId="46449"/>
    <cellStyle name="Обычный 4 2 2 97 4" xfId="25086"/>
    <cellStyle name="Обычный 4 2 2 97 4 2" xfId="57129"/>
    <cellStyle name="Обычный 4 2 2 97 5" xfId="35769"/>
    <cellStyle name="Обычный 4 2 2 98" xfId="3756"/>
    <cellStyle name="Обычный 4 2 2 98 2" xfId="9097"/>
    <cellStyle name="Обычный 4 2 2 98 2 2" xfId="19777"/>
    <cellStyle name="Обычный 4 2 2 98 2 2 2" xfId="51821"/>
    <cellStyle name="Обычный 4 2 2 98 2 3" xfId="30458"/>
    <cellStyle name="Обычный 4 2 2 98 2 3 2" xfId="62501"/>
    <cellStyle name="Обычный 4 2 2 98 2 4" xfId="41141"/>
    <cellStyle name="Обычный 4 2 2 98 3" xfId="14437"/>
    <cellStyle name="Обычный 4 2 2 98 3 2" xfId="46481"/>
    <cellStyle name="Обычный 4 2 2 98 4" xfId="25118"/>
    <cellStyle name="Обычный 4 2 2 98 4 2" xfId="57161"/>
    <cellStyle name="Обычный 4 2 2 98 5" xfId="35801"/>
    <cellStyle name="Обычный 4 2 2 99" xfId="3788"/>
    <cellStyle name="Обычный 4 2 2 99 2" xfId="9129"/>
    <cellStyle name="Обычный 4 2 2 99 2 2" xfId="19809"/>
    <cellStyle name="Обычный 4 2 2 99 2 2 2" xfId="51853"/>
    <cellStyle name="Обычный 4 2 2 99 2 3" xfId="30490"/>
    <cellStyle name="Обычный 4 2 2 99 2 3 2" xfId="62533"/>
    <cellStyle name="Обычный 4 2 2 99 2 4" xfId="41173"/>
    <cellStyle name="Обычный 4 2 2 99 3" xfId="14469"/>
    <cellStyle name="Обычный 4 2 2 99 3 2" xfId="46513"/>
    <cellStyle name="Обычный 4 2 2 99 4" xfId="25150"/>
    <cellStyle name="Обычный 4 2 2 99 4 2" xfId="57193"/>
    <cellStyle name="Обычный 4 2 2 99 5" xfId="35833"/>
    <cellStyle name="Обычный 4 2 20" xfId="254"/>
    <cellStyle name="Обычный 4 2 20 2" xfId="722"/>
    <cellStyle name="Обычный 4 2 20 2 2" xfId="6065"/>
    <cellStyle name="Обычный 4 2 20 2 2 2" xfId="16745"/>
    <cellStyle name="Обычный 4 2 20 2 2 2 2" xfId="48789"/>
    <cellStyle name="Обычный 4 2 20 2 2 3" xfId="27426"/>
    <cellStyle name="Обычный 4 2 20 2 2 3 2" xfId="59469"/>
    <cellStyle name="Обычный 4 2 20 2 2 4" xfId="38109"/>
    <cellStyle name="Обычный 4 2 20 2 3" xfId="11405"/>
    <cellStyle name="Обычный 4 2 20 2 3 2" xfId="43449"/>
    <cellStyle name="Обычный 4 2 20 2 4" xfId="22086"/>
    <cellStyle name="Обычный 4 2 20 2 4 2" xfId="54129"/>
    <cellStyle name="Обычный 4 2 20 2 5" xfId="32769"/>
    <cellStyle name="Обычный 4 2 20 3" xfId="5598"/>
    <cellStyle name="Обычный 4 2 20 3 2" xfId="16278"/>
    <cellStyle name="Обычный 4 2 20 3 2 2" xfId="48322"/>
    <cellStyle name="Обычный 4 2 20 3 3" xfId="26959"/>
    <cellStyle name="Обычный 4 2 20 3 3 2" xfId="59002"/>
    <cellStyle name="Обычный 4 2 20 3 4" xfId="37642"/>
    <cellStyle name="Обычный 4 2 20 4" xfId="10938"/>
    <cellStyle name="Обычный 4 2 20 4 2" xfId="42982"/>
    <cellStyle name="Обычный 4 2 20 5" xfId="21619"/>
    <cellStyle name="Обычный 4 2 20 5 2" xfId="53662"/>
    <cellStyle name="Обычный 4 2 20 6" xfId="32302"/>
    <cellStyle name="Обычный 4 2 21" xfId="264"/>
    <cellStyle name="Обычный 4 2 21 2" xfId="732"/>
    <cellStyle name="Обычный 4 2 21 2 2" xfId="6075"/>
    <cellStyle name="Обычный 4 2 21 2 2 2" xfId="16755"/>
    <cellStyle name="Обычный 4 2 21 2 2 2 2" xfId="48799"/>
    <cellStyle name="Обычный 4 2 21 2 2 3" xfId="27436"/>
    <cellStyle name="Обычный 4 2 21 2 2 3 2" xfId="59479"/>
    <cellStyle name="Обычный 4 2 21 2 2 4" xfId="38119"/>
    <cellStyle name="Обычный 4 2 21 2 3" xfId="11415"/>
    <cellStyle name="Обычный 4 2 21 2 3 2" xfId="43459"/>
    <cellStyle name="Обычный 4 2 21 2 4" xfId="22096"/>
    <cellStyle name="Обычный 4 2 21 2 4 2" xfId="54139"/>
    <cellStyle name="Обычный 4 2 21 2 5" xfId="32779"/>
    <cellStyle name="Обычный 4 2 21 3" xfId="5608"/>
    <cellStyle name="Обычный 4 2 21 3 2" xfId="16288"/>
    <cellStyle name="Обычный 4 2 21 3 2 2" xfId="48332"/>
    <cellStyle name="Обычный 4 2 21 3 3" xfId="26969"/>
    <cellStyle name="Обычный 4 2 21 3 3 2" xfId="59012"/>
    <cellStyle name="Обычный 4 2 21 3 4" xfId="37652"/>
    <cellStyle name="Обычный 4 2 21 4" xfId="10948"/>
    <cellStyle name="Обычный 4 2 21 4 2" xfId="42992"/>
    <cellStyle name="Обычный 4 2 21 5" xfId="21629"/>
    <cellStyle name="Обычный 4 2 21 5 2" xfId="53672"/>
    <cellStyle name="Обычный 4 2 21 6" xfId="32312"/>
    <cellStyle name="Обычный 4 2 22" xfId="274"/>
    <cellStyle name="Обычный 4 2 22 2" xfId="742"/>
    <cellStyle name="Обычный 4 2 22 2 2" xfId="6085"/>
    <cellStyle name="Обычный 4 2 22 2 2 2" xfId="16765"/>
    <cellStyle name="Обычный 4 2 22 2 2 2 2" xfId="48809"/>
    <cellStyle name="Обычный 4 2 22 2 2 3" xfId="27446"/>
    <cellStyle name="Обычный 4 2 22 2 2 3 2" xfId="59489"/>
    <cellStyle name="Обычный 4 2 22 2 2 4" xfId="38129"/>
    <cellStyle name="Обычный 4 2 22 2 3" xfId="11425"/>
    <cellStyle name="Обычный 4 2 22 2 3 2" xfId="43469"/>
    <cellStyle name="Обычный 4 2 22 2 4" xfId="22106"/>
    <cellStyle name="Обычный 4 2 22 2 4 2" xfId="54149"/>
    <cellStyle name="Обычный 4 2 22 2 5" xfId="32789"/>
    <cellStyle name="Обычный 4 2 22 3" xfId="5618"/>
    <cellStyle name="Обычный 4 2 22 3 2" xfId="16298"/>
    <cellStyle name="Обычный 4 2 22 3 2 2" xfId="48342"/>
    <cellStyle name="Обычный 4 2 22 3 3" xfId="26979"/>
    <cellStyle name="Обычный 4 2 22 3 3 2" xfId="59022"/>
    <cellStyle name="Обычный 4 2 22 3 4" xfId="37662"/>
    <cellStyle name="Обычный 4 2 22 4" xfId="10958"/>
    <cellStyle name="Обычный 4 2 22 4 2" xfId="43002"/>
    <cellStyle name="Обычный 4 2 22 5" xfId="21639"/>
    <cellStyle name="Обычный 4 2 22 5 2" xfId="53682"/>
    <cellStyle name="Обычный 4 2 22 6" xfId="32322"/>
    <cellStyle name="Обычный 4 2 23" xfId="284"/>
    <cellStyle name="Обычный 4 2 23 2" xfId="752"/>
    <cellStyle name="Обычный 4 2 23 2 2" xfId="6095"/>
    <cellStyle name="Обычный 4 2 23 2 2 2" xfId="16775"/>
    <cellStyle name="Обычный 4 2 23 2 2 2 2" xfId="48819"/>
    <cellStyle name="Обычный 4 2 23 2 2 3" xfId="27456"/>
    <cellStyle name="Обычный 4 2 23 2 2 3 2" xfId="59499"/>
    <cellStyle name="Обычный 4 2 23 2 2 4" xfId="38139"/>
    <cellStyle name="Обычный 4 2 23 2 3" xfId="11435"/>
    <cellStyle name="Обычный 4 2 23 2 3 2" xfId="43479"/>
    <cellStyle name="Обычный 4 2 23 2 4" xfId="22116"/>
    <cellStyle name="Обычный 4 2 23 2 4 2" xfId="54159"/>
    <cellStyle name="Обычный 4 2 23 2 5" xfId="32799"/>
    <cellStyle name="Обычный 4 2 23 3" xfId="5628"/>
    <cellStyle name="Обычный 4 2 23 3 2" xfId="16308"/>
    <cellStyle name="Обычный 4 2 23 3 2 2" xfId="48352"/>
    <cellStyle name="Обычный 4 2 23 3 3" xfId="26989"/>
    <cellStyle name="Обычный 4 2 23 3 3 2" xfId="59032"/>
    <cellStyle name="Обычный 4 2 23 3 4" xfId="37672"/>
    <cellStyle name="Обычный 4 2 23 4" xfId="10968"/>
    <cellStyle name="Обычный 4 2 23 4 2" xfId="43012"/>
    <cellStyle name="Обычный 4 2 23 5" xfId="21649"/>
    <cellStyle name="Обычный 4 2 23 5 2" xfId="53692"/>
    <cellStyle name="Обычный 4 2 23 6" xfId="32332"/>
    <cellStyle name="Обычный 4 2 24" xfId="294"/>
    <cellStyle name="Обычный 4 2 24 2" xfId="762"/>
    <cellStyle name="Обычный 4 2 24 2 2" xfId="6105"/>
    <cellStyle name="Обычный 4 2 24 2 2 2" xfId="16785"/>
    <cellStyle name="Обычный 4 2 24 2 2 2 2" xfId="48829"/>
    <cellStyle name="Обычный 4 2 24 2 2 3" xfId="27466"/>
    <cellStyle name="Обычный 4 2 24 2 2 3 2" xfId="59509"/>
    <cellStyle name="Обычный 4 2 24 2 2 4" xfId="38149"/>
    <cellStyle name="Обычный 4 2 24 2 3" xfId="11445"/>
    <cellStyle name="Обычный 4 2 24 2 3 2" xfId="43489"/>
    <cellStyle name="Обычный 4 2 24 2 4" xfId="22126"/>
    <cellStyle name="Обычный 4 2 24 2 4 2" xfId="54169"/>
    <cellStyle name="Обычный 4 2 24 2 5" xfId="32809"/>
    <cellStyle name="Обычный 4 2 24 3" xfId="5638"/>
    <cellStyle name="Обычный 4 2 24 3 2" xfId="16318"/>
    <cellStyle name="Обычный 4 2 24 3 2 2" xfId="48362"/>
    <cellStyle name="Обычный 4 2 24 3 3" xfId="26999"/>
    <cellStyle name="Обычный 4 2 24 3 3 2" xfId="59042"/>
    <cellStyle name="Обычный 4 2 24 3 4" xfId="37682"/>
    <cellStyle name="Обычный 4 2 24 4" xfId="10978"/>
    <cellStyle name="Обычный 4 2 24 4 2" xfId="43022"/>
    <cellStyle name="Обычный 4 2 24 5" xfId="21659"/>
    <cellStyle name="Обычный 4 2 24 5 2" xfId="53702"/>
    <cellStyle name="Обычный 4 2 24 6" xfId="32342"/>
    <cellStyle name="Обычный 4 2 25" xfId="304"/>
    <cellStyle name="Обычный 4 2 25 2" xfId="772"/>
    <cellStyle name="Обычный 4 2 25 2 2" xfId="6115"/>
    <cellStyle name="Обычный 4 2 25 2 2 2" xfId="16795"/>
    <cellStyle name="Обычный 4 2 25 2 2 2 2" xfId="48839"/>
    <cellStyle name="Обычный 4 2 25 2 2 3" xfId="27476"/>
    <cellStyle name="Обычный 4 2 25 2 2 3 2" xfId="59519"/>
    <cellStyle name="Обычный 4 2 25 2 2 4" xfId="38159"/>
    <cellStyle name="Обычный 4 2 25 2 3" xfId="11455"/>
    <cellStyle name="Обычный 4 2 25 2 3 2" xfId="43499"/>
    <cellStyle name="Обычный 4 2 25 2 4" xfId="22136"/>
    <cellStyle name="Обычный 4 2 25 2 4 2" xfId="54179"/>
    <cellStyle name="Обычный 4 2 25 2 5" xfId="32819"/>
    <cellStyle name="Обычный 4 2 25 3" xfId="5648"/>
    <cellStyle name="Обычный 4 2 25 3 2" xfId="16328"/>
    <cellStyle name="Обычный 4 2 25 3 2 2" xfId="48372"/>
    <cellStyle name="Обычный 4 2 25 3 3" xfId="27009"/>
    <cellStyle name="Обычный 4 2 25 3 3 2" xfId="59052"/>
    <cellStyle name="Обычный 4 2 25 3 4" xfId="37692"/>
    <cellStyle name="Обычный 4 2 25 4" xfId="10988"/>
    <cellStyle name="Обычный 4 2 25 4 2" xfId="43032"/>
    <cellStyle name="Обычный 4 2 25 5" xfId="21669"/>
    <cellStyle name="Обычный 4 2 25 5 2" xfId="53712"/>
    <cellStyle name="Обычный 4 2 25 6" xfId="32352"/>
    <cellStyle name="Обычный 4 2 26" xfId="314"/>
    <cellStyle name="Обычный 4 2 26 2" xfId="782"/>
    <cellStyle name="Обычный 4 2 26 2 2" xfId="6125"/>
    <cellStyle name="Обычный 4 2 26 2 2 2" xfId="16805"/>
    <cellStyle name="Обычный 4 2 26 2 2 2 2" xfId="48849"/>
    <cellStyle name="Обычный 4 2 26 2 2 3" xfId="27486"/>
    <cellStyle name="Обычный 4 2 26 2 2 3 2" xfId="59529"/>
    <cellStyle name="Обычный 4 2 26 2 2 4" xfId="38169"/>
    <cellStyle name="Обычный 4 2 26 2 3" xfId="11465"/>
    <cellStyle name="Обычный 4 2 26 2 3 2" xfId="43509"/>
    <cellStyle name="Обычный 4 2 26 2 4" xfId="22146"/>
    <cellStyle name="Обычный 4 2 26 2 4 2" xfId="54189"/>
    <cellStyle name="Обычный 4 2 26 2 5" xfId="32829"/>
    <cellStyle name="Обычный 4 2 26 3" xfId="5658"/>
    <cellStyle name="Обычный 4 2 26 3 2" xfId="16338"/>
    <cellStyle name="Обычный 4 2 26 3 2 2" xfId="48382"/>
    <cellStyle name="Обычный 4 2 26 3 3" xfId="27019"/>
    <cellStyle name="Обычный 4 2 26 3 3 2" xfId="59062"/>
    <cellStyle name="Обычный 4 2 26 3 4" xfId="37702"/>
    <cellStyle name="Обычный 4 2 26 4" xfId="10998"/>
    <cellStyle name="Обычный 4 2 26 4 2" xfId="43042"/>
    <cellStyle name="Обычный 4 2 26 5" xfId="21679"/>
    <cellStyle name="Обычный 4 2 26 5 2" xfId="53722"/>
    <cellStyle name="Обычный 4 2 26 6" xfId="32362"/>
    <cellStyle name="Обычный 4 2 27" xfId="324"/>
    <cellStyle name="Обычный 4 2 27 2" xfId="792"/>
    <cellStyle name="Обычный 4 2 27 2 2" xfId="6135"/>
    <cellStyle name="Обычный 4 2 27 2 2 2" xfId="16815"/>
    <cellStyle name="Обычный 4 2 27 2 2 2 2" xfId="48859"/>
    <cellStyle name="Обычный 4 2 27 2 2 3" xfId="27496"/>
    <cellStyle name="Обычный 4 2 27 2 2 3 2" xfId="59539"/>
    <cellStyle name="Обычный 4 2 27 2 2 4" xfId="38179"/>
    <cellStyle name="Обычный 4 2 27 2 3" xfId="11475"/>
    <cellStyle name="Обычный 4 2 27 2 3 2" xfId="43519"/>
    <cellStyle name="Обычный 4 2 27 2 4" xfId="22156"/>
    <cellStyle name="Обычный 4 2 27 2 4 2" xfId="54199"/>
    <cellStyle name="Обычный 4 2 27 2 5" xfId="32839"/>
    <cellStyle name="Обычный 4 2 27 3" xfId="5668"/>
    <cellStyle name="Обычный 4 2 27 3 2" xfId="16348"/>
    <cellStyle name="Обычный 4 2 27 3 2 2" xfId="48392"/>
    <cellStyle name="Обычный 4 2 27 3 3" xfId="27029"/>
    <cellStyle name="Обычный 4 2 27 3 3 2" xfId="59072"/>
    <cellStyle name="Обычный 4 2 27 3 4" xfId="37712"/>
    <cellStyle name="Обычный 4 2 27 4" xfId="11008"/>
    <cellStyle name="Обычный 4 2 27 4 2" xfId="43052"/>
    <cellStyle name="Обычный 4 2 27 5" xfId="21689"/>
    <cellStyle name="Обычный 4 2 27 5 2" xfId="53732"/>
    <cellStyle name="Обычный 4 2 27 6" xfId="32372"/>
    <cellStyle name="Обычный 4 2 28" xfId="334"/>
    <cellStyle name="Обычный 4 2 28 2" xfId="802"/>
    <cellStyle name="Обычный 4 2 28 2 2" xfId="6145"/>
    <cellStyle name="Обычный 4 2 28 2 2 2" xfId="16825"/>
    <cellStyle name="Обычный 4 2 28 2 2 2 2" xfId="48869"/>
    <cellStyle name="Обычный 4 2 28 2 2 3" xfId="27506"/>
    <cellStyle name="Обычный 4 2 28 2 2 3 2" xfId="59549"/>
    <cellStyle name="Обычный 4 2 28 2 2 4" xfId="38189"/>
    <cellStyle name="Обычный 4 2 28 2 3" xfId="11485"/>
    <cellStyle name="Обычный 4 2 28 2 3 2" xfId="43529"/>
    <cellStyle name="Обычный 4 2 28 2 4" xfId="22166"/>
    <cellStyle name="Обычный 4 2 28 2 4 2" xfId="54209"/>
    <cellStyle name="Обычный 4 2 28 2 5" xfId="32849"/>
    <cellStyle name="Обычный 4 2 28 3" xfId="5678"/>
    <cellStyle name="Обычный 4 2 28 3 2" xfId="16358"/>
    <cellStyle name="Обычный 4 2 28 3 2 2" xfId="48402"/>
    <cellStyle name="Обычный 4 2 28 3 3" xfId="27039"/>
    <cellStyle name="Обычный 4 2 28 3 3 2" xfId="59082"/>
    <cellStyle name="Обычный 4 2 28 3 4" xfId="37722"/>
    <cellStyle name="Обычный 4 2 28 4" xfId="11018"/>
    <cellStyle name="Обычный 4 2 28 4 2" xfId="43062"/>
    <cellStyle name="Обычный 4 2 28 5" xfId="21699"/>
    <cellStyle name="Обычный 4 2 28 5 2" xfId="53742"/>
    <cellStyle name="Обычный 4 2 28 6" xfId="32382"/>
    <cellStyle name="Обычный 4 2 29" xfId="344"/>
    <cellStyle name="Обычный 4 2 29 2" xfId="812"/>
    <cellStyle name="Обычный 4 2 29 2 2" xfId="6155"/>
    <cellStyle name="Обычный 4 2 29 2 2 2" xfId="16835"/>
    <cellStyle name="Обычный 4 2 29 2 2 2 2" xfId="48879"/>
    <cellStyle name="Обычный 4 2 29 2 2 3" xfId="27516"/>
    <cellStyle name="Обычный 4 2 29 2 2 3 2" xfId="59559"/>
    <cellStyle name="Обычный 4 2 29 2 2 4" xfId="38199"/>
    <cellStyle name="Обычный 4 2 29 2 3" xfId="11495"/>
    <cellStyle name="Обычный 4 2 29 2 3 2" xfId="43539"/>
    <cellStyle name="Обычный 4 2 29 2 4" xfId="22176"/>
    <cellStyle name="Обычный 4 2 29 2 4 2" xfId="54219"/>
    <cellStyle name="Обычный 4 2 29 2 5" xfId="32859"/>
    <cellStyle name="Обычный 4 2 29 3" xfId="5688"/>
    <cellStyle name="Обычный 4 2 29 3 2" xfId="16368"/>
    <cellStyle name="Обычный 4 2 29 3 2 2" xfId="48412"/>
    <cellStyle name="Обычный 4 2 29 3 3" xfId="27049"/>
    <cellStyle name="Обычный 4 2 29 3 3 2" xfId="59092"/>
    <cellStyle name="Обычный 4 2 29 3 4" xfId="37732"/>
    <cellStyle name="Обычный 4 2 29 4" xfId="11028"/>
    <cellStyle name="Обычный 4 2 29 4 2" xfId="43072"/>
    <cellStyle name="Обычный 4 2 29 5" xfId="21709"/>
    <cellStyle name="Обычный 4 2 29 5 2" xfId="53752"/>
    <cellStyle name="Обычный 4 2 29 6" xfId="32392"/>
    <cellStyle name="Обычный 4 2 3" xfId="86"/>
    <cellStyle name="Обычный 4 2 3 2" xfId="554"/>
    <cellStyle name="Обычный 4 2 3 2 2" xfId="5897"/>
    <cellStyle name="Обычный 4 2 3 2 2 2" xfId="16577"/>
    <cellStyle name="Обычный 4 2 3 2 2 2 2" xfId="48621"/>
    <cellStyle name="Обычный 4 2 3 2 2 3" xfId="27258"/>
    <cellStyle name="Обычный 4 2 3 2 2 3 2" xfId="59301"/>
    <cellStyle name="Обычный 4 2 3 2 2 4" xfId="37941"/>
    <cellStyle name="Обычный 4 2 3 2 3" xfId="11237"/>
    <cellStyle name="Обычный 4 2 3 2 3 2" xfId="43281"/>
    <cellStyle name="Обычный 4 2 3 2 4" xfId="21918"/>
    <cellStyle name="Обычный 4 2 3 2 4 2" xfId="53961"/>
    <cellStyle name="Обычный 4 2 3 2 5" xfId="32601"/>
    <cellStyle name="Обычный 4 2 3 3" xfId="5430"/>
    <cellStyle name="Обычный 4 2 3 3 2" xfId="16110"/>
    <cellStyle name="Обычный 4 2 3 3 2 2" xfId="48154"/>
    <cellStyle name="Обычный 4 2 3 3 3" xfId="26791"/>
    <cellStyle name="Обычный 4 2 3 3 3 2" xfId="58834"/>
    <cellStyle name="Обычный 4 2 3 3 4" xfId="37474"/>
    <cellStyle name="Обычный 4 2 3 4" xfId="10770"/>
    <cellStyle name="Обычный 4 2 3 4 2" xfId="42814"/>
    <cellStyle name="Обычный 4 2 3 5" xfId="21451"/>
    <cellStyle name="Обычный 4 2 3 5 2" xfId="53494"/>
    <cellStyle name="Обычный 4 2 3 6" xfId="32134"/>
    <cellStyle name="Обычный 4 2 30" xfId="354"/>
    <cellStyle name="Обычный 4 2 30 2" xfId="822"/>
    <cellStyle name="Обычный 4 2 30 2 2" xfId="6165"/>
    <cellStyle name="Обычный 4 2 30 2 2 2" xfId="16845"/>
    <cellStyle name="Обычный 4 2 30 2 2 2 2" xfId="48889"/>
    <cellStyle name="Обычный 4 2 30 2 2 3" xfId="27526"/>
    <cellStyle name="Обычный 4 2 30 2 2 3 2" xfId="59569"/>
    <cellStyle name="Обычный 4 2 30 2 2 4" xfId="38209"/>
    <cellStyle name="Обычный 4 2 30 2 3" xfId="11505"/>
    <cellStyle name="Обычный 4 2 30 2 3 2" xfId="43549"/>
    <cellStyle name="Обычный 4 2 30 2 4" xfId="22186"/>
    <cellStyle name="Обычный 4 2 30 2 4 2" xfId="54229"/>
    <cellStyle name="Обычный 4 2 30 2 5" xfId="32869"/>
    <cellStyle name="Обычный 4 2 30 3" xfId="5698"/>
    <cellStyle name="Обычный 4 2 30 3 2" xfId="16378"/>
    <cellStyle name="Обычный 4 2 30 3 2 2" xfId="48422"/>
    <cellStyle name="Обычный 4 2 30 3 3" xfId="27059"/>
    <cellStyle name="Обычный 4 2 30 3 3 2" xfId="59102"/>
    <cellStyle name="Обычный 4 2 30 3 4" xfId="37742"/>
    <cellStyle name="Обычный 4 2 30 4" xfId="11038"/>
    <cellStyle name="Обычный 4 2 30 4 2" xfId="43082"/>
    <cellStyle name="Обычный 4 2 30 5" xfId="21719"/>
    <cellStyle name="Обычный 4 2 30 5 2" xfId="53762"/>
    <cellStyle name="Обычный 4 2 30 6" xfId="32402"/>
    <cellStyle name="Обычный 4 2 31" xfId="364"/>
    <cellStyle name="Обычный 4 2 31 2" xfId="832"/>
    <cellStyle name="Обычный 4 2 31 2 2" xfId="6175"/>
    <cellStyle name="Обычный 4 2 31 2 2 2" xfId="16855"/>
    <cellStyle name="Обычный 4 2 31 2 2 2 2" xfId="48899"/>
    <cellStyle name="Обычный 4 2 31 2 2 3" xfId="27536"/>
    <cellStyle name="Обычный 4 2 31 2 2 3 2" xfId="59579"/>
    <cellStyle name="Обычный 4 2 31 2 2 4" xfId="38219"/>
    <cellStyle name="Обычный 4 2 31 2 3" xfId="11515"/>
    <cellStyle name="Обычный 4 2 31 2 3 2" xfId="43559"/>
    <cellStyle name="Обычный 4 2 31 2 4" xfId="22196"/>
    <cellStyle name="Обычный 4 2 31 2 4 2" xfId="54239"/>
    <cellStyle name="Обычный 4 2 31 2 5" xfId="32879"/>
    <cellStyle name="Обычный 4 2 31 3" xfId="5708"/>
    <cellStyle name="Обычный 4 2 31 3 2" xfId="16388"/>
    <cellStyle name="Обычный 4 2 31 3 2 2" xfId="48432"/>
    <cellStyle name="Обычный 4 2 31 3 3" xfId="27069"/>
    <cellStyle name="Обычный 4 2 31 3 3 2" xfId="59112"/>
    <cellStyle name="Обычный 4 2 31 3 4" xfId="37752"/>
    <cellStyle name="Обычный 4 2 31 4" xfId="11048"/>
    <cellStyle name="Обычный 4 2 31 4 2" xfId="43092"/>
    <cellStyle name="Обычный 4 2 31 5" xfId="21729"/>
    <cellStyle name="Обычный 4 2 31 5 2" xfId="53772"/>
    <cellStyle name="Обычный 4 2 31 6" xfId="32412"/>
    <cellStyle name="Обычный 4 2 32" xfId="374"/>
    <cellStyle name="Обычный 4 2 32 2" xfId="842"/>
    <cellStyle name="Обычный 4 2 32 2 2" xfId="6185"/>
    <cellStyle name="Обычный 4 2 32 2 2 2" xfId="16865"/>
    <cellStyle name="Обычный 4 2 32 2 2 2 2" xfId="48909"/>
    <cellStyle name="Обычный 4 2 32 2 2 3" xfId="27546"/>
    <cellStyle name="Обычный 4 2 32 2 2 3 2" xfId="59589"/>
    <cellStyle name="Обычный 4 2 32 2 2 4" xfId="38229"/>
    <cellStyle name="Обычный 4 2 32 2 3" xfId="11525"/>
    <cellStyle name="Обычный 4 2 32 2 3 2" xfId="43569"/>
    <cellStyle name="Обычный 4 2 32 2 4" xfId="22206"/>
    <cellStyle name="Обычный 4 2 32 2 4 2" xfId="54249"/>
    <cellStyle name="Обычный 4 2 32 2 5" xfId="32889"/>
    <cellStyle name="Обычный 4 2 32 3" xfId="5718"/>
    <cellStyle name="Обычный 4 2 32 3 2" xfId="16398"/>
    <cellStyle name="Обычный 4 2 32 3 2 2" xfId="48442"/>
    <cellStyle name="Обычный 4 2 32 3 3" xfId="27079"/>
    <cellStyle name="Обычный 4 2 32 3 3 2" xfId="59122"/>
    <cellStyle name="Обычный 4 2 32 3 4" xfId="37762"/>
    <cellStyle name="Обычный 4 2 32 4" xfId="11058"/>
    <cellStyle name="Обычный 4 2 32 4 2" xfId="43102"/>
    <cellStyle name="Обычный 4 2 32 5" xfId="21739"/>
    <cellStyle name="Обычный 4 2 32 5 2" xfId="53782"/>
    <cellStyle name="Обычный 4 2 32 6" xfId="32422"/>
    <cellStyle name="Обычный 4 2 33" xfId="384"/>
    <cellStyle name="Обычный 4 2 33 2" xfId="852"/>
    <cellStyle name="Обычный 4 2 33 2 2" xfId="6195"/>
    <cellStyle name="Обычный 4 2 33 2 2 2" xfId="16875"/>
    <cellStyle name="Обычный 4 2 33 2 2 2 2" xfId="48919"/>
    <cellStyle name="Обычный 4 2 33 2 2 3" xfId="27556"/>
    <cellStyle name="Обычный 4 2 33 2 2 3 2" xfId="59599"/>
    <cellStyle name="Обычный 4 2 33 2 2 4" xfId="38239"/>
    <cellStyle name="Обычный 4 2 33 2 3" xfId="11535"/>
    <cellStyle name="Обычный 4 2 33 2 3 2" xfId="43579"/>
    <cellStyle name="Обычный 4 2 33 2 4" xfId="22216"/>
    <cellStyle name="Обычный 4 2 33 2 4 2" xfId="54259"/>
    <cellStyle name="Обычный 4 2 33 2 5" xfId="32899"/>
    <cellStyle name="Обычный 4 2 33 3" xfId="5728"/>
    <cellStyle name="Обычный 4 2 33 3 2" xfId="16408"/>
    <cellStyle name="Обычный 4 2 33 3 2 2" xfId="48452"/>
    <cellStyle name="Обычный 4 2 33 3 3" xfId="27089"/>
    <cellStyle name="Обычный 4 2 33 3 3 2" xfId="59132"/>
    <cellStyle name="Обычный 4 2 33 3 4" xfId="37772"/>
    <cellStyle name="Обычный 4 2 33 4" xfId="11068"/>
    <cellStyle name="Обычный 4 2 33 4 2" xfId="43112"/>
    <cellStyle name="Обычный 4 2 33 5" xfId="21749"/>
    <cellStyle name="Обычный 4 2 33 5 2" xfId="53792"/>
    <cellStyle name="Обычный 4 2 33 6" xfId="32432"/>
    <cellStyle name="Обычный 4 2 34" xfId="394"/>
    <cellStyle name="Обычный 4 2 34 2" xfId="862"/>
    <cellStyle name="Обычный 4 2 34 2 2" xfId="6205"/>
    <cellStyle name="Обычный 4 2 34 2 2 2" xfId="16885"/>
    <cellStyle name="Обычный 4 2 34 2 2 2 2" xfId="48929"/>
    <cellStyle name="Обычный 4 2 34 2 2 3" xfId="27566"/>
    <cellStyle name="Обычный 4 2 34 2 2 3 2" xfId="59609"/>
    <cellStyle name="Обычный 4 2 34 2 2 4" xfId="38249"/>
    <cellStyle name="Обычный 4 2 34 2 3" xfId="11545"/>
    <cellStyle name="Обычный 4 2 34 2 3 2" xfId="43589"/>
    <cellStyle name="Обычный 4 2 34 2 4" xfId="22226"/>
    <cellStyle name="Обычный 4 2 34 2 4 2" xfId="54269"/>
    <cellStyle name="Обычный 4 2 34 2 5" xfId="32909"/>
    <cellStyle name="Обычный 4 2 34 3" xfId="5738"/>
    <cellStyle name="Обычный 4 2 34 3 2" xfId="16418"/>
    <cellStyle name="Обычный 4 2 34 3 2 2" xfId="48462"/>
    <cellStyle name="Обычный 4 2 34 3 3" xfId="27099"/>
    <cellStyle name="Обычный 4 2 34 3 3 2" xfId="59142"/>
    <cellStyle name="Обычный 4 2 34 3 4" xfId="37782"/>
    <cellStyle name="Обычный 4 2 34 4" xfId="11078"/>
    <cellStyle name="Обычный 4 2 34 4 2" xfId="43122"/>
    <cellStyle name="Обычный 4 2 34 5" xfId="21759"/>
    <cellStyle name="Обычный 4 2 34 5 2" xfId="53802"/>
    <cellStyle name="Обычный 4 2 34 6" xfId="32442"/>
    <cellStyle name="Обычный 4 2 35" xfId="406"/>
    <cellStyle name="Обычный 4 2 35 2" xfId="874"/>
    <cellStyle name="Обычный 4 2 35 2 2" xfId="6217"/>
    <cellStyle name="Обычный 4 2 35 2 2 2" xfId="16897"/>
    <cellStyle name="Обычный 4 2 35 2 2 2 2" xfId="48941"/>
    <cellStyle name="Обычный 4 2 35 2 2 3" xfId="27578"/>
    <cellStyle name="Обычный 4 2 35 2 2 3 2" xfId="59621"/>
    <cellStyle name="Обычный 4 2 35 2 2 4" xfId="38261"/>
    <cellStyle name="Обычный 4 2 35 2 3" xfId="11557"/>
    <cellStyle name="Обычный 4 2 35 2 3 2" xfId="43601"/>
    <cellStyle name="Обычный 4 2 35 2 4" xfId="22238"/>
    <cellStyle name="Обычный 4 2 35 2 4 2" xfId="54281"/>
    <cellStyle name="Обычный 4 2 35 2 5" xfId="32921"/>
    <cellStyle name="Обычный 4 2 35 3" xfId="5750"/>
    <cellStyle name="Обычный 4 2 35 3 2" xfId="16430"/>
    <cellStyle name="Обычный 4 2 35 3 2 2" xfId="48474"/>
    <cellStyle name="Обычный 4 2 35 3 3" xfId="27111"/>
    <cellStyle name="Обычный 4 2 35 3 3 2" xfId="59154"/>
    <cellStyle name="Обычный 4 2 35 3 4" xfId="37794"/>
    <cellStyle name="Обычный 4 2 35 4" xfId="11090"/>
    <cellStyle name="Обычный 4 2 35 4 2" xfId="43134"/>
    <cellStyle name="Обычный 4 2 35 5" xfId="21771"/>
    <cellStyle name="Обычный 4 2 35 5 2" xfId="53814"/>
    <cellStyle name="Обычный 4 2 35 6" xfId="32454"/>
    <cellStyle name="Обычный 4 2 36" xfId="418"/>
    <cellStyle name="Обычный 4 2 36 2" xfId="886"/>
    <cellStyle name="Обычный 4 2 36 2 2" xfId="6229"/>
    <cellStyle name="Обычный 4 2 36 2 2 2" xfId="16909"/>
    <cellStyle name="Обычный 4 2 36 2 2 2 2" xfId="48953"/>
    <cellStyle name="Обычный 4 2 36 2 2 3" xfId="27590"/>
    <cellStyle name="Обычный 4 2 36 2 2 3 2" xfId="59633"/>
    <cellStyle name="Обычный 4 2 36 2 2 4" xfId="38273"/>
    <cellStyle name="Обычный 4 2 36 2 3" xfId="11569"/>
    <cellStyle name="Обычный 4 2 36 2 3 2" xfId="43613"/>
    <cellStyle name="Обычный 4 2 36 2 4" xfId="22250"/>
    <cellStyle name="Обычный 4 2 36 2 4 2" xfId="54293"/>
    <cellStyle name="Обычный 4 2 36 2 5" xfId="32933"/>
    <cellStyle name="Обычный 4 2 36 3" xfId="5762"/>
    <cellStyle name="Обычный 4 2 36 3 2" xfId="16442"/>
    <cellStyle name="Обычный 4 2 36 3 2 2" xfId="48486"/>
    <cellStyle name="Обычный 4 2 36 3 3" xfId="27123"/>
    <cellStyle name="Обычный 4 2 36 3 3 2" xfId="59166"/>
    <cellStyle name="Обычный 4 2 36 3 4" xfId="37806"/>
    <cellStyle name="Обычный 4 2 36 4" xfId="11102"/>
    <cellStyle name="Обычный 4 2 36 4 2" xfId="43146"/>
    <cellStyle name="Обычный 4 2 36 5" xfId="21783"/>
    <cellStyle name="Обычный 4 2 36 5 2" xfId="53826"/>
    <cellStyle name="Обычный 4 2 36 6" xfId="32466"/>
    <cellStyle name="Обычный 4 2 37" xfId="430"/>
    <cellStyle name="Обычный 4 2 37 2" xfId="898"/>
    <cellStyle name="Обычный 4 2 37 2 2" xfId="6241"/>
    <cellStyle name="Обычный 4 2 37 2 2 2" xfId="16921"/>
    <cellStyle name="Обычный 4 2 37 2 2 2 2" xfId="48965"/>
    <cellStyle name="Обычный 4 2 37 2 2 3" xfId="27602"/>
    <cellStyle name="Обычный 4 2 37 2 2 3 2" xfId="59645"/>
    <cellStyle name="Обычный 4 2 37 2 2 4" xfId="38285"/>
    <cellStyle name="Обычный 4 2 37 2 3" xfId="11581"/>
    <cellStyle name="Обычный 4 2 37 2 3 2" xfId="43625"/>
    <cellStyle name="Обычный 4 2 37 2 4" xfId="22262"/>
    <cellStyle name="Обычный 4 2 37 2 4 2" xfId="54305"/>
    <cellStyle name="Обычный 4 2 37 2 5" xfId="32945"/>
    <cellStyle name="Обычный 4 2 37 3" xfId="5774"/>
    <cellStyle name="Обычный 4 2 37 3 2" xfId="16454"/>
    <cellStyle name="Обычный 4 2 37 3 2 2" xfId="48498"/>
    <cellStyle name="Обычный 4 2 37 3 3" xfId="27135"/>
    <cellStyle name="Обычный 4 2 37 3 3 2" xfId="59178"/>
    <cellStyle name="Обычный 4 2 37 3 4" xfId="37818"/>
    <cellStyle name="Обычный 4 2 37 4" xfId="11114"/>
    <cellStyle name="Обычный 4 2 37 4 2" xfId="43158"/>
    <cellStyle name="Обычный 4 2 37 5" xfId="21795"/>
    <cellStyle name="Обычный 4 2 37 5 2" xfId="53838"/>
    <cellStyle name="Обычный 4 2 37 6" xfId="32478"/>
    <cellStyle name="Обычный 4 2 38" xfId="442"/>
    <cellStyle name="Обычный 4 2 38 2" xfId="910"/>
    <cellStyle name="Обычный 4 2 38 2 2" xfId="6253"/>
    <cellStyle name="Обычный 4 2 38 2 2 2" xfId="16933"/>
    <cellStyle name="Обычный 4 2 38 2 2 2 2" xfId="48977"/>
    <cellStyle name="Обычный 4 2 38 2 2 3" xfId="27614"/>
    <cellStyle name="Обычный 4 2 38 2 2 3 2" xfId="59657"/>
    <cellStyle name="Обычный 4 2 38 2 2 4" xfId="38297"/>
    <cellStyle name="Обычный 4 2 38 2 3" xfId="11593"/>
    <cellStyle name="Обычный 4 2 38 2 3 2" xfId="43637"/>
    <cellStyle name="Обычный 4 2 38 2 4" xfId="22274"/>
    <cellStyle name="Обычный 4 2 38 2 4 2" xfId="54317"/>
    <cellStyle name="Обычный 4 2 38 2 5" xfId="32957"/>
    <cellStyle name="Обычный 4 2 38 3" xfId="5786"/>
    <cellStyle name="Обычный 4 2 38 3 2" xfId="16466"/>
    <cellStyle name="Обычный 4 2 38 3 2 2" xfId="48510"/>
    <cellStyle name="Обычный 4 2 38 3 3" xfId="27147"/>
    <cellStyle name="Обычный 4 2 38 3 3 2" xfId="59190"/>
    <cellStyle name="Обычный 4 2 38 3 4" xfId="37830"/>
    <cellStyle name="Обычный 4 2 38 4" xfId="11126"/>
    <cellStyle name="Обычный 4 2 38 4 2" xfId="43170"/>
    <cellStyle name="Обычный 4 2 38 5" xfId="21807"/>
    <cellStyle name="Обычный 4 2 38 5 2" xfId="53850"/>
    <cellStyle name="Обычный 4 2 38 6" xfId="32490"/>
    <cellStyle name="Обычный 4 2 39" xfId="454"/>
    <cellStyle name="Обычный 4 2 39 2" xfId="922"/>
    <cellStyle name="Обычный 4 2 39 2 2" xfId="6265"/>
    <cellStyle name="Обычный 4 2 39 2 2 2" xfId="16945"/>
    <cellStyle name="Обычный 4 2 39 2 2 2 2" xfId="48989"/>
    <cellStyle name="Обычный 4 2 39 2 2 3" xfId="27626"/>
    <cellStyle name="Обычный 4 2 39 2 2 3 2" xfId="59669"/>
    <cellStyle name="Обычный 4 2 39 2 2 4" xfId="38309"/>
    <cellStyle name="Обычный 4 2 39 2 3" xfId="11605"/>
    <cellStyle name="Обычный 4 2 39 2 3 2" xfId="43649"/>
    <cellStyle name="Обычный 4 2 39 2 4" xfId="22286"/>
    <cellStyle name="Обычный 4 2 39 2 4 2" xfId="54329"/>
    <cellStyle name="Обычный 4 2 39 2 5" xfId="32969"/>
    <cellStyle name="Обычный 4 2 39 3" xfId="5798"/>
    <cellStyle name="Обычный 4 2 39 3 2" xfId="16478"/>
    <cellStyle name="Обычный 4 2 39 3 2 2" xfId="48522"/>
    <cellStyle name="Обычный 4 2 39 3 3" xfId="27159"/>
    <cellStyle name="Обычный 4 2 39 3 3 2" xfId="59202"/>
    <cellStyle name="Обычный 4 2 39 3 4" xfId="37842"/>
    <cellStyle name="Обычный 4 2 39 4" xfId="11138"/>
    <cellStyle name="Обычный 4 2 39 4 2" xfId="43182"/>
    <cellStyle name="Обычный 4 2 39 5" xfId="21819"/>
    <cellStyle name="Обычный 4 2 39 5 2" xfId="53862"/>
    <cellStyle name="Обычный 4 2 39 6" xfId="32502"/>
    <cellStyle name="Обычный 4 2 4" xfId="94"/>
    <cellStyle name="Обычный 4 2 4 2" xfId="562"/>
    <cellStyle name="Обычный 4 2 4 2 2" xfId="5905"/>
    <cellStyle name="Обычный 4 2 4 2 2 2" xfId="16585"/>
    <cellStyle name="Обычный 4 2 4 2 2 2 2" xfId="48629"/>
    <cellStyle name="Обычный 4 2 4 2 2 3" xfId="27266"/>
    <cellStyle name="Обычный 4 2 4 2 2 3 2" xfId="59309"/>
    <cellStyle name="Обычный 4 2 4 2 2 4" xfId="37949"/>
    <cellStyle name="Обычный 4 2 4 2 3" xfId="11245"/>
    <cellStyle name="Обычный 4 2 4 2 3 2" xfId="43289"/>
    <cellStyle name="Обычный 4 2 4 2 4" xfId="21926"/>
    <cellStyle name="Обычный 4 2 4 2 4 2" xfId="53969"/>
    <cellStyle name="Обычный 4 2 4 2 5" xfId="32609"/>
    <cellStyle name="Обычный 4 2 4 3" xfId="5438"/>
    <cellStyle name="Обычный 4 2 4 3 2" xfId="16118"/>
    <cellStyle name="Обычный 4 2 4 3 2 2" xfId="48162"/>
    <cellStyle name="Обычный 4 2 4 3 3" xfId="26799"/>
    <cellStyle name="Обычный 4 2 4 3 3 2" xfId="58842"/>
    <cellStyle name="Обычный 4 2 4 3 4" xfId="37482"/>
    <cellStyle name="Обычный 4 2 4 4" xfId="10778"/>
    <cellStyle name="Обычный 4 2 4 4 2" xfId="42822"/>
    <cellStyle name="Обычный 4 2 4 5" xfId="21459"/>
    <cellStyle name="Обычный 4 2 4 5 2" xfId="53502"/>
    <cellStyle name="Обычный 4 2 4 6" xfId="32142"/>
    <cellStyle name="Обычный 4 2 40" xfId="466"/>
    <cellStyle name="Обычный 4 2 40 2" xfId="934"/>
    <cellStyle name="Обычный 4 2 40 2 2" xfId="6277"/>
    <cellStyle name="Обычный 4 2 40 2 2 2" xfId="16957"/>
    <cellStyle name="Обычный 4 2 40 2 2 2 2" xfId="49001"/>
    <cellStyle name="Обычный 4 2 40 2 2 3" xfId="27638"/>
    <cellStyle name="Обычный 4 2 40 2 2 3 2" xfId="59681"/>
    <cellStyle name="Обычный 4 2 40 2 2 4" xfId="38321"/>
    <cellStyle name="Обычный 4 2 40 2 3" xfId="11617"/>
    <cellStyle name="Обычный 4 2 40 2 3 2" xfId="43661"/>
    <cellStyle name="Обычный 4 2 40 2 4" xfId="22298"/>
    <cellStyle name="Обычный 4 2 40 2 4 2" xfId="54341"/>
    <cellStyle name="Обычный 4 2 40 2 5" xfId="32981"/>
    <cellStyle name="Обычный 4 2 40 3" xfId="5810"/>
    <cellStyle name="Обычный 4 2 40 3 2" xfId="16490"/>
    <cellStyle name="Обычный 4 2 40 3 2 2" xfId="48534"/>
    <cellStyle name="Обычный 4 2 40 3 3" xfId="27171"/>
    <cellStyle name="Обычный 4 2 40 3 3 2" xfId="59214"/>
    <cellStyle name="Обычный 4 2 40 3 4" xfId="37854"/>
    <cellStyle name="Обычный 4 2 40 4" xfId="11150"/>
    <cellStyle name="Обычный 4 2 40 4 2" xfId="43194"/>
    <cellStyle name="Обычный 4 2 40 5" xfId="21831"/>
    <cellStyle name="Обычный 4 2 40 5 2" xfId="53874"/>
    <cellStyle name="Обычный 4 2 40 6" xfId="32514"/>
    <cellStyle name="Обычный 4 2 41" xfId="478"/>
    <cellStyle name="Обычный 4 2 41 2" xfId="946"/>
    <cellStyle name="Обычный 4 2 41 2 2" xfId="6289"/>
    <cellStyle name="Обычный 4 2 41 2 2 2" xfId="16969"/>
    <cellStyle name="Обычный 4 2 41 2 2 2 2" xfId="49013"/>
    <cellStyle name="Обычный 4 2 41 2 2 3" xfId="27650"/>
    <cellStyle name="Обычный 4 2 41 2 2 3 2" xfId="59693"/>
    <cellStyle name="Обычный 4 2 41 2 2 4" xfId="38333"/>
    <cellStyle name="Обычный 4 2 41 2 3" xfId="11629"/>
    <cellStyle name="Обычный 4 2 41 2 3 2" xfId="43673"/>
    <cellStyle name="Обычный 4 2 41 2 4" xfId="22310"/>
    <cellStyle name="Обычный 4 2 41 2 4 2" xfId="54353"/>
    <cellStyle name="Обычный 4 2 41 2 5" xfId="32993"/>
    <cellStyle name="Обычный 4 2 41 3" xfId="5822"/>
    <cellStyle name="Обычный 4 2 41 3 2" xfId="16502"/>
    <cellStyle name="Обычный 4 2 41 3 2 2" xfId="48546"/>
    <cellStyle name="Обычный 4 2 41 3 3" xfId="27183"/>
    <cellStyle name="Обычный 4 2 41 3 3 2" xfId="59226"/>
    <cellStyle name="Обычный 4 2 41 3 4" xfId="37866"/>
    <cellStyle name="Обычный 4 2 41 4" xfId="11162"/>
    <cellStyle name="Обычный 4 2 41 4 2" xfId="43206"/>
    <cellStyle name="Обычный 4 2 41 5" xfId="21843"/>
    <cellStyle name="Обычный 4 2 41 5 2" xfId="53886"/>
    <cellStyle name="Обычный 4 2 41 6" xfId="32526"/>
    <cellStyle name="Обычный 4 2 42" xfId="490"/>
    <cellStyle name="Обычный 4 2 42 2" xfId="958"/>
    <cellStyle name="Обычный 4 2 42 2 2" xfId="6301"/>
    <cellStyle name="Обычный 4 2 42 2 2 2" xfId="16981"/>
    <cellStyle name="Обычный 4 2 42 2 2 2 2" xfId="49025"/>
    <cellStyle name="Обычный 4 2 42 2 2 3" xfId="27662"/>
    <cellStyle name="Обычный 4 2 42 2 2 3 2" xfId="59705"/>
    <cellStyle name="Обычный 4 2 42 2 2 4" xfId="38345"/>
    <cellStyle name="Обычный 4 2 42 2 3" xfId="11641"/>
    <cellStyle name="Обычный 4 2 42 2 3 2" xfId="43685"/>
    <cellStyle name="Обычный 4 2 42 2 4" xfId="22322"/>
    <cellStyle name="Обычный 4 2 42 2 4 2" xfId="54365"/>
    <cellStyle name="Обычный 4 2 42 2 5" xfId="33005"/>
    <cellStyle name="Обычный 4 2 42 3" xfId="5834"/>
    <cellStyle name="Обычный 4 2 42 3 2" xfId="16514"/>
    <cellStyle name="Обычный 4 2 42 3 2 2" xfId="48558"/>
    <cellStyle name="Обычный 4 2 42 3 3" xfId="27195"/>
    <cellStyle name="Обычный 4 2 42 3 3 2" xfId="59238"/>
    <cellStyle name="Обычный 4 2 42 3 4" xfId="37878"/>
    <cellStyle name="Обычный 4 2 42 4" xfId="11174"/>
    <cellStyle name="Обычный 4 2 42 4 2" xfId="43218"/>
    <cellStyle name="Обычный 4 2 42 5" xfId="21855"/>
    <cellStyle name="Обычный 4 2 42 5 2" xfId="53898"/>
    <cellStyle name="Обычный 4 2 42 6" xfId="32538"/>
    <cellStyle name="Обычный 4 2 43" xfId="502"/>
    <cellStyle name="Обычный 4 2 43 2" xfId="5845"/>
    <cellStyle name="Обычный 4 2 43 2 2" xfId="16525"/>
    <cellStyle name="Обычный 4 2 43 2 2 2" xfId="48569"/>
    <cellStyle name="Обычный 4 2 43 2 3" xfId="27206"/>
    <cellStyle name="Обычный 4 2 43 2 3 2" xfId="59249"/>
    <cellStyle name="Обычный 4 2 43 2 4" xfId="37889"/>
    <cellStyle name="Обычный 4 2 43 3" xfId="11185"/>
    <cellStyle name="Обычный 4 2 43 3 2" xfId="43229"/>
    <cellStyle name="Обычный 4 2 43 4" xfId="21866"/>
    <cellStyle name="Обычный 4 2 43 4 2" xfId="53909"/>
    <cellStyle name="Обычный 4 2 43 5" xfId="32549"/>
    <cellStyle name="Обычный 4 2 44" xfId="970"/>
    <cellStyle name="Обычный 4 2 44 2" xfId="6313"/>
    <cellStyle name="Обычный 4 2 44 2 2" xfId="16993"/>
    <cellStyle name="Обычный 4 2 44 2 2 2" xfId="49037"/>
    <cellStyle name="Обычный 4 2 44 2 3" xfId="27674"/>
    <cellStyle name="Обычный 4 2 44 2 3 2" xfId="59717"/>
    <cellStyle name="Обычный 4 2 44 2 4" xfId="38357"/>
    <cellStyle name="Обычный 4 2 44 3" xfId="11653"/>
    <cellStyle name="Обычный 4 2 44 3 2" xfId="43697"/>
    <cellStyle name="Обычный 4 2 44 4" xfId="22334"/>
    <cellStyle name="Обычный 4 2 44 4 2" xfId="54377"/>
    <cellStyle name="Обычный 4 2 44 5" xfId="33017"/>
    <cellStyle name="Обычный 4 2 45" xfId="994"/>
    <cellStyle name="Обычный 4 2 45 2" xfId="6337"/>
    <cellStyle name="Обычный 4 2 45 2 2" xfId="17017"/>
    <cellStyle name="Обычный 4 2 45 2 2 2" xfId="49061"/>
    <cellStyle name="Обычный 4 2 45 2 3" xfId="27698"/>
    <cellStyle name="Обычный 4 2 45 2 3 2" xfId="59741"/>
    <cellStyle name="Обычный 4 2 45 2 4" xfId="38381"/>
    <cellStyle name="Обычный 4 2 45 3" xfId="11677"/>
    <cellStyle name="Обычный 4 2 45 3 2" xfId="43721"/>
    <cellStyle name="Обычный 4 2 45 4" xfId="22358"/>
    <cellStyle name="Обычный 4 2 45 4 2" xfId="54401"/>
    <cellStyle name="Обычный 4 2 45 5" xfId="33041"/>
    <cellStyle name="Обычный 4 2 46" xfId="1018"/>
    <cellStyle name="Обычный 4 2 46 2" xfId="6361"/>
    <cellStyle name="Обычный 4 2 46 2 2" xfId="17041"/>
    <cellStyle name="Обычный 4 2 46 2 2 2" xfId="49085"/>
    <cellStyle name="Обычный 4 2 46 2 3" xfId="27722"/>
    <cellStyle name="Обычный 4 2 46 2 3 2" xfId="59765"/>
    <cellStyle name="Обычный 4 2 46 2 4" xfId="38405"/>
    <cellStyle name="Обычный 4 2 46 3" xfId="11701"/>
    <cellStyle name="Обычный 4 2 46 3 2" xfId="43745"/>
    <cellStyle name="Обычный 4 2 46 4" xfId="22382"/>
    <cellStyle name="Обычный 4 2 46 4 2" xfId="54425"/>
    <cellStyle name="Обычный 4 2 46 5" xfId="33065"/>
    <cellStyle name="Обычный 4 2 47" xfId="1044"/>
    <cellStyle name="Обычный 4 2 47 2" xfId="6387"/>
    <cellStyle name="Обычный 4 2 47 2 2" xfId="17067"/>
    <cellStyle name="Обычный 4 2 47 2 2 2" xfId="49111"/>
    <cellStyle name="Обычный 4 2 47 2 3" xfId="27748"/>
    <cellStyle name="Обычный 4 2 47 2 3 2" xfId="59791"/>
    <cellStyle name="Обычный 4 2 47 2 4" xfId="38431"/>
    <cellStyle name="Обычный 4 2 47 3" xfId="11727"/>
    <cellStyle name="Обычный 4 2 47 3 2" xfId="43771"/>
    <cellStyle name="Обычный 4 2 47 4" xfId="22408"/>
    <cellStyle name="Обычный 4 2 47 4 2" xfId="54451"/>
    <cellStyle name="Обычный 4 2 47 5" xfId="33091"/>
    <cellStyle name="Обычный 4 2 48" xfId="1070"/>
    <cellStyle name="Обычный 4 2 48 2" xfId="6413"/>
    <cellStyle name="Обычный 4 2 48 2 2" xfId="17093"/>
    <cellStyle name="Обычный 4 2 48 2 2 2" xfId="49137"/>
    <cellStyle name="Обычный 4 2 48 2 3" xfId="27774"/>
    <cellStyle name="Обычный 4 2 48 2 3 2" xfId="59817"/>
    <cellStyle name="Обычный 4 2 48 2 4" xfId="38457"/>
    <cellStyle name="Обычный 4 2 48 3" xfId="11753"/>
    <cellStyle name="Обычный 4 2 48 3 2" xfId="43797"/>
    <cellStyle name="Обычный 4 2 48 4" xfId="22434"/>
    <cellStyle name="Обычный 4 2 48 4 2" xfId="54477"/>
    <cellStyle name="Обычный 4 2 48 5" xfId="33117"/>
    <cellStyle name="Обычный 4 2 49" xfId="1096"/>
    <cellStyle name="Обычный 4 2 49 2" xfId="6439"/>
    <cellStyle name="Обычный 4 2 49 2 2" xfId="17119"/>
    <cellStyle name="Обычный 4 2 49 2 2 2" xfId="49163"/>
    <cellStyle name="Обычный 4 2 49 2 3" xfId="27800"/>
    <cellStyle name="Обычный 4 2 49 2 3 2" xfId="59843"/>
    <cellStyle name="Обычный 4 2 49 2 4" xfId="38483"/>
    <cellStyle name="Обычный 4 2 49 3" xfId="11779"/>
    <cellStyle name="Обычный 4 2 49 3 2" xfId="43823"/>
    <cellStyle name="Обычный 4 2 49 4" xfId="22460"/>
    <cellStyle name="Обычный 4 2 49 4 2" xfId="54503"/>
    <cellStyle name="Обычный 4 2 49 5" xfId="33143"/>
    <cellStyle name="Обычный 4 2 5" xfId="104"/>
    <cellStyle name="Обычный 4 2 5 2" xfId="572"/>
    <cellStyle name="Обычный 4 2 5 2 2" xfId="5915"/>
    <cellStyle name="Обычный 4 2 5 2 2 2" xfId="16595"/>
    <cellStyle name="Обычный 4 2 5 2 2 2 2" xfId="48639"/>
    <cellStyle name="Обычный 4 2 5 2 2 3" xfId="27276"/>
    <cellStyle name="Обычный 4 2 5 2 2 3 2" xfId="59319"/>
    <cellStyle name="Обычный 4 2 5 2 2 4" xfId="37959"/>
    <cellStyle name="Обычный 4 2 5 2 3" xfId="11255"/>
    <cellStyle name="Обычный 4 2 5 2 3 2" xfId="43299"/>
    <cellStyle name="Обычный 4 2 5 2 4" xfId="21936"/>
    <cellStyle name="Обычный 4 2 5 2 4 2" xfId="53979"/>
    <cellStyle name="Обычный 4 2 5 2 5" xfId="32619"/>
    <cellStyle name="Обычный 4 2 5 3" xfId="5448"/>
    <cellStyle name="Обычный 4 2 5 3 2" xfId="16128"/>
    <cellStyle name="Обычный 4 2 5 3 2 2" xfId="48172"/>
    <cellStyle name="Обычный 4 2 5 3 3" xfId="26809"/>
    <cellStyle name="Обычный 4 2 5 3 3 2" xfId="58852"/>
    <cellStyle name="Обычный 4 2 5 3 4" xfId="37492"/>
    <cellStyle name="Обычный 4 2 5 4" xfId="10788"/>
    <cellStyle name="Обычный 4 2 5 4 2" xfId="42832"/>
    <cellStyle name="Обычный 4 2 5 5" xfId="21469"/>
    <cellStyle name="Обычный 4 2 5 5 2" xfId="53512"/>
    <cellStyle name="Обычный 4 2 5 6" xfId="32152"/>
    <cellStyle name="Обычный 4 2 50" xfId="1122"/>
    <cellStyle name="Обычный 4 2 50 2" xfId="6465"/>
    <cellStyle name="Обычный 4 2 50 2 2" xfId="17145"/>
    <cellStyle name="Обычный 4 2 50 2 2 2" xfId="49189"/>
    <cellStyle name="Обычный 4 2 50 2 3" xfId="27826"/>
    <cellStyle name="Обычный 4 2 50 2 3 2" xfId="59869"/>
    <cellStyle name="Обычный 4 2 50 2 4" xfId="38509"/>
    <cellStyle name="Обычный 4 2 50 3" xfId="11805"/>
    <cellStyle name="Обычный 4 2 50 3 2" xfId="43849"/>
    <cellStyle name="Обычный 4 2 50 4" xfId="22486"/>
    <cellStyle name="Обычный 4 2 50 4 2" xfId="54529"/>
    <cellStyle name="Обычный 4 2 50 5" xfId="33169"/>
    <cellStyle name="Обычный 4 2 51" xfId="1148"/>
    <cellStyle name="Обычный 4 2 51 2" xfId="6491"/>
    <cellStyle name="Обычный 4 2 51 2 2" xfId="17171"/>
    <cellStyle name="Обычный 4 2 51 2 2 2" xfId="49215"/>
    <cellStyle name="Обычный 4 2 51 2 3" xfId="27852"/>
    <cellStyle name="Обычный 4 2 51 2 3 2" xfId="59895"/>
    <cellStyle name="Обычный 4 2 51 2 4" xfId="38535"/>
    <cellStyle name="Обычный 4 2 51 3" xfId="11831"/>
    <cellStyle name="Обычный 4 2 51 3 2" xfId="43875"/>
    <cellStyle name="Обычный 4 2 51 4" xfId="22512"/>
    <cellStyle name="Обычный 4 2 51 4 2" xfId="54555"/>
    <cellStyle name="Обычный 4 2 51 5" xfId="33195"/>
    <cellStyle name="Обычный 4 2 52" xfId="1174"/>
    <cellStyle name="Обычный 4 2 52 2" xfId="6517"/>
    <cellStyle name="Обычный 4 2 52 2 2" xfId="17197"/>
    <cellStyle name="Обычный 4 2 52 2 2 2" xfId="49241"/>
    <cellStyle name="Обычный 4 2 52 2 3" xfId="27878"/>
    <cellStyle name="Обычный 4 2 52 2 3 2" xfId="59921"/>
    <cellStyle name="Обычный 4 2 52 2 4" xfId="38561"/>
    <cellStyle name="Обычный 4 2 52 3" xfId="11857"/>
    <cellStyle name="Обычный 4 2 52 3 2" xfId="43901"/>
    <cellStyle name="Обычный 4 2 52 4" xfId="22538"/>
    <cellStyle name="Обычный 4 2 52 4 2" xfId="54581"/>
    <cellStyle name="Обычный 4 2 52 5" xfId="33221"/>
    <cellStyle name="Обычный 4 2 53" xfId="1200"/>
    <cellStyle name="Обычный 4 2 53 2" xfId="6543"/>
    <cellStyle name="Обычный 4 2 53 2 2" xfId="17223"/>
    <cellStyle name="Обычный 4 2 53 2 2 2" xfId="49267"/>
    <cellStyle name="Обычный 4 2 53 2 3" xfId="27904"/>
    <cellStyle name="Обычный 4 2 53 2 3 2" xfId="59947"/>
    <cellStyle name="Обычный 4 2 53 2 4" xfId="38587"/>
    <cellStyle name="Обычный 4 2 53 3" xfId="11883"/>
    <cellStyle name="Обычный 4 2 53 3 2" xfId="43927"/>
    <cellStyle name="Обычный 4 2 53 4" xfId="22564"/>
    <cellStyle name="Обычный 4 2 53 4 2" xfId="54607"/>
    <cellStyle name="Обычный 4 2 53 5" xfId="33247"/>
    <cellStyle name="Обычный 4 2 54" xfId="1226"/>
    <cellStyle name="Обычный 4 2 54 2" xfId="6569"/>
    <cellStyle name="Обычный 4 2 54 2 2" xfId="17249"/>
    <cellStyle name="Обычный 4 2 54 2 2 2" xfId="49293"/>
    <cellStyle name="Обычный 4 2 54 2 3" xfId="27930"/>
    <cellStyle name="Обычный 4 2 54 2 3 2" xfId="59973"/>
    <cellStyle name="Обычный 4 2 54 2 4" xfId="38613"/>
    <cellStyle name="Обычный 4 2 54 3" xfId="11909"/>
    <cellStyle name="Обычный 4 2 54 3 2" xfId="43953"/>
    <cellStyle name="Обычный 4 2 54 4" xfId="22590"/>
    <cellStyle name="Обычный 4 2 54 4 2" xfId="54633"/>
    <cellStyle name="Обычный 4 2 54 5" xfId="33273"/>
    <cellStyle name="Обычный 4 2 55" xfId="1252"/>
    <cellStyle name="Обычный 4 2 55 2" xfId="6595"/>
    <cellStyle name="Обычный 4 2 55 2 2" xfId="17275"/>
    <cellStyle name="Обычный 4 2 55 2 2 2" xfId="49319"/>
    <cellStyle name="Обычный 4 2 55 2 3" xfId="27956"/>
    <cellStyle name="Обычный 4 2 55 2 3 2" xfId="59999"/>
    <cellStyle name="Обычный 4 2 55 2 4" xfId="38639"/>
    <cellStyle name="Обычный 4 2 55 3" xfId="11935"/>
    <cellStyle name="Обычный 4 2 55 3 2" xfId="43979"/>
    <cellStyle name="Обычный 4 2 55 4" xfId="22616"/>
    <cellStyle name="Обычный 4 2 55 4 2" xfId="54659"/>
    <cellStyle name="Обычный 4 2 55 5" xfId="33299"/>
    <cellStyle name="Обычный 4 2 56" xfId="1278"/>
    <cellStyle name="Обычный 4 2 56 2" xfId="6621"/>
    <cellStyle name="Обычный 4 2 56 2 2" xfId="17301"/>
    <cellStyle name="Обычный 4 2 56 2 2 2" xfId="49345"/>
    <cellStyle name="Обычный 4 2 56 2 3" xfId="27982"/>
    <cellStyle name="Обычный 4 2 56 2 3 2" xfId="60025"/>
    <cellStyle name="Обычный 4 2 56 2 4" xfId="38665"/>
    <cellStyle name="Обычный 4 2 56 3" xfId="11961"/>
    <cellStyle name="Обычный 4 2 56 3 2" xfId="44005"/>
    <cellStyle name="Обычный 4 2 56 4" xfId="22642"/>
    <cellStyle name="Обычный 4 2 56 4 2" xfId="54685"/>
    <cellStyle name="Обычный 4 2 56 5" xfId="33325"/>
    <cellStyle name="Обычный 4 2 57" xfId="1305"/>
    <cellStyle name="Обычный 4 2 57 2" xfId="6647"/>
    <cellStyle name="Обычный 4 2 57 2 2" xfId="17327"/>
    <cellStyle name="Обычный 4 2 57 2 2 2" xfId="49371"/>
    <cellStyle name="Обычный 4 2 57 2 3" xfId="28008"/>
    <cellStyle name="Обычный 4 2 57 2 3 2" xfId="60051"/>
    <cellStyle name="Обычный 4 2 57 2 4" xfId="38691"/>
    <cellStyle name="Обычный 4 2 57 3" xfId="11987"/>
    <cellStyle name="Обычный 4 2 57 3 2" xfId="44031"/>
    <cellStyle name="Обычный 4 2 57 4" xfId="22668"/>
    <cellStyle name="Обычный 4 2 57 4 2" xfId="54711"/>
    <cellStyle name="Обычный 4 2 57 5" xfId="33351"/>
    <cellStyle name="Обычный 4 2 58" xfId="1331"/>
    <cellStyle name="Обычный 4 2 58 2" xfId="6673"/>
    <cellStyle name="Обычный 4 2 58 2 2" xfId="17353"/>
    <cellStyle name="Обычный 4 2 58 2 2 2" xfId="49397"/>
    <cellStyle name="Обычный 4 2 58 2 3" xfId="28034"/>
    <cellStyle name="Обычный 4 2 58 2 3 2" xfId="60077"/>
    <cellStyle name="Обычный 4 2 58 2 4" xfId="38717"/>
    <cellStyle name="Обычный 4 2 58 3" xfId="12013"/>
    <cellStyle name="Обычный 4 2 58 3 2" xfId="44057"/>
    <cellStyle name="Обычный 4 2 58 4" xfId="22694"/>
    <cellStyle name="Обычный 4 2 58 4 2" xfId="54737"/>
    <cellStyle name="Обычный 4 2 58 5" xfId="33377"/>
    <cellStyle name="Обычный 4 2 59" xfId="1357"/>
    <cellStyle name="Обычный 4 2 59 2" xfId="6699"/>
    <cellStyle name="Обычный 4 2 59 2 2" xfId="17379"/>
    <cellStyle name="Обычный 4 2 59 2 2 2" xfId="49423"/>
    <cellStyle name="Обычный 4 2 59 2 3" xfId="28060"/>
    <cellStyle name="Обычный 4 2 59 2 3 2" xfId="60103"/>
    <cellStyle name="Обычный 4 2 59 2 4" xfId="38743"/>
    <cellStyle name="Обычный 4 2 59 3" xfId="12039"/>
    <cellStyle name="Обычный 4 2 59 3 2" xfId="44083"/>
    <cellStyle name="Обычный 4 2 59 4" xfId="22720"/>
    <cellStyle name="Обычный 4 2 59 4 2" xfId="54763"/>
    <cellStyle name="Обычный 4 2 59 5" xfId="33403"/>
    <cellStyle name="Обычный 4 2 6" xfId="114"/>
    <cellStyle name="Обычный 4 2 6 2" xfId="582"/>
    <cellStyle name="Обычный 4 2 6 2 2" xfId="5925"/>
    <cellStyle name="Обычный 4 2 6 2 2 2" xfId="16605"/>
    <cellStyle name="Обычный 4 2 6 2 2 2 2" xfId="48649"/>
    <cellStyle name="Обычный 4 2 6 2 2 3" xfId="27286"/>
    <cellStyle name="Обычный 4 2 6 2 2 3 2" xfId="59329"/>
    <cellStyle name="Обычный 4 2 6 2 2 4" xfId="37969"/>
    <cellStyle name="Обычный 4 2 6 2 3" xfId="11265"/>
    <cellStyle name="Обычный 4 2 6 2 3 2" xfId="43309"/>
    <cellStyle name="Обычный 4 2 6 2 4" xfId="21946"/>
    <cellStyle name="Обычный 4 2 6 2 4 2" xfId="53989"/>
    <cellStyle name="Обычный 4 2 6 2 5" xfId="32629"/>
    <cellStyle name="Обычный 4 2 6 3" xfId="5458"/>
    <cellStyle name="Обычный 4 2 6 3 2" xfId="16138"/>
    <cellStyle name="Обычный 4 2 6 3 2 2" xfId="48182"/>
    <cellStyle name="Обычный 4 2 6 3 3" xfId="26819"/>
    <cellStyle name="Обычный 4 2 6 3 3 2" xfId="58862"/>
    <cellStyle name="Обычный 4 2 6 3 4" xfId="37502"/>
    <cellStyle name="Обычный 4 2 6 4" xfId="10798"/>
    <cellStyle name="Обычный 4 2 6 4 2" xfId="42842"/>
    <cellStyle name="Обычный 4 2 6 5" xfId="21479"/>
    <cellStyle name="Обычный 4 2 6 5 2" xfId="53522"/>
    <cellStyle name="Обычный 4 2 6 6" xfId="32162"/>
    <cellStyle name="Обычный 4 2 60" xfId="1383"/>
    <cellStyle name="Обычный 4 2 60 2" xfId="6725"/>
    <cellStyle name="Обычный 4 2 60 2 2" xfId="17405"/>
    <cellStyle name="Обычный 4 2 60 2 2 2" xfId="49449"/>
    <cellStyle name="Обычный 4 2 60 2 3" xfId="28086"/>
    <cellStyle name="Обычный 4 2 60 2 3 2" xfId="60129"/>
    <cellStyle name="Обычный 4 2 60 2 4" xfId="38769"/>
    <cellStyle name="Обычный 4 2 60 3" xfId="12065"/>
    <cellStyle name="Обычный 4 2 60 3 2" xfId="44109"/>
    <cellStyle name="Обычный 4 2 60 4" xfId="22746"/>
    <cellStyle name="Обычный 4 2 60 4 2" xfId="54789"/>
    <cellStyle name="Обычный 4 2 60 5" xfId="33429"/>
    <cellStyle name="Обычный 4 2 61" xfId="1409"/>
    <cellStyle name="Обычный 4 2 61 2" xfId="6751"/>
    <cellStyle name="Обычный 4 2 61 2 2" xfId="17431"/>
    <cellStyle name="Обычный 4 2 61 2 2 2" xfId="49475"/>
    <cellStyle name="Обычный 4 2 61 2 3" xfId="28112"/>
    <cellStyle name="Обычный 4 2 61 2 3 2" xfId="60155"/>
    <cellStyle name="Обычный 4 2 61 2 4" xfId="38795"/>
    <cellStyle name="Обычный 4 2 61 3" xfId="12091"/>
    <cellStyle name="Обычный 4 2 61 3 2" xfId="44135"/>
    <cellStyle name="Обычный 4 2 61 4" xfId="22772"/>
    <cellStyle name="Обычный 4 2 61 4 2" xfId="54815"/>
    <cellStyle name="Обычный 4 2 61 5" xfId="33455"/>
    <cellStyle name="Обычный 4 2 62" xfId="1435"/>
    <cellStyle name="Обычный 4 2 62 2" xfId="6777"/>
    <cellStyle name="Обычный 4 2 62 2 2" xfId="17457"/>
    <cellStyle name="Обычный 4 2 62 2 2 2" xfId="49501"/>
    <cellStyle name="Обычный 4 2 62 2 3" xfId="28138"/>
    <cellStyle name="Обычный 4 2 62 2 3 2" xfId="60181"/>
    <cellStyle name="Обычный 4 2 62 2 4" xfId="38821"/>
    <cellStyle name="Обычный 4 2 62 3" xfId="12117"/>
    <cellStyle name="Обычный 4 2 62 3 2" xfId="44161"/>
    <cellStyle name="Обычный 4 2 62 4" xfId="22798"/>
    <cellStyle name="Обычный 4 2 62 4 2" xfId="54841"/>
    <cellStyle name="Обычный 4 2 62 5" xfId="33481"/>
    <cellStyle name="Обычный 4 2 63" xfId="1461"/>
    <cellStyle name="Обычный 4 2 63 2" xfId="6803"/>
    <cellStyle name="Обычный 4 2 63 2 2" xfId="17483"/>
    <cellStyle name="Обычный 4 2 63 2 2 2" xfId="49527"/>
    <cellStyle name="Обычный 4 2 63 2 3" xfId="28164"/>
    <cellStyle name="Обычный 4 2 63 2 3 2" xfId="60207"/>
    <cellStyle name="Обычный 4 2 63 2 4" xfId="38847"/>
    <cellStyle name="Обычный 4 2 63 3" xfId="12143"/>
    <cellStyle name="Обычный 4 2 63 3 2" xfId="44187"/>
    <cellStyle name="Обычный 4 2 63 4" xfId="22824"/>
    <cellStyle name="Обычный 4 2 63 4 2" xfId="54867"/>
    <cellStyle name="Обычный 4 2 63 5" xfId="33507"/>
    <cellStyle name="Обычный 4 2 64" xfId="1487"/>
    <cellStyle name="Обычный 4 2 64 2" xfId="6829"/>
    <cellStyle name="Обычный 4 2 64 2 2" xfId="17509"/>
    <cellStyle name="Обычный 4 2 64 2 2 2" xfId="49553"/>
    <cellStyle name="Обычный 4 2 64 2 3" xfId="28190"/>
    <cellStyle name="Обычный 4 2 64 2 3 2" xfId="60233"/>
    <cellStyle name="Обычный 4 2 64 2 4" xfId="38873"/>
    <cellStyle name="Обычный 4 2 64 3" xfId="12169"/>
    <cellStyle name="Обычный 4 2 64 3 2" xfId="44213"/>
    <cellStyle name="Обычный 4 2 64 4" xfId="22850"/>
    <cellStyle name="Обычный 4 2 64 4 2" xfId="54893"/>
    <cellStyle name="Обычный 4 2 64 5" xfId="33533"/>
    <cellStyle name="Обычный 4 2 65" xfId="1513"/>
    <cellStyle name="Обычный 4 2 65 2" xfId="6855"/>
    <cellStyle name="Обычный 4 2 65 2 2" xfId="17535"/>
    <cellStyle name="Обычный 4 2 65 2 2 2" xfId="49579"/>
    <cellStyle name="Обычный 4 2 65 2 3" xfId="28216"/>
    <cellStyle name="Обычный 4 2 65 2 3 2" xfId="60259"/>
    <cellStyle name="Обычный 4 2 65 2 4" xfId="38899"/>
    <cellStyle name="Обычный 4 2 65 3" xfId="12195"/>
    <cellStyle name="Обычный 4 2 65 3 2" xfId="44239"/>
    <cellStyle name="Обычный 4 2 65 4" xfId="22876"/>
    <cellStyle name="Обычный 4 2 65 4 2" xfId="54919"/>
    <cellStyle name="Обычный 4 2 65 5" xfId="33559"/>
    <cellStyle name="Обычный 4 2 66" xfId="1539"/>
    <cellStyle name="Обычный 4 2 66 2" xfId="6881"/>
    <cellStyle name="Обычный 4 2 66 2 2" xfId="17561"/>
    <cellStyle name="Обычный 4 2 66 2 2 2" xfId="49605"/>
    <cellStyle name="Обычный 4 2 66 2 3" xfId="28242"/>
    <cellStyle name="Обычный 4 2 66 2 3 2" xfId="60285"/>
    <cellStyle name="Обычный 4 2 66 2 4" xfId="38925"/>
    <cellStyle name="Обычный 4 2 66 3" xfId="12221"/>
    <cellStyle name="Обычный 4 2 66 3 2" xfId="44265"/>
    <cellStyle name="Обычный 4 2 66 4" xfId="22902"/>
    <cellStyle name="Обычный 4 2 66 4 2" xfId="54945"/>
    <cellStyle name="Обычный 4 2 66 5" xfId="33585"/>
    <cellStyle name="Обычный 4 2 67" xfId="1565"/>
    <cellStyle name="Обычный 4 2 67 2" xfId="6907"/>
    <cellStyle name="Обычный 4 2 67 2 2" xfId="17587"/>
    <cellStyle name="Обычный 4 2 67 2 2 2" xfId="49631"/>
    <cellStyle name="Обычный 4 2 67 2 3" xfId="28268"/>
    <cellStyle name="Обычный 4 2 67 2 3 2" xfId="60311"/>
    <cellStyle name="Обычный 4 2 67 2 4" xfId="38951"/>
    <cellStyle name="Обычный 4 2 67 3" xfId="12247"/>
    <cellStyle name="Обычный 4 2 67 3 2" xfId="44291"/>
    <cellStyle name="Обычный 4 2 67 4" xfId="22928"/>
    <cellStyle name="Обычный 4 2 67 4 2" xfId="54971"/>
    <cellStyle name="Обычный 4 2 67 5" xfId="33611"/>
    <cellStyle name="Обычный 4 2 68" xfId="1591"/>
    <cellStyle name="Обычный 4 2 68 2" xfId="6933"/>
    <cellStyle name="Обычный 4 2 68 2 2" xfId="17613"/>
    <cellStyle name="Обычный 4 2 68 2 2 2" xfId="49657"/>
    <cellStyle name="Обычный 4 2 68 2 3" xfId="28294"/>
    <cellStyle name="Обычный 4 2 68 2 3 2" xfId="60337"/>
    <cellStyle name="Обычный 4 2 68 2 4" xfId="38977"/>
    <cellStyle name="Обычный 4 2 68 3" xfId="12273"/>
    <cellStyle name="Обычный 4 2 68 3 2" xfId="44317"/>
    <cellStyle name="Обычный 4 2 68 4" xfId="22954"/>
    <cellStyle name="Обычный 4 2 68 4 2" xfId="54997"/>
    <cellStyle name="Обычный 4 2 68 5" xfId="33637"/>
    <cellStyle name="Обычный 4 2 69" xfId="1617"/>
    <cellStyle name="Обычный 4 2 69 2" xfId="6959"/>
    <cellStyle name="Обычный 4 2 69 2 2" xfId="17639"/>
    <cellStyle name="Обычный 4 2 69 2 2 2" xfId="49683"/>
    <cellStyle name="Обычный 4 2 69 2 3" xfId="28320"/>
    <cellStyle name="Обычный 4 2 69 2 3 2" xfId="60363"/>
    <cellStyle name="Обычный 4 2 69 2 4" xfId="39003"/>
    <cellStyle name="Обычный 4 2 69 3" xfId="12299"/>
    <cellStyle name="Обычный 4 2 69 3 2" xfId="44343"/>
    <cellStyle name="Обычный 4 2 69 4" xfId="22980"/>
    <cellStyle name="Обычный 4 2 69 4 2" xfId="55023"/>
    <cellStyle name="Обычный 4 2 69 5" xfId="33663"/>
    <cellStyle name="Обычный 4 2 7" xfId="124"/>
    <cellStyle name="Обычный 4 2 7 2" xfId="592"/>
    <cellStyle name="Обычный 4 2 7 2 2" xfId="5935"/>
    <cellStyle name="Обычный 4 2 7 2 2 2" xfId="16615"/>
    <cellStyle name="Обычный 4 2 7 2 2 2 2" xfId="48659"/>
    <cellStyle name="Обычный 4 2 7 2 2 3" xfId="27296"/>
    <cellStyle name="Обычный 4 2 7 2 2 3 2" xfId="59339"/>
    <cellStyle name="Обычный 4 2 7 2 2 4" xfId="37979"/>
    <cellStyle name="Обычный 4 2 7 2 3" xfId="11275"/>
    <cellStyle name="Обычный 4 2 7 2 3 2" xfId="43319"/>
    <cellStyle name="Обычный 4 2 7 2 4" xfId="21956"/>
    <cellStyle name="Обычный 4 2 7 2 4 2" xfId="53999"/>
    <cellStyle name="Обычный 4 2 7 2 5" xfId="32639"/>
    <cellStyle name="Обычный 4 2 7 3" xfId="5468"/>
    <cellStyle name="Обычный 4 2 7 3 2" xfId="16148"/>
    <cellStyle name="Обычный 4 2 7 3 2 2" xfId="48192"/>
    <cellStyle name="Обычный 4 2 7 3 3" xfId="26829"/>
    <cellStyle name="Обычный 4 2 7 3 3 2" xfId="58872"/>
    <cellStyle name="Обычный 4 2 7 3 4" xfId="37512"/>
    <cellStyle name="Обычный 4 2 7 4" xfId="10808"/>
    <cellStyle name="Обычный 4 2 7 4 2" xfId="42852"/>
    <cellStyle name="Обычный 4 2 7 5" xfId="21489"/>
    <cellStyle name="Обычный 4 2 7 5 2" xfId="53532"/>
    <cellStyle name="Обычный 4 2 7 6" xfId="32172"/>
    <cellStyle name="Обычный 4 2 70" xfId="1643"/>
    <cellStyle name="Обычный 4 2 70 2" xfId="6985"/>
    <cellStyle name="Обычный 4 2 70 2 2" xfId="17665"/>
    <cellStyle name="Обычный 4 2 70 2 2 2" xfId="49709"/>
    <cellStyle name="Обычный 4 2 70 2 3" xfId="28346"/>
    <cellStyle name="Обычный 4 2 70 2 3 2" xfId="60389"/>
    <cellStyle name="Обычный 4 2 70 2 4" xfId="39029"/>
    <cellStyle name="Обычный 4 2 70 3" xfId="12325"/>
    <cellStyle name="Обычный 4 2 70 3 2" xfId="44369"/>
    <cellStyle name="Обычный 4 2 70 4" xfId="23006"/>
    <cellStyle name="Обычный 4 2 70 4 2" xfId="55049"/>
    <cellStyle name="Обычный 4 2 70 5" xfId="33689"/>
    <cellStyle name="Обычный 4 2 71" xfId="1669"/>
    <cellStyle name="Обычный 4 2 71 2" xfId="7011"/>
    <cellStyle name="Обычный 4 2 71 2 2" xfId="17691"/>
    <cellStyle name="Обычный 4 2 71 2 2 2" xfId="49735"/>
    <cellStyle name="Обычный 4 2 71 2 3" xfId="28372"/>
    <cellStyle name="Обычный 4 2 71 2 3 2" xfId="60415"/>
    <cellStyle name="Обычный 4 2 71 2 4" xfId="39055"/>
    <cellStyle name="Обычный 4 2 71 3" xfId="12351"/>
    <cellStyle name="Обычный 4 2 71 3 2" xfId="44395"/>
    <cellStyle name="Обычный 4 2 71 4" xfId="23032"/>
    <cellStyle name="Обычный 4 2 71 4 2" xfId="55075"/>
    <cellStyle name="Обычный 4 2 71 5" xfId="33715"/>
    <cellStyle name="Обычный 4 2 72" xfId="1695"/>
    <cellStyle name="Обычный 4 2 72 2" xfId="7037"/>
    <cellStyle name="Обычный 4 2 72 2 2" xfId="17717"/>
    <cellStyle name="Обычный 4 2 72 2 2 2" xfId="49761"/>
    <cellStyle name="Обычный 4 2 72 2 3" xfId="28398"/>
    <cellStyle name="Обычный 4 2 72 2 3 2" xfId="60441"/>
    <cellStyle name="Обычный 4 2 72 2 4" xfId="39081"/>
    <cellStyle name="Обычный 4 2 72 3" xfId="12377"/>
    <cellStyle name="Обычный 4 2 72 3 2" xfId="44421"/>
    <cellStyle name="Обычный 4 2 72 4" xfId="23058"/>
    <cellStyle name="Обычный 4 2 72 4 2" xfId="55101"/>
    <cellStyle name="Обычный 4 2 72 5" xfId="33741"/>
    <cellStyle name="Обычный 4 2 73" xfId="1721"/>
    <cellStyle name="Обычный 4 2 73 2" xfId="7063"/>
    <cellStyle name="Обычный 4 2 73 2 2" xfId="17743"/>
    <cellStyle name="Обычный 4 2 73 2 2 2" xfId="49787"/>
    <cellStyle name="Обычный 4 2 73 2 3" xfId="28424"/>
    <cellStyle name="Обычный 4 2 73 2 3 2" xfId="60467"/>
    <cellStyle name="Обычный 4 2 73 2 4" xfId="39107"/>
    <cellStyle name="Обычный 4 2 73 3" xfId="12403"/>
    <cellStyle name="Обычный 4 2 73 3 2" xfId="44447"/>
    <cellStyle name="Обычный 4 2 73 4" xfId="23084"/>
    <cellStyle name="Обычный 4 2 73 4 2" xfId="55127"/>
    <cellStyle name="Обычный 4 2 73 5" xfId="33767"/>
    <cellStyle name="Обычный 4 2 74" xfId="1747"/>
    <cellStyle name="Обычный 4 2 74 2" xfId="7089"/>
    <cellStyle name="Обычный 4 2 74 2 2" xfId="17769"/>
    <cellStyle name="Обычный 4 2 74 2 2 2" xfId="49813"/>
    <cellStyle name="Обычный 4 2 74 2 3" xfId="28450"/>
    <cellStyle name="Обычный 4 2 74 2 3 2" xfId="60493"/>
    <cellStyle name="Обычный 4 2 74 2 4" xfId="39133"/>
    <cellStyle name="Обычный 4 2 74 3" xfId="12429"/>
    <cellStyle name="Обычный 4 2 74 3 2" xfId="44473"/>
    <cellStyle name="Обычный 4 2 74 4" xfId="23110"/>
    <cellStyle name="Обычный 4 2 74 4 2" xfId="55153"/>
    <cellStyle name="Обычный 4 2 74 5" xfId="33793"/>
    <cellStyle name="Обычный 4 2 75" xfId="1773"/>
    <cellStyle name="Обычный 4 2 75 2" xfId="7115"/>
    <cellStyle name="Обычный 4 2 75 2 2" xfId="17795"/>
    <cellStyle name="Обычный 4 2 75 2 2 2" xfId="49839"/>
    <cellStyle name="Обычный 4 2 75 2 3" xfId="28476"/>
    <cellStyle name="Обычный 4 2 75 2 3 2" xfId="60519"/>
    <cellStyle name="Обычный 4 2 75 2 4" xfId="39159"/>
    <cellStyle name="Обычный 4 2 75 3" xfId="12455"/>
    <cellStyle name="Обычный 4 2 75 3 2" xfId="44499"/>
    <cellStyle name="Обычный 4 2 75 4" xfId="23136"/>
    <cellStyle name="Обычный 4 2 75 4 2" xfId="55179"/>
    <cellStyle name="Обычный 4 2 75 5" xfId="33819"/>
    <cellStyle name="Обычный 4 2 76" xfId="1799"/>
    <cellStyle name="Обычный 4 2 76 2" xfId="7141"/>
    <cellStyle name="Обычный 4 2 76 2 2" xfId="17821"/>
    <cellStyle name="Обычный 4 2 76 2 2 2" xfId="49865"/>
    <cellStyle name="Обычный 4 2 76 2 3" xfId="28502"/>
    <cellStyle name="Обычный 4 2 76 2 3 2" xfId="60545"/>
    <cellStyle name="Обычный 4 2 76 2 4" xfId="39185"/>
    <cellStyle name="Обычный 4 2 76 3" xfId="12481"/>
    <cellStyle name="Обычный 4 2 76 3 2" xfId="44525"/>
    <cellStyle name="Обычный 4 2 76 4" xfId="23162"/>
    <cellStyle name="Обычный 4 2 76 4 2" xfId="55205"/>
    <cellStyle name="Обычный 4 2 76 5" xfId="33845"/>
    <cellStyle name="Обычный 4 2 77" xfId="1825"/>
    <cellStyle name="Обычный 4 2 77 2" xfId="7167"/>
    <cellStyle name="Обычный 4 2 77 2 2" xfId="17847"/>
    <cellStyle name="Обычный 4 2 77 2 2 2" xfId="49891"/>
    <cellStyle name="Обычный 4 2 77 2 3" xfId="28528"/>
    <cellStyle name="Обычный 4 2 77 2 3 2" xfId="60571"/>
    <cellStyle name="Обычный 4 2 77 2 4" xfId="39211"/>
    <cellStyle name="Обычный 4 2 77 3" xfId="12507"/>
    <cellStyle name="Обычный 4 2 77 3 2" xfId="44551"/>
    <cellStyle name="Обычный 4 2 77 4" xfId="23188"/>
    <cellStyle name="Обычный 4 2 77 4 2" xfId="55231"/>
    <cellStyle name="Обычный 4 2 77 5" xfId="33871"/>
    <cellStyle name="Обычный 4 2 78" xfId="1851"/>
    <cellStyle name="Обычный 4 2 78 2" xfId="7193"/>
    <cellStyle name="Обычный 4 2 78 2 2" xfId="17873"/>
    <cellStyle name="Обычный 4 2 78 2 2 2" xfId="49917"/>
    <cellStyle name="Обычный 4 2 78 2 3" xfId="28554"/>
    <cellStyle name="Обычный 4 2 78 2 3 2" xfId="60597"/>
    <cellStyle name="Обычный 4 2 78 2 4" xfId="39237"/>
    <cellStyle name="Обычный 4 2 78 3" xfId="12533"/>
    <cellStyle name="Обычный 4 2 78 3 2" xfId="44577"/>
    <cellStyle name="Обычный 4 2 78 4" xfId="23214"/>
    <cellStyle name="Обычный 4 2 78 4 2" xfId="55257"/>
    <cellStyle name="Обычный 4 2 78 5" xfId="33897"/>
    <cellStyle name="Обычный 4 2 79" xfId="1877"/>
    <cellStyle name="Обычный 4 2 79 2" xfId="7219"/>
    <cellStyle name="Обычный 4 2 79 2 2" xfId="17899"/>
    <cellStyle name="Обычный 4 2 79 2 2 2" xfId="49943"/>
    <cellStyle name="Обычный 4 2 79 2 3" xfId="28580"/>
    <cellStyle name="Обычный 4 2 79 2 3 2" xfId="60623"/>
    <cellStyle name="Обычный 4 2 79 2 4" xfId="39263"/>
    <cellStyle name="Обычный 4 2 79 3" xfId="12559"/>
    <cellStyle name="Обычный 4 2 79 3 2" xfId="44603"/>
    <cellStyle name="Обычный 4 2 79 4" xfId="23240"/>
    <cellStyle name="Обычный 4 2 79 4 2" xfId="55283"/>
    <cellStyle name="Обычный 4 2 79 5" xfId="33923"/>
    <cellStyle name="Обычный 4 2 8" xfId="134"/>
    <cellStyle name="Обычный 4 2 8 2" xfId="602"/>
    <cellStyle name="Обычный 4 2 8 2 2" xfId="5945"/>
    <cellStyle name="Обычный 4 2 8 2 2 2" xfId="16625"/>
    <cellStyle name="Обычный 4 2 8 2 2 2 2" xfId="48669"/>
    <cellStyle name="Обычный 4 2 8 2 2 3" xfId="27306"/>
    <cellStyle name="Обычный 4 2 8 2 2 3 2" xfId="59349"/>
    <cellStyle name="Обычный 4 2 8 2 2 4" xfId="37989"/>
    <cellStyle name="Обычный 4 2 8 2 3" xfId="11285"/>
    <cellStyle name="Обычный 4 2 8 2 3 2" xfId="43329"/>
    <cellStyle name="Обычный 4 2 8 2 4" xfId="21966"/>
    <cellStyle name="Обычный 4 2 8 2 4 2" xfId="54009"/>
    <cellStyle name="Обычный 4 2 8 2 5" xfId="32649"/>
    <cellStyle name="Обычный 4 2 8 3" xfId="5478"/>
    <cellStyle name="Обычный 4 2 8 3 2" xfId="16158"/>
    <cellStyle name="Обычный 4 2 8 3 2 2" xfId="48202"/>
    <cellStyle name="Обычный 4 2 8 3 3" xfId="26839"/>
    <cellStyle name="Обычный 4 2 8 3 3 2" xfId="58882"/>
    <cellStyle name="Обычный 4 2 8 3 4" xfId="37522"/>
    <cellStyle name="Обычный 4 2 8 4" xfId="10818"/>
    <cellStyle name="Обычный 4 2 8 4 2" xfId="42862"/>
    <cellStyle name="Обычный 4 2 8 5" xfId="21499"/>
    <cellStyle name="Обычный 4 2 8 5 2" xfId="53542"/>
    <cellStyle name="Обычный 4 2 8 6" xfId="32182"/>
    <cellStyle name="Обычный 4 2 80" xfId="1903"/>
    <cellStyle name="Обычный 4 2 80 2" xfId="7245"/>
    <cellStyle name="Обычный 4 2 80 2 2" xfId="17925"/>
    <cellStyle name="Обычный 4 2 80 2 2 2" xfId="49969"/>
    <cellStyle name="Обычный 4 2 80 2 3" xfId="28606"/>
    <cellStyle name="Обычный 4 2 80 2 3 2" xfId="60649"/>
    <cellStyle name="Обычный 4 2 80 2 4" xfId="39289"/>
    <cellStyle name="Обычный 4 2 80 3" xfId="12585"/>
    <cellStyle name="Обычный 4 2 80 3 2" xfId="44629"/>
    <cellStyle name="Обычный 4 2 80 4" xfId="23266"/>
    <cellStyle name="Обычный 4 2 80 4 2" xfId="55309"/>
    <cellStyle name="Обычный 4 2 80 5" xfId="33949"/>
    <cellStyle name="Обычный 4 2 81" xfId="1931"/>
    <cellStyle name="Обычный 4 2 81 2" xfId="7273"/>
    <cellStyle name="Обычный 4 2 81 2 2" xfId="17953"/>
    <cellStyle name="Обычный 4 2 81 2 2 2" xfId="49997"/>
    <cellStyle name="Обычный 4 2 81 2 3" xfId="28634"/>
    <cellStyle name="Обычный 4 2 81 2 3 2" xfId="60677"/>
    <cellStyle name="Обычный 4 2 81 2 4" xfId="39317"/>
    <cellStyle name="Обычный 4 2 81 3" xfId="12613"/>
    <cellStyle name="Обычный 4 2 81 3 2" xfId="44657"/>
    <cellStyle name="Обычный 4 2 81 4" xfId="23294"/>
    <cellStyle name="Обычный 4 2 81 4 2" xfId="55337"/>
    <cellStyle name="Обычный 4 2 81 5" xfId="33977"/>
    <cellStyle name="Обычный 4 2 82" xfId="1959"/>
    <cellStyle name="Обычный 4 2 82 2" xfId="7301"/>
    <cellStyle name="Обычный 4 2 82 2 2" xfId="17981"/>
    <cellStyle name="Обычный 4 2 82 2 2 2" xfId="50025"/>
    <cellStyle name="Обычный 4 2 82 2 3" xfId="28662"/>
    <cellStyle name="Обычный 4 2 82 2 3 2" xfId="60705"/>
    <cellStyle name="Обычный 4 2 82 2 4" xfId="39345"/>
    <cellStyle name="Обычный 4 2 82 3" xfId="12641"/>
    <cellStyle name="Обычный 4 2 82 3 2" xfId="44685"/>
    <cellStyle name="Обычный 4 2 82 4" xfId="23322"/>
    <cellStyle name="Обычный 4 2 82 4 2" xfId="55365"/>
    <cellStyle name="Обычный 4 2 82 5" xfId="34005"/>
    <cellStyle name="Обычный 4 2 83" xfId="1987"/>
    <cellStyle name="Обычный 4 2 83 2" xfId="7329"/>
    <cellStyle name="Обычный 4 2 83 2 2" xfId="18009"/>
    <cellStyle name="Обычный 4 2 83 2 2 2" xfId="50053"/>
    <cellStyle name="Обычный 4 2 83 2 3" xfId="28690"/>
    <cellStyle name="Обычный 4 2 83 2 3 2" xfId="60733"/>
    <cellStyle name="Обычный 4 2 83 2 4" xfId="39373"/>
    <cellStyle name="Обычный 4 2 83 3" xfId="12669"/>
    <cellStyle name="Обычный 4 2 83 3 2" xfId="44713"/>
    <cellStyle name="Обычный 4 2 83 4" xfId="23350"/>
    <cellStyle name="Обычный 4 2 83 4 2" xfId="55393"/>
    <cellStyle name="Обычный 4 2 83 5" xfId="34033"/>
    <cellStyle name="Обычный 4 2 84" xfId="2015"/>
    <cellStyle name="Обычный 4 2 84 2" xfId="7357"/>
    <cellStyle name="Обычный 4 2 84 2 2" xfId="18037"/>
    <cellStyle name="Обычный 4 2 84 2 2 2" xfId="50081"/>
    <cellStyle name="Обычный 4 2 84 2 3" xfId="28718"/>
    <cellStyle name="Обычный 4 2 84 2 3 2" xfId="60761"/>
    <cellStyle name="Обычный 4 2 84 2 4" xfId="39401"/>
    <cellStyle name="Обычный 4 2 84 3" xfId="12697"/>
    <cellStyle name="Обычный 4 2 84 3 2" xfId="44741"/>
    <cellStyle name="Обычный 4 2 84 4" xfId="23378"/>
    <cellStyle name="Обычный 4 2 84 4 2" xfId="55421"/>
    <cellStyle name="Обычный 4 2 84 5" xfId="34061"/>
    <cellStyle name="Обычный 4 2 85" xfId="2043"/>
    <cellStyle name="Обычный 4 2 85 2" xfId="7385"/>
    <cellStyle name="Обычный 4 2 85 2 2" xfId="18065"/>
    <cellStyle name="Обычный 4 2 85 2 2 2" xfId="50109"/>
    <cellStyle name="Обычный 4 2 85 2 3" xfId="28746"/>
    <cellStyle name="Обычный 4 2 85 2 3 2" xfId="60789"/>
    <cellStyle name="Обычный 4 2 85 2 4" xfId="39429"/>
    <cellStyle name="Обычный 4 2 85 3" xfId="12725"/>
    <cellStyle name="Обычный 4 2 85 3 2" xfId="44769"/>
    <cellStyle name="Обычный 4 2 85 4" xfId="23406"/>
    <cellStyle name="Обычный 4 2 85 4 2" xfId="55449"/>
    <cellStyle name="Обычный 4 2 85 5" xfId="34089"/>
    <cellStyle name="Обычный 4 2 86" xfId="2071"/>
    <cellStyle name="Обычный 4 2 86 2" xfId="7413"/>
    <cellStyle name="Обычный 4 2 86 2 2" xfId="18093"/>
    <cellStyle name="Обычный 4 2 86 2 2 2" xfId="50137"/>
    <cellStyle name="Обычный 4 2 86 2 3" xfId="28774"/>
    <cellStyle name="Обычный 4 2 86 2 3 2" xfId="60817"/>
    <cellStyle name="Обычный 4 2 86 2 4" xfId="39457"/>
    <cellStyle name="Обычный 4 2 86 3" xfId="12753"/>
    <cellStyle name="Обычный 4 2 86 3 2" xfId="44797"/>
    <cellStyle name="Обычный 4 2 86 4" xfId="23434"/>
    <cellStyle name="Обычный 4 2 86 4 2" xfId="55477"/>
    <cellStyle name="Обычный 4 2 86 5" xfId="34117"/>
    <cellStyle name="Обычный 4 2 87" xfId="2099"/>
    <cellStyle name="Обычный 4 2 87 2" xfId="7441"/>
    <cellStyle name="Обычный 4 2 87 2 2" xfId="18121"/>
    <cellStyle name="Обычный 4 2 87 2 2 2" xfId="50165"/>
    <cellStyle name="Обычный 4 2 87 2 3" xfId="28802"/>
    <cellStyle name="Обычный 4 2 87 2 3 2" xfId="60845"/>
    <cellStyle name="Обычный 4 2 87 2 4" xfId="39485"/>
    <cellStyle name="Обычный 4 2 87 3" xfId="12781"/>
    <cellStyle name="Обычный 4 2 87 3 2" xfId="44825"/>
    <cellStyle name="Обычный 4 2 87 4" xfId="23462"/>
    <cellStyle name="Обычный 4 2 87 4 2" xfId="55505"/>
    <cellStyle name="Обычный 4 2 87 5" xfId="34145"/>
    <cellStyle name="Обычный 4 2 88" xfId="2129"/>
    <cellStyle name="Обычный 4 2 88 2" xfId="7471"/>
    <cellStyle name="Обычный 4 2 88 2 2" xfId="18151"/>
    <cellStyle name="Обычный 4 2 88 2 2 2" xfId="50195"/>
    <cellStyle name="Обычный 4 2 88 2 3" xfId="28832"/>
    <cellStyle name="Обычный 4 2 88 2 3 2" xfId="60875"/>
    <cellStyle name="Обычный 4 2 88 2 4" xfId="39515"/>
    <cellStyle name="Обычный 4 2 88 3" xfId="12811"/>
    <cellStyle name="Обычный 4 2 88 3 2" xfId="44855"/>
    <cellStyle name="Обычный 4 2 88 4" xfId="23492"/>
    <cellStyle name="Обычный 4 2 88 4 2" xfId="55535"/>
    <cellStyle name="Обычный 4 2 88 5" xfId="34175"/>
    <cellStyle name="Обычный 4 2 89" xfId="2159"/>
    <cellStyle name="Обычный 4 2 89 2" xfId="7501"/>
    <cellStyle name="Обычный 4 2 89 2 2" xfId="18181"/>
    <cellStyle name="Обычный 4 2 89 2 2 2" xfId="50225"/>
    <cellStyle name="Обычный 4 2 89 2 3" xfId="28862"/>
    <cellStyle name="Обычный 4 2 89 2 3 2" xfId="60905"/>
    <cellStyle name="Обычный 4 2 89 2 4" xfId="39545"/>
    <cellStyle name="Обычный 4 2 89 3" xfId="12841"/>
    <cellStyle name="Обычный 4 2 89 3 2" xfId="44885"/>
    <cellStyle name="Обычный 4 2 89 4" xfId="23522"/>
    <cellStyle name="Обычный 4 2 89 4 2" xfId="55565"/>
    <cellStyle name="Обычный 4 2 89 5" xfId="34205"/>
    <cellStyle name="Обычный 4 2 9" xfId="144"/>
    <cellStyle name="Обычный 4 2 9 2" xfId="612"/>
    <cellStyle name="Обычный 4 2 9 2 2" xfId="5955"/>
    <cellStyle name="Обычный 4 2 9 2 2 2" xfId="16635"/>
    <cellStyle name="Обычный 4 2 9 2 2 2 2" xfId="48679"/>
    <cellStyle name="Обычный 4 2 9 2 2 3" xfId="27316"/>
    <cellStyle name="Обычный 4 2 9 2 2 3 2" xfId="59359"/>
    <cellStyle name="Обычный 4 2 9 2 2 4" xfId="37999"/>
    <cellStyle name="Обычный 4 2 9 2 3" xfId="11295"/>
    <cellStyle name="Обычный 4 2 9 2 3 2" xfId="43339"/>
    <cellStyle name="Обычный 4 2 9 2 4" xfId="21976"/>
    <cellStyle name="Обычный 4 2 9 2 4 2" xfId="54019"/>
    <cellStyle name="Обычный 4 2 9 2 5" xfId="32659"/>
    <cellStyle name="Обычный 4 2 9 3" xfId="5488"/>
    <cellStyle name="Обычный 4 2 9 3 2" xfId="16168"/>
    <cellStyle name="Обычный 4 2 9 3 2 2" xfId="48212"/>
    <cellStyle name="Обычный 4 2 9 3 3" xfId="26849"/>
    <cellStyle name="Обычный 4 2 9 3 3 2" xfId="58892"/>
    <cellStyle name="Обычный 4 2 9 3 4" xfId="37532"/>
    <cellStyle name="Обычный 4 2 9 4" xfId="10828"/>
    <cellStyle name="Обычный 4 2 9 4 2" xfId="42872"/>
    <cellStyle name="Обычный 4 2 9 5" xfId="21509"/>
    <cellStyle name="Обычный 4 2 9 5 2" xfId="53552"/>
    <cellStyle name="Обычный 4 2 9 6" xfId="32192"/>
    <cellStyle name="Обычный 4 2 90" xfId="2189"/>
    <cellStyle name="Обычный 4 2 90 2" xfId="7531"/>
    <cellStyle name="Обычный 4 2 90 2 2" xfId="18211"/>
    <cellStyle name="Обычный 4 2 90 2 2 2" xfId="50255"/>
    <cellStyle name="Обычный 4 2 90 2 3" xfId="28892"/>
    <cellStyle name="Обычный 4 2 90 2 3 2" xfId="60935"/>
    <cellStyle name="Обычный 4 2 90 2 4" xfId="39575"/>
    <cellStyle name="Обычный 4 2 90 3" xfId="12871"/>
    <cellStyle name="Обычный 4 2 90 3 2" xfId="44915"/>
    <cellStyle name="Обычный 4 2 90 4" xfId="23552"/>
    <cellStyle name="Обычный 4 2 90 4 2" xfId="55595"/>
    <cellStyle name="Обычный 4 2 90 5" xfId="34235"/>
    <cellStyle name="Обычный 4 2 91" xfId="2219"/>
    <cellStyle name="Обычный 4 2 91 2" xfId="7561"/>
    <cellStyle name="Обычный 4 2 91 2 2" xfId="18241"/>
    <cellStyle name="Обычный 4 2 91 2 2 2" xfId="50285"/>
    <cellStyle name="Обычный 4 2 91 2 3" xfId="28922"/>
    <cellStyle name="Обычный 4 2 91 2 3 2" xfId="60965"/>
    <cellStyle name="Обычный 4 2 91 2 4" xfId="39605"/>
    <cellStyle name="Обычный 4 2 91 3" xfId="12901"/>
    <cellStyle name="Обычный 4 2 91 3 2" xfId="44945"/>
    <cellStyle name="Обычный 4 2 91 4" xfId="23582"/>
    <cellStyle name="Обычный 4 2 91 4 2" xfId="55625"/>
    <cellStyle name="Обычный 4 2 91 5" xfId="34265"/>
    <cellStyle name="Обычный 4 2 92" xfId="2249"/>
    <cellStyle name="Обычный 4 2 92 2" xfId="7591"/>
    <cellStyle name="Обычный 4 2 92 2 2" xfId="18271"/>
    <cellStyle name="Обычный 4 2 92 2 2 2" xfId="50315"/>
    <cellStyle name="Обычный 4 2 92 2 3" xfId="28952"/>
    <cellStyle name="Обычный 4 2 92 2 3 2" xfId="60995"/>
    <cellStyle name="Обычный 4 2 92 2 4" xfId="39635"/>
    <cellStyle name="Обычный 4 2 92 3" xfId="12931"/>
    <cellStyle name="Обычный 4 2 92 3 2" xfId="44975"/>
    <cellStyle name="Обычный 4 2 92 4" xfId="23612"/>
    <cellStyle name="Обычный 4 2 92 4 2" xfId="55655"/>
    <cellStyle name="Обычный 4 2 92 5" xfId="34295"/>
    <cellStyle name="Обычный 4 2 93" xfId="2279"/>
    <cellStyle name="Обычный 4 2 93 2" xfId="7621"/>
    <cellStyle name="Обычный 4 2 93 2 2" xfId="18301"/>
    <cellStyle name="Обычный 4 2 93 2 2 2" xfId="50345"/>
    <cellStyle name="Обычный 4 2 93 2 3" xfId="28982"/>
    <cellStyle name="Обычный 4 2 93 2 3 2" xfId="61025"/>
    <cellStyle name="Обычный 4 2 93 2 4" xfId="39665"/>
    <cellStyle name="Обычный 4 2 93 3" xfId="12961"/>
    <cellStyle name="Обычный 4 2 93 3 2" xfId="45005"/>
    <cellStyle name="Обычный 4 2 93 4" xfId="23642"/>
    <cellStyle name="Обычный 4 2 93 4 2" xfId="55685"/>
    <cellStyle name="Обычный 4 2 93 5" xfId="34325"/>
    <cellStyle name="Обычный 4 2 94" xfId="2309"/>
    <cellStyle name="Обычный 4 2 94 2" xfId="7651"/>
    <cellStyle name="Обычный 4 2 94 2 2" xfId="18331"/>
    <cellStyle name="Обычный 4 2 94 2 2 2" xfId="50375"/>
    <cellStyle name="Обычный 4 2 94 2 3" xfId="29012"/>
    <cellStyle name="Обычный 4 2 94 2 3 2" xfId="61055"/>
    <cellStyle name="Обычный 4 2 94 2 4" xfId="39695"/>
    <cellStyle name="Обычный 4 2 94 3" xfId="12991"/>
    <cellStyle name="Обычный 4 2 94 3 2" xfId="45035"/>
    <cellStyle name="Обычный 4 2 94 4" xfId="23672"/>
    <cellStyle name="Обычный 4 2 94 4 2" xfId="55715"/>
    <cellStyle name="Обычный 4 2 94 5" xfId="34355"/>
    <cellStyle name="Обычный 4 2 95" xfId="2339"/>
    <cellStyle name="Обычный 4 2 95 2" xfId="7681"/>
    <cellStyle name="Обычный 4 2 95 2 2" xfId="18361"/>
    <cellStyle name="Обычный 4 2 95 2 2 2" xfId="50405"/>
    <cellStyle name="Обычный 4 2 95 2 3" xfId="29042"/>
    <cellStyle name="Обычный 4 2 95 2 3 2" xfId="61085"/>
    <cellStyle name="Обычный 4 2 95 2 4" xfId="39725"/>
    <cellStyle name="Обычный 4 2 95 3" xfId="13021"/>
    <cellStyle name="Обычный 4 2 95 3 2" xfId="45065"/>
    <cellStyle name="Обычный 4 2 95 4" xfId="23702"/>
    <cellStyle name="Обычный 4 2 95 4 2" xfId="55745"/>
    <cellStyle name="Обычный 4 2 95 5" xfId="34385"/>
    <cellStyle name="Обычный 4 2 96" xfId="2369"/>
    <cellStyle name="Обычный 4 2 96 2" xfId="7711"/>
    <cellStyle name="Обычный 4 2 96 2 2" xfId="18391"/>
    <cellStyle name="Обычный 4 2 96 2 2 2" xfId="50435"/>
    <cellStyle name="Обычный 4 2 96 2 3" xfId="29072"/>
    <cellStyle name="Обычный 4 2 96 2 3 2" xfId="61115"/>
    <cellStyle name="Обычный 4 2 96 2 4" xfId="39755"/>
    <cellStyle name="Обычный 4 2 96 3" xfId="13051"/>
    <cellStyle name="Обычный 4 2 96 3 2" xfId="45095"/>
    <cellStyle name="Обычный 4 2 96 4" xfId="23732"/>
    <cellStyle name="Обычный 4 2 96 4 2" xfId="55775"/>
    <cellStyle name="Обычный 4 2 96 5" xfId="34415"/>
    <cellStyle name="Обычный 4 2 97" xfId="2399"/>
    <cellStyle name="Обычный 4 2 97 2" xfId="7741"/>
    <cellStyle name="Обычный 4 2 97 2 2" xfId="18421"/>
    <cellStyle name="Обычный 4 2 97 2 2 2" xfId="50465"/>
    <cellStyle name="Обычный 4 2 97 2 3" xfId="29102"/>
    <cellStyle name="Обычный 4 2 97 2 3 2" xfId="61145"/>
    <cellStyle name="Обычный 4 2 97 2 4" xfId="39785"/>
    <cellStyle name="Обычный 4 2 97 3" xfId="13081"/>
    <cellStyle name="Обычный 4 2 97 3 2" xfId="45125"/>
    <cellStyle name="Обычный 4 2 97 4" xfId="23762"/>
    <cellStyle name="Обычный 4 2 97 4 2" xfId="55805"/>
    <cellStyle name="Обычный 4 2 97 5" xfId="34445"/>
    <cellStyle name="Обычный 4 2 98" xfId="2429"/>
    <cellStyle name="Обычный 4 2 98 2" xfId="7771"/>
    <cellStyle name="Обычный 4 2 98 2 2" xfId="18451"/>
    <cellStyle name="Обычный 4 2 98 2 2 2" xfId="50495"/>
    <cellStyle name="Обычный 4 2 98 2 3" xfId="29132"/>
    <cellStyle name="Обычный 4 2 98 2 3 2" xfId="61175"/>
    <cellStyle name="Обычный 4 2 98 2 4" xfId="39815"/>
    <cellStyle name="Обычный 4 2 98 3" xfId="13111"/>
    <cellStyle name="Обычный 4 2 98 3 2" xfId="45155"/>
    <cellStyle name="Обычный 4 2 98 4" xfId="23792"/>
    <cellStyle name="Обычный 4 2 98 4 2" xfId="55835"/>
    <cellStyle name="Обычный 4 2 98 5" xfId="34475"/>
    <cellStyle name="Обычный 4 2 99" xfId="2459"/>
    <cellStyle name="Обычный 4 2 99 2" xfId="7801"/>
    <cellStyle name="Обычный 4 2 99 2 2" xfId="18481"/>
    <cellStyle name="Обычный 4 2 99 2 2 2" xfId="50525"/>
    <cellStyle name="Обычный 4 2 99 2 3" xfId="29162"/>
    <cellStyle name="Обычный 4 2 99 2 3 2" xfId="61205"/>
    <cellStyle name="Обычный 4 2 99 2 4" xfId="39845"/>
    <cellStyle name="Обычный 4 2 99 3" xfId="13141"/>
    <cellStyle name="Обычный 4 2 99 3 2" xfId="45185"/>
    <cellStyle name="Обычный 4 2 99 4" xfId="23822"/>
    <cellStyle name="Обычный 4 2 99 4 2" xfId="55865"/>
    <cellStyle name="Обычный 4 2 99 5" xfId="34505"/>
    <cellStyle name="Обычный 4 20" xfId="120"/>
    <cellStyle name="Обычный 4 20 2" xfId="588"/>
    <cellStyle name="Обычный 4 20 2 2" xfId="5931"/>
    <cellStyle name="Обычный 4 20 2 2 2" xfId="16611"/>
    <cellStyle name="Обычный 4 20 2 2 2 2" xfId="48655"/>
    <cellStyle name="Обычный 4 20 2 2 3" xfId="27292"/>
    <cellStyle name="Обычный 4 20 2 2 3 2" xfId="59335"/>
    <cellStyle name="Обычный 4 20 2 2 4" xfId="37975"/>
    <cellStyle name="Обычный 4 20 2 3" xfId="11271"/>
    <cellStyle name="Обычный 4 20 2 3 2" xfId="43315"/>
    <cellStyle name="Обычный 4 20 2 4" xfId="21952"/>
    <cellStyle name="Обычный 4 20 2 4 2" xfId="53995"/>
    <cellStyle name="Обычный 4 20 2 5" xfId="32635"/>
    <cellStyle name="Обычный 4 20 3" xfId="5464"/>
    <cellStyle name="Обычный 4 20 3 2" xfId="16144"/>
    <cellStyle name="Обычный 4 20 3 2 2" xfId="48188"/>
    <cellStyle name="Обычный 4 20 3 3" xfId="26825"/>
    <cellStyle name="Обычный 4 20 3 3 2" xfId="58868"/>
    <cellStyle name="Обычный 4 20 3 4" xfId="37508"/>
    <cellStyle name="Обычный 4 20 4" xfId="10804"/>
    <cellStyle name="Обычный 4 20 4 2" xfId="42848"/>
    <cellStyle name="Обычный 4 20 5" xfId="21485"/>
    <cellStyle name="Обычный 4 20 5 2" xfId="53528"/>
    <cellStyle name="Обычный 4 20 6" xfId="32168"/>
    <cellStyle name="Обычный 4 200" xfId="5278"/>
    <cellStyle name="Обычный 4 200 2" xfId="10619"/>
    <cellStyle name="Обычный 4 200 2 2" xfId="21299"/>
    <cellStyle name="Обычный 4 200 2 2 2" xfId="53343"/>
    <cellStyle name="Обычный 4 200 2 3" xfId="31980"/>
    <cellStyle name="Обычный 4 200 2 3 2" xfId="64023"/>
    <cellStyle name="Обычный 4 200 2 4" xfId="42663"/>
    <cellStyle name="Обычный 4 200 3" xfId="15959"/>
    <cellStyle name="Обычный 4 200 3 2" xfId="48003"/>
    <cellStyle name="Обычный 4 200 4" xfId="26640"/>
    <cellStyle name="Обычный 4 200 4 2" xfId="58683"/>
    <cellStyle name="Обычный 4 200 5" xfId="37323"/>
    <cellStyle name="Обычный 4 201" xfId="5310"/>
    <cellStyle name="Обычный 4 201 2" xfId="10651"/>
    <cellStyle name="Обычный 4 201 2 2" xfId="21331"/>
    <cellStyle name="Обычный 4 201 2 2 2" xfId="53375"/>
    <cellStyle name="Обычный 4 201 2 3" xfId="32012"/>
    <cellStyle name="Обычный 4 201 2 3 2" xfId="64055"/>
    <cellStyle name="Обычный 4 201 2 4" xfId="42695"/>
    <cellStyle name="Обычный 4 201 3" xfId="15991"/>
    <cellStyle name="Обычный 4 201 3 2" xfId="48035"/>
    <cellStyle name="Обычный 4 201 4" xfId="26672"/>
    <cellStyle name="Обычный 4 201 4 2" xfId="58715"/>
    <cellStyle name="Обычный 4 201 5" xfId="37355"/>
    <cellStyle name="Обычный 4 202" xfId="5342"/>
    <cellStyle name="Обычный 4 202 2" xfId="10683"/>
    <cellStyle name="Обычный 4 202 2 2" xfId="21363"/>
    <cellStyle name="Обычный 4 202 2 2 2" xfId="53407"/>
    <cellStyle name="Обычный 4 202 2 3" xfId="32044"/>
    <cellStyle name="Обычный 4 202 2 3 2" xfId="64087"/>
    <cellStyle name="Обычный 4 202 2 4" xfId="42727"/>
    <cellStyle name="Обычный 4 202 3" xfId="16023"/>
    <cellStyle name="Обычный 4 202 3 2" xfId="48067"/>
    <cellStyle name="Обычный 4 202 4" xfId="26704"/>
    <cellStyle name="Обычный 4 202 4 2" xfId="58747"/>
    <cellStyle name="Обычный 4 202 5" xfId="37387"/>
    <cellStyle name="Обычный 4 203" xfId="5376"/>
    <cellStyle name="Обычный 4 203 2" xfId="16056"/>
    <cellStyle name="Обычный 4 203 2 2" xfId="48100"/>
    <cellStyle name="Обычный 4 203 3" xfId="26737"/>
    <cellStyle name="Обычный 4 203 3 2" xfId="58780"/>
    <cellStyle name="Обычный 4 203 4" xfId="37420"/>
    <cellStyle name="Обычный 4 204" xfId="10716"/>
    <cellStyle name="Обычный 4 204 2" xfId="42760"/>
    <cellStyle name="Обычный 4 205" xfId="21397"/>
    <cellStyle name="Обычный 4 205 2" xfId="53440"/>
    <cellStyle name="Обычный 4 206" xfId="32080"/>
    <cellStyle name="Обычный 4 21" xfId="130"/>
    <cellStyle name="Обычный 4 21 2" xfId="598"/>
    <cellStyle name="Обычный 4 21 2 2" xfId="5941"/>
    <cellStyle name="Обычный 4 21 2 2 2" xfId="16621"/>
    <cellStyle name="Обычный 4 21 2 2 2 2" xfId="48665"/>
    <cellStyle name="Обычный 4 21 2 2 3" xfId="27302"/>
    <cellStyle name="Обычный 4 21 2 2 3 2" xfId="59345"/>
    <cellStyle name="Обычный 4 21 2 2 4" xfId="37985"/>
    <cellStyle name="Обычный 4 21 2 3" xfId="11281"/>
    <cellStyle name="Обычный 4 21 2 3 2" xfId="43325"/>
    <cellStyle name="Обычный 4 21 2 4" xfId="21962"/>
    <cellStyle name="Обычный 4 21 2 4 2" xfId="54005"/>
    <cellStyle name="Обычный 4 21 2 5" xfId="32645"/>
    <cellStyle name="Обычный 4 21 3" xfId="5474"/>
    <cellStyle name="Обычный 4 21 3 2" xfId="16154"/>
    <cellStyle name="Обычный 4 21 3 2 2" xfId="48198"/>
    <cellStyle name="Обычный 4 21 3 3" xfId="26835"/>
    <cellStyle name="Обычный 4 21 3 3 2" xfId="58878"/>
    <cellStyle name="Обычный 4 21 3 4" xfId="37518"/>
    <cellStyle name="Обычный 4 21 4" xfId="10814"/>
    <cellStyle name="Обычный 4 21 4 2" xfId="42858"/>
    <cellStyle name="Обычный 4 21 5" xfId="21495"/>
    <cellStyle name="Обычный 4 21 5 2" xfId="53538"/>
    <cellStyle name="Обычный 4 21 6" xfId="32178"/>
    <cellStyle name="Обычный 4 22" xfId="140"/>
    <cellStyle name="Обычный 4 22 2" xfId="608"/>
    <cellStyle name="Обычный 4 22 2 2" xfId="5951"/>
    <cellStyle name="Обычный 4 22 2 2 2" xfId="16631"/>
    <cellStyle name="Обычный 4 22 2 2 2 2" xfId="48675"/>
    <cellStyle name="Обычный 4 22 2 2 3" xfId="27312"/>
    <cellStyle name="Обычный 4 22 2 2 3 2" xfId="59355"/>
    <cellStyle name="Обычный 4 22 2 2 4" xfId="37995"/>
    <cellStyle name="Обычный 4 22 2 3" xfId="11291"/>
    <cellStyle name="Обычный 4 22 2 3 2" xfId="43335"/>
    <cellStyle name="Обычный 4 22 2 4" xfId="21972"/>
    <cellStyle name="Обычный 4 22 2 4 2" xfId="54015"/>
    <cellStyle name="Обычный 4 22 2 5" xfId="32655"/>
    <cellStyle name="Обычный 4 22 3" xfId="5484"/>
    <cellStyle name="Обычный 4 22 3 2" xfId="16164"/>
    <cellStyle name="Обычный 4 22 3 2 2" xfId="48208"/>
    <cellStyle name="Обычный 4 22 3 3" xfId="26845"/>
    <cellStyle name="Обычный 4 22 3 3 2" xfId="58888"/>
    <cellStyle name="Обычный 4 22 3 4" xfId="37528"/>
    <cellStyle name="Обычный 4 22 4" xfId="10824"/>
    <cellStyle name="Обычный 4 22 4 2" xfId="42868"/>
    <cellStyle name="Обычный 4 22 5" xfId="21505"/>
    <cellStyle name="Обычный 4 22 5 2" xfId="53548"/>
    <cellStyle name="Обычный 4 22 6" xfId="32188"/>
    <cellStyle name="Обычный 4 23" xfId="150"/>
    <cellStyle name="Обычный 4 23 2" xfId="618"/>
    <cellStyle name="Обычный 4 23 2 2" xfId="5961"/>
    <cellStyle name="Обычный 4 23 2 2 2" xfId="16641"/>
    <cellStyle name="Обычный 4 23 2 2 2 2" xfId="48685"/>
    <cellStyle name="Обычный 4 23 2 2 3" xfId="27322"/>
    <cellStyle name="Обычный 4 23 2 2 3 2" xfId="59365"/>
    <cellStyle name="Обычный 4 23 2 2 4" xfId="38005"/>
    <cellStyle name="Обычный 4 23 2 3" xfId="11301"/>
    <cellStyle name="Обычный 4 23 2 3 2" xfId="43345"/>
    <cellStyle name="Обычный 4 23 2 4" xfId="21982"/>
    <cellStyle name="Обычный 4 23 2 4 2" xfId="54025"/>
    <cellStyle name="Обычный 4 23 2 5" xfId="32665"/>
    <cellStyle name="Обычный 4 23 3" xfId="5494"/>
    <cellStyle name="Обычный 4 23 3 2" xfId="16174"/>
    <cellStyle name="Обычный 4 23 3 2 2" xfId="48218"/>
    <cellStyle name="Обычный 4 23 3 3" xfId="26855"/>
    <cellStyle name="Обычный 4 23 3 3 2" xfId="58898"/>
    <cellStyle name="Обычный 4 23 3 4" xfId="37538"/>
    <cellStyle name="Обычный 4 23 4" xfId="10834"/>
    <cellStyle name="Обычный 4 23 4 2" xfId="42878"/>
    <cellStyle name="Обычный 4 23 5" xfId="21515"/>
    <cellStyle name="Обычный 4 23 5 2" xfId="53558"/>
    <cellStyle name="Обычный 4 23 6" xfId="32198"/>
    <cellStyle name="Обычный 4 24" xfId="160"/>
    <cellStyle name="Обычный 4 24 2" xfId="628"/>
    <cellStyle name="Обычный 4 24 2 2" xfId="5971"/>
    <cellStyle name="Обычный 4 24 2 2 2" xfId="16651"/>
    <cellStyle name="Обычный 4 24 2 2 2 2" xfId="48695"/>
    <cellStyle name="Обычный 4 24 2 2 3" xfId="27332"/>
    <cellStyle name="Обычный 4 24 2 2 3 2" xfId="59375"/>
    <cellStyle name="Обычный 4 24 2 2 4" xfId="38015"/>
    <cellStyle name="Обычный 4 24 2 3" xfId="11311"/>
    <cellStyle name="Обычный 4 24 2 3 2" xfId="43355"/>
    <cellStyle name="Обычный 4 24 2 4" xfId="21992"/>
    <cellStyle name="Обычный 4 24 2 4 2" xfId="54035"/>
    <cellStyle name="Обычный 4 24 2 5" xfId="32675"/>
    <cellStyle name="Обычный 4 24 3" xfId="5504"/>
    <cellStyle name="Обычный 4 24 3 2" xfId="16184"/>
    <cellStyle name="Обычный 4 24 3 2 2" xfId="48228"/>
    <cellStyle name="Обычный 4 24 3 3" xfId="26865"/>
    <cellStyle name="Обычный 4 24 3 3 2" xfId="58908"/>
    <cellStyle name="Обычный 4 24 3 4" xfId="37548"/>
    <cellStyle name="Обычный 4 24 4" xfId="10844"/>
    <cellStyle name="Обычный 4 24 4 2" xfId="42888"/>
    <cellStyle name="Обычный 4 24 5" xfId="21525"/>
    <cellStyle name="Обычный 4 24 5 2" xfId="53568"/>
    <cellStyle name="Обычный 4 24 6" xfId="32208"/>
    <cellStyle name="Обычный 4 25" xfId="170"/>
    <cellStyle name="Обычный 4 25 2" xfId="638"/>
    <cellStyle name="Обычный 4 25 2 2" xfId="5981"/>
    <cellStyle name="Обычный 4 25 2 2 2" xfId="16661"/>
    <cellStyle name="Обычный 4 25 2 2 2 2" xfId="48705"/>
    <cellStyle name="Обычный 4 25 2 2 3" xfId="27342"/>
    <cellStyle name="Обычный 4 25 2 2 3 2" xfId="59385"/>
    <cellStyle name="Обычный 4 25 2 2 4" xfId="38025"/>
    <cellStyle name="Обычный 4 25 2 3" xfId="11321"/>
    <cellStyle name="Обычный 4 25 2 3 2" xfId="43365"/>
    <cellStyle name="Обычный 4 25 2 4" xfId="22002"/>
    <cellStyle name="Обычный 4 25 2 4 2" xfId="54045"/>
    <cellStyle name="Обычный 4 25 2 5" xfId="32685"/>
    <cellStyle name="Обычный 4 25 3" xfId="5514"/>
    <cellStyle name="Обычный 4 25 3 2" xfId="16194"/>
    <cellStyle name="Обычный 4 25 3 2 2" xfId="48238"/>
    <cellStyle name="Обычный 4 25 3 3" xfId="26875"/>
    <cellStyle name="Обычный 4 25 3 3 2" xfId="58918"/>
    <cellStyle name="Обычный 4 25 3 4" xfId="37558"/>
    <cellStyle name="Обычный 4 25 4" xfId="10854"/>
    <cellStyle name="Обычный 4 25 4 2" xfId="42898"/>
    <cellStyle name="Обычный 4 25 5" xfId="21535"/>
    <cellStyle name="Обычный 4 25 5 2" xfId="53578"/>
    <cellStyle name="Обычный 4 25 6" xfId="32218"/>
    <cellStyle name="Обычный 4 26" xfId="180"/>
    <cellStyle name="Обычный 4 26 2" xfId="648"/>
    <cellStyle name="Обычный 4 26 2 2" xfId="5991"/>
    <cellStyle name="Обычный 4 26 2 2 2" xfId="16671"/>
    <cellStyle name="Обычный 4 26 2 2 2 2" xfId="48715"/>
    <cellStyle name="Обычный 4 26 2 2 3" xfId="27352"/>
    <cellStyle name="Обычный 4 26 2 2 3 2" xfId="59395"/>
    <cellStyle name="Обычный 4 26 2 2 4" xfId="38035"/>
    <cellStyle name="Обычный 4 26 2 3" xfId="11331"/>
    <cellStyle name="Обычный 4 26 2 3 2" xfId="43375"/>
    <cellStyle name="Обычный 4 26 2 4" xfId="22012"/>
    <cellStyle name="Обычный 4 26 2 4 2" xfId="54055"/>
    <cellStyle name="Обычный 4 26 2 5" xfId="32695"/>
    <cellStyle name="Обычный 4 26 3" xfId="5524"/>
    <cellStyle name="Обычный 4 26 3 2" xfId="16204"/>
    <cellStyle name="Обычный 4 26 3 2 2" xfId="48248"/>
    <cellStyle name="Обычный 4 26 3 3" xfId="26885"/>
    <cellStyle name="Обычный 4 26 3 3 2" xfId="58928"/>
    <cellStyle name="Обычный 4 26 3 4" xfId="37568"/>
    <cellStyle name="Обычный 4 26 4" xfId="10864"/>
    <cellStyle name="Обычный 4 26 4 2" xfId="42908"/>
    <cellStyle name="Обычный 4 26 5" xfId="21545"/>
    <cellStyle name="Обычный 4 26 5 2" xfId="53588"/>
    <cellStyle name="Обычный 4 26 6" xfId="32228"/>
    <cellStyle name="Обычный 4 27" xfId="190"/>
    <cellStyle name="Обычный 4 27 2" xfId="658"/>
    <cellStyle name="Обычный 4 27 2 2" xfId="6001"/>
    <cellStyle name="Обычный 4 27 2 2 2" xfId="16681"/>
    <cellStyle name="Обычный 4 27 2 2 2 2" xfId="48725"/>
    <cellStyle name="Обычный 4 27 2 2 3" xfId="27362"/>
    <cellStyle name="Обычный 4 27 2 2 3 2" xfId="59405"/>
    <cellStyle name="Обычный 4 27 2 2 4" xfId="38045"/>
    <cellStyle name="Обычный 4 27 2 3" xfId="11341"/>
    <cellStyle name="Обычный 4 27 2 3 2" xfId="43385"/>
    <cellStyle name="Обычный 4 27 2 4" xfId="22022"/>
    <cellStyle name="Обычный 4 27 2 4 2" xfId="54065"/>
    <cellStyle name="Обычный 4 27 2 5" xfId="32705"/>
    <cellStyle name="Обычный 4 27 3" xfId="5534"/>
    <cellStyle name="Обычный 4 27 3 2" xfId="16214"/>
    <cellStyle name="Обычный 4 27 3 2 2" xfId="48258"/>
    <cellStyle name="Обычный 4 27 3 3" xfId="26895"/>
    <cellStyle name="Обычный 4 27 3 3 2" xfId="58938"/>
    <cellStyle name="Обычный 4 27 3 4" xfId="37578"/>
    <cellStyle name="Обычный 4 27 4" xfId="10874"/>
    <cellStyle name="Обычный 4 27 4 2" xfId="42918"/>
    <cellStyle name="Обычный 4 27 5" xfId="21555"/>
    <cellStyle name="Обычный 4 27 5 2" xfId="53598"/>
    <cellStyle name="Обычный 4 27 6" xfId="32238"/>
    <cellStyle name="Обычный 4 28" xfId="200"/>
    <cellStyle name="Обычный 4 28 2" xfId="668"/>
    <cellStyle name="Обычный 4 28 2 2" xfId="6011"/>
    <cellStyle name="Обычный 4 28 2 2 2" xfId="16691"/>
    <cellStyle name="Обычный 4 28 2 2 2 2" xfId="48735"/>
    <cellStyle name="Обычный 4 28 2 2 3" xfId="27372"/>
    <cellStyle name="Обычный 4 28 2 2 3 2" xfId="59415"/>
    <cellStyle name="Обычный 4 28 2 2 4" xfId="38055"/>
    <cellStyle name="Обычный 4 28 2 3" xfId="11351"/>
    <cellStyle name="Обычный 4 28 2 3 2" xfId="43395"/>
    <cellStyle name="Обычный 4 28 2 4" xfId="22032"/>
    <cellStyle name="Обычный 4 28 2 4 2" xfId="54075"/>
    <cellStyle name="Обычный 4 28 2 5" xfId="32715"/>
    <cellStyle name="Обычный 4 28 3" xfId="5544"/>
    <cellStyle name="Обычный 4 28 3 2" xfId="16224"/>
    <cellStyle name="Обычный 4 28 3 2 2" xfId="48268"/>
    <cellStyle name="Обычный 4 28 3 3" xfId="26905"/>
    <cellStyle name="Обычный 4 28 3 3 2" xfId="58948"/>
    <cellStyle name="Обычный 4 28 3 4" xfId="37588"/>
    <cellStyle name="Обычный 4 28 4" xfId="10884"/>
    <cellStyle name="Обычный 4 28 4 2" xfId="42928"/>
    <cellStyle name="Обычный 4 28 5" xfId="21565"/>
    <cellStyle name="Обычный 4 28 5 2" xfId="53608"/>
    <cellStyle name="Обычный 4 28 6" xfId="32248"/>
    <cellStyle name="Обычный 4 29" xfId="210"/>
    <cellStyle name="Обычный 4 29 2" xfId="678"/>
    <cellStyle name="Обычный 4 29 2 2" xfId="6021"/>
    <cellStyle name="Обычный 4 29 2 2 2" xfId="16701"/>
    <cellStyle name="Обычный 4 29 2 2 2 2" xfId="48745"/>
    <cellStyle name="Обычный 4 29 2 2 3" xfId="27382"/>
    <cellStyle name="Обычный 4 29 2 2 3 2" xfId="59425"/>
    <cellStyle name="Обычный 4 29 2 2 4" xfId="38065"/>
    <cellStyle name="Обычный 4 29 2 3" xfId="11361"/>
    <cellStyle name="Обычный 4 29 2 3 2" xfId="43405"/>
    <cellStyle name="Обычный 4 29 2 4" xfId="22042"/>
    <cellStyle name="Обычный 4 29 2 4 2" xfId="54085"/>
    <cellStyle name="Обычный 4 29 2 5" xfId="32725"/>
    <cellStyle name="Обычный 4 29 3" xfId="5554"/>
    <cellStyle name="Обычный 4 29 3 2" xfId="16234"/>
    <cellStyle name="Обычный 4 29 3 2 2" xfId="48278"/>
    <cellStyle name="Обычный 4 29 3 3" xfId="26915"/>
    <cellStyle name="Обычный 4 29 3 3 2" xfId="58958"/>
    <cellStyle name="Обычный 4 29 3 4" xfId="37598"/>
    <cellStyle name="Обычный 4 29 4" xfId="10894"/>
    <cellStyle name="Обычный 4 29 4 2" xfId="42938"/>
    <cellStyle name="Обычный 4 29 5" xfId="21575"/>
    <cellStyle name="Обычный 4 29 5 2" xfId="53618"/>
    <cellStyle name="Обычный 4 29 6" xfId="32258"/>
    <cellStyle name="Обычный 4 3" xfId="36"/>
    <cellStyle name="Обычный 4 3 10" xfId="1156"/>
    <cellStyle name="Обычный 4 3 10 2" xfId="6499"/>
    <cellStyle name="Обычный 4 3 10 2 2" xfId="17179"/>
    <cellStyle name="Обычный 4 3 10 2 2 2" xfId="49223"/>
    <cellStyle name="Обычный 4 3 10 2 3" xfId="27860"/>
    <cellStyle name="Обычный 4 3 10 2 3 2" xfId="59903"/>
    <cellStyle name="Обычный 4 3 10 2 4" xfId="38543"/>
    <cellStyle name="Обычный 4 3 10 3" xfId="11839"/>
    <cellStyle name="Обычный 4 3 10 3 2" xfId="43883"/>
    <cellStyle name="Обычный 4 3 10 4" xfId="22520"/>
    <cellStyle name="Обычный 4 3 10 4 2" xfId="54563"/>
    <cellStyle name="Обычный 4 3 10 5" xfId="33203"/>
    <cellStyle name="Обычный 4 3 100" xfId="3816"/>
    <cellStyle name="Обычный 4 3 100 2" xfId="9157"/>
    <cellStyle name="Обычный 4 3 100 2 2" xfId="19837"/>
    <cellStyle name="Обычный 4 3 100 2 2 2" xfId="51881"/>
    <cellStyle name="Обычный 4 3 100 2 3" xfId="30518"/>
    <cellStyle name="Обычный 4 3 100 2 3 2" xfId="62561"/>
    <cellStyle name="Обычный 4 3 100 2 4" xfId="41201"/>
    <cellStyle name="Обычный 4 3 100 3" xfId="14497"/>
    <cellStyle name="Обычный 4 3 100 3 2" xfId="46541"/>
    <cellStyle name="Обычный 4 3 100 4" xfId="25178"/>
    <cellStyle name="Обычный 4 3 100 4 2" xfId="57221"/>
    <cellStyle name="Обычный 4 3 100 5" xfId="35861"/>
    <cellStyle name="Обычный 4 3 101" xfId="3848"/>
    <cellStyle name="Обычный 4 3 101 2" xfId="9189"/>
    <cellStyle name="Обычный 4 3 101 2 2" xfId="19869"/>
    <cellStyle name="Обычный 4 3 101 2 2 2" xfId="51913"/>
    <cellStyle name="Обычный 4 3 101 2 3" xfId="30550"/>
    <cellStyle name="Обычный 4 3 101 2 3 2" xfId="62593"/>
    <cellStyle name="Обычный 4 3 101 2 4" xfId="41233"/>
    <cellStyle name="Обычный 4 3 101 3" xfId="14529"/>
    <cellStyle name="Обычный 4 3 101 3 2" xfId="46573"/>
    <cellStyle name="Обычный 4 3 101 4" xfId="25210"/>
    <cellStyle name="Обычный 4 3 101 4 2" xfId="57253"/>
    <cellStyle name="Обычный 4 3 101 5" xfId="35893"/>
    <cellStyle name="Обычный 4 3 102" xfId="3880"/>
    <cellStyle name="Обычный 4 3 102 2" xfId="9221"/>
    <cellStyle name="Обычный 4 3 102 2 2" xfId="19901"/>
    <cellStyle name="Обычный 4 3 102 2 2 2" xfId="51945"/>
    <cellStyle name="Обычный 4 3 102 2 3" xfId="30582"/>
    <cellStyle name="Обычный 4 3 102 2 3 2" xfId="62625"/>
    <cellStyle name="Обычный 4 3 102 2 4" xfId="41265"/>
    <cellStyle name="Обычный 4 3 102 3" xfId="14561"/>
    <cellStyle name="Обычный 4 3 102 3 2" xfId="46605"/>
    <cellStyle name="Обычный 4 3 102 4" xfId="25242"/>
    <cellStyle name="Обычный 4 3 102 4 2" xfId="57285"/>
    <cellStyle name="Обычный 4 3 102 5" xfId="35925"/>
    <cellStyle name="Обычный 4 3 103" xfId="3912"/>
    <cellStyle name="Обычный 4 3 103 2" xfId="9253"/>
    <cellStyle name="Обычный 4 3 103 2 2" xfId="19933"/>
    <cellStyle name="Обычный 4 3 103 2 2 2" xfId="51977"/>
    <cellStyle name="Обычный 4 3 103 2 3" xfId="30614"/>
    <cellStyle name="Обычный 4 3 103 2 3 2" xfId="62657"/>
    <cellStyle name="Обычный 4 3 103 2 4" xfId="41297"/>
    <cellStyle name="Обычный 4 3 103 3" xfId="14593"/>
    <cellStyle name="Обычный 4 3 103 3 2" xfId="46637"/>
    <cellStyle name="Обычный 4 3 103 4" xfId="25274"/>
    <cellStyle name="Обычный 4 3 103 4 2" xfId="57317"/>
    <cellStyle name="Обычный 4 3 103 5" xfId="35957"/>
    <cellStyle name="Обычный 4 3 104" xfId="3944"/>
    <cellStyle name="Обычный 4 3 104 2" xfId="9285"/>
    <cellStyle name="Обычный 4 3 104 2 2" xfId="19965"/>
    <cellStyle name="Обычный 4 3 104 2 2 2" xfId="52009"/>
    <cellStyle name="Обычный 4 3 104 2 3" xfId="30646"/>
    <cellStyle name="Обычный 4 3 104 2 3 2" xfId="62689"/>
    <cellStyle name="Обычный 4 3 104 2 4" xfId="41329"/>
    <cellStyle name="Обычный 4 3 104 3" xfId="14625"/>
    <cellStyle name="Обычный 4 3 104 3 2" xfId="46669"/>
    <cellStyle name="Обычный 4 3 104 4" xfId="25306"/>
    <cellStyle name="Обычный 4 3 104 4 2" xfId="57349"/>
    <cellStyle name="Обычный 4 3 104 5" xfId="35989"/>
    <cellStyle name="Обычный 4 3 105" xfId="3976"/>
    <cellStyle name="Обычный 4 3 105 2" xfId="9317"/>
    <cellStyle name="Обычный 4 3 105 2 2" xfId="19997"/>
    <cellStyle name="Обычный 4 3 105 2 2 2" xfId="52041"/>
    <cellStyle name="Обычный 4 3 105 2 3" xfId="30678"/>
    <cellStyle name="Обычный 4 3 105 2 3 2" xfId="62721"/>
    <cellStyle name="Обычный 4 3 105 2 4" xfId="41361"/>
    <cellStyle name="Обычный 4 3 105 3" xfId="14657"/>
    <cellStyle name="Обычный 4 3 105 3 2" xfId="46701"/>
    <cellStyle name="Обычный 4 3 105 4" xfId="25338"/>
    <cellStyle name="Обычный 4 3 105 4 2" xfId="57381"/>
    <cellStyle name="Обычный 4 3 105 5" xfId="36021"/>
    <cellStyle name="Обычный 4 3 106" xfId="4008"/>
    <cellStyle name="Обычный 4 3 106 2" xfId="9349"/>
    <cellStyle name="Обычный 4 3 106 2 2" xfId="20029"/>
    <cellStyle name="Обычный 4 3 106 2 2 2" xfId="52073"/>
    <cellStyle name="Обычный 4 3 106 2 3" xfId="30710"/>
    <cellStyle name="Обычный 4 3 106 2 3 2" xfId="62753"/>
    <cellStyle name="Обычный 4 3 106 2 4" xfId="41393"/>
    <cellStyle name="Обычный 4 3 106 3" xfId="14689"/>
    <cellStyle name="Обычный 4 3 106 3 2" xfId="46733"/>
    <cellStyle name="Обычный 4 3 106 4" xfId="25370"/>
    <cellStyle name="Обычный 4 3 106 4 2" xfId="57413"/>
    <cellStyle name="Обычный 4 3 106 5" xfId="36053"/>
    <cellStyle name="Обычный 4 3 107" xfId="4040"/>
    <cellStyle name="Обычный 4 3 107 2" xfId="9381"/>
    <cellStyle name="Обычный 4 3 107 2 2" xfId="20061"/>
    <cellStyle name="Обычный 4 3 107 2 2 2" xfId="52105"/>
    <cellStyle name="Обычный 4 3 107 2 3" xfId="30742"/>
    <cellStyle name="Обычный 4 3 107 2 3 2" xfId="62785"/>
    <cellStyle name="Обычный 4 3 107 2 4" xfId="41425"/>
    <cellStyle name="Обычный 4 3 107 3" xfId="14721"/>
    <cellStyle name="Обычный 4 3 107 3 2" xfId="46765"/>
    <cellStyle name="Обычный 4 3 107 4" xfId="25402"/>
    <cellStyle name="Обычный 4 3 107 4 2" xfId="57445"/>
    <cellStyle name="Обычный 4 3 107 5" xfId="36085"/>
    <cellStyle name="Обычный 4 3 108" xfId="4072"/>
    <cellStyle name="Обычный 4 3 108 2" xfId="9413"/>
    <cellStyle name="Обычный 4 3 108 2 2" xfId="20093"/>
    <cellStyle name="Обычный 4 3 108 2 2 2" xfId="52137"/>
    <cellStyle name="Обычный 4 3 108 2 3" xfId="30774"/>
    <cellStyle name="Обычный 4 3 108 2 3 2" xfId="62817"/>
    <cellStyle name="Обычный 4 3 108 2 4" xfId="41457"/>
    <cellStyle name="Обычный 4 3 108 3" xfId="14753"/>
    <cellStyle name="Обычный 4 3 108 3 2" xfId="46797"/>
    <cellStyle name="Обычный 4 3 108 4" xfId="25434"/>
    <cellStyle name="Обычный 4 3 108 4 2" xfId="57477"/>
    <cellStyle name="Обычный 4 3 108 5" xfId="36117"/>
    <cellStyle name="Обычный 4 3 109" xfId="4104"/>
    <cellStyle name="Обычный 4 3 109 2" xfId="9445"/>
    <cellStyle name="Обычный 4 3 109 2 2" xfId="20125"/>
    <cellStyle name="Обычный 4 3 109 2 2 2" xfId="52169"/>
    <cellStyle name="Обычный 4 3 109 2 3" xfId="30806"/>
    <cellStyle name="Обычный 4 3 109 2 3 2" xfId="62849"/>
    <cellStyle name="Обычный 4 3 109 2 4" xfId="41489"/>
    <cellStyle name="Обычный 4 3 109 3" xfId="14785"/>
    <cellStyle name="Обычный 4 3 109 3 2" xfId="46829"/>
    <cellStyle name="Обычный 4 3 109 4" xfId="25466"/>
    <cellStyle name="Обычный 4 3 109 4 2" xfId="57509"/>
    <cellStyle name="Обычный 4 3 109 5" xfId="36149"/>
    <cellStyle name="Обычный 4 3 11" xfId="1182"/>
    <cellStyle name="Обычный 4 3 11 2" xfId="6525"/>
    <cellStyle name="Обычный 4 3 11 2 2" xfId="17205"/>
    <cellStyle name="Обычный 4 3 11 2 2 2" xfId="49249"/>
    <cellStyle name="Обычный 4 3 11 2 3" xfId="27886"/>
    <cellStyle name="Обычный 4 3 11 2 3 2" xfId="59929"/>
    <cellStyle name="Обычный 4 3 11 2 4" xfId="38569"/>
    <cellStyle name="Обычный 4 3 11 3" xfId="11865"/>
    <cellStyle name="Обычный 4 3 11 3 2" xfId="43909"/>
    <cellStyle name="Обычный 4 3 11 4" xfId="22546"/>
    <cellStyle name="Обычный 4 3 11 4 2" xfId="54589"/>
    <cellStyle name="Обычный 4 3 11 5" xfId="33229"/>
    <cellStyle name="Обычный 4 3 110" xfId="4136"/>
    <cellStyle name="Обычный 4 3 110 2" xfId="9477"/>
    <cellStyle name="Обычный 4 3 110 2 2" xfId="20157"/>
    <cellStyle name="Обычный 4 3 110 2 2 2" xfId="52201"/>
    <cellStyle name="Обычный 4 3 110 2 3" xfId="30838"/>
    <cellStyle name="Обычный 4 3 110 2 3 2" xfId="62881"/>
    <cellStyle name="Обычный 4 3 110 2 4" xfId="41521"/>
    <cellStyle name="Обычный 4 3 110 3" xfId="14817"/>
    <cellStyle name="Обычный 4 3 110 3 2" xfId="46861"/>
    <cellStyle name="Обычный 4 3 110 4" xfId="25498"/>
    <cellStyle name="Обычный 4 3 110 4 2" xfId="57541"/>
    <cellStyle name="Обычный 4 3 110 5" xfId="36181"/>
    <cellStyle name="Обычный 4 3 111" xfId="4168"/>
    <cellStyle name="Обычный 4 3 111 2" xfId="9509"/>
    <cellStyle name="Обычный 4 3 111 2 2" xfId="20189"/>
    <cellStyle name="Обычный 4 3 111 2 2 2" xfId="52233"/>
    <cellStyle name="Обычный 4 3 111 2 3" xfId="30870"/>
    <cellStyle name="Обычный 4 3 111 2 3 2" xfId="62913"/>
    <cellStyle name="Обычный 4 3 111 2 4" xfId="41553"/>
    <cellStyle name="Обычный 4 3 111 3" xfId="14849"/>
    <cellStyle name="Обычный 4 3 111 3 2" xfId="46893"/>
    <cellStyle name="Обычный 4 3 111 4" xfId="25530"/>
    <cellStyle name="Обычный 4 3 111 4 2" xfId="57573"/>
    <cellStyle name="Обычный 4 3 111 5" xfId="36213"/>
    <cellStyle name="Обычный 4 3 112" xfId="4200"/>
    <cellStyle name="Обычный 4 3 112 2" xfId="9541"/>
    <cellStyle name="Обычный 4 3 112 2 2" xfId="20221"/>
    <cellStyle name="Обычный 4 3 112 2 2 2" xfId="52265"/>
    <cellStyle name="Обычный 4 3 112 2 3" xfId="30902"/>
    <cellStyle name="Обычный 4 3 112 2 3 2" xfId="62945"/>
    <cellStyle name="Обычный 4 3 112 2 4" xfId="41585"/>
    <cellStyle name="Обычный 4 3 112 3" xfId="14881"/>
    <cellStyle name="Обычный 4 3 112 3 2" xfId="46925"/>
    <cellStyle name="Обычный 4 3 112 4" xfId="25562"/>
    <cellStyle name="Обычный 4 3 112 4 2" xfId="57605"/>
    <cellStyle name="Обычный 4 3 112 5" xfId="36245"/>
    <cellStyle name="Обычный 4 3 113" xfId="4232"/>
    <cellStyle name="Обычный 4 3 113 2" xfId="9573"/>
    <cellStyle name="Обычный 4 3 113 2 2" xfId="20253"/>
    <cellStyle name="Обычный 4 3 113 2 2 2" xfId="52297"/>
    <cellStyle name="Обычный 4 3 113 2 3" xfId="30934"/>
    <cellStyle name="Обычный 4 3 113 2 3 2" xfId="62977"/>
    <cellStyle name="Обычный 4 3 113 2 4" xfId="41617"/>
    <cellStyle name="Обычный 4 3 113 3" xfId="14913"/>
    <cellStyle name="Обычный 4 3 113 3 2" xfId="46957"/>
    <cellStyle name="Обычный 4 3 113 4" xfId="25594"/>
    <cellStyle name="Обычный 4 3 113 4 2" xfId="57637"/>
    <cellStyle name="Обычный 4 3 113 5" xfId="36277"/>
    <cellStyle name="Обычный 4 3 114" xfId="4264"/>
    <cellStyle name="Обычный 4 3 114 2" xfId="9605"/>
    <cellStyle name="Обычный 4 3 114 2 2" xfId="20285"/>
    <cellStyle name="Обычный 4 3 114 2 2 2" xfId="52329"/>
    <cellStyle name="Обычный 4 3 114 2 3" xfId="30966"/>
    <cellStyle name="Обычный 4 3 114 2 3 2" xfId="63009"/>
    <cellStyle name="Обычный 4 3 114 2 4" xfId="41649"/>
    <cellStyle name="Обычный 4 3 114 3" xfId="14945"/>
    <cellStyle name="Обычный 4 3 114 3 2" xfId="46989"/>
    <cellStyle name="Обычный 4 3 114 4" xfId="25626"/>
    <cellStyle name="Обычный 4 3 114 4 2" xfId="57669"/>
    <cellStyle name="Обычный 4 3 114 5" xfId="36309"/>
    <cellStyle name="Обычный 4 3 115" xfId="4296"/>
    <cellStyle name="Обычный 4 3 115 2" xfId="9637"/>
    <cellStyle name="Обычный 4 3 115 2 2" xfId="20317"/>
    <cellStyle name="Обычный 4 3 115 2 2 2" xfId="52361"/>
    <cellStyle name="Обычный 4 3 115 2 3" xfId="30998"/>
    <cellStyle name="Обычный 4 3 115 2 3 2" xfId="63041"/>
    <cellStyle name="Обычный 4 3 115 2 4" xfId="41681"/>
    <cellStyle name="Обычный 4 3 115 3" xfId="14977"/>
    <cellStyle name="Обычный 4 3 115 3 2" xfId="47021"/>
    <cellStyle name="Обычный 4 3 115 4" xfId="25658"/>
    <cellStyle name="Обычный 4 3 115 4 2" xfId="57701"/>
    <cellStyle name="Обычный 4 3 115 5" xfId="36341"/>
    <cellStyle name="Обычный 4 3 116" xfId="4328"/>
    <cellStyle name="Обычный 4 3 116 2" xfId="9669"/>
    <cellStyle name="Обычный 4 3 116 2 2" xfId="20349"/>
    <cellStyle name="Обычный 4 3 116 2 2 2" xfId="52393"/>
    <cellStyle name="Обычный 4 3 116 2 3" xfId="31030"/>
    <cellStyle name="Обычный 4 3 116 2 3 2" xfId="63073"/>
    <cellStyle name="Обычный 4 3 116 2 4" xfId="41713"/>
    <cellStyle name="Обычный 4 3 116 3" xfId="15009"/>
    <cellStyle name="Обычный 4 3 116 3 2" xfId="47053"/>
    <cellStyle name="Обычный 4 3 116 4" xfId="25690"/>
    <cellStyle name="Обычный 4 3 116 4 2" xfId="57733"/>
    <cellStyle name="Обычный 4 3 116 5" xfId="36373"/>
    <cellStyle name="Обычный 4 3 117" xfId="4360"/>
    <cellStyle name="Обычный 4 3 117 2" xfId="9701"/>
    <cellStyle name="Обычный 4 3 117 2 2" xfId="20381"/>
    <cellStyle name="Обычный 4 3 117 2 2 2" xfId="52425"/>
    <cellStyle name="Обычный 4 3 117 2 3" xfId="31062"/>
    <cellStyle name="Обычный 4 3 117 2 3 2" xfId="63105"/>
    <cellStyle name="Обычный 4 3 117 2 4" xfId="41745"/>
    <cellStyle name="Обычный 4 3 117 3" xfId="15041"/>
    <cellStyle name="Обычный 4 3 117 3 2" xfId="47085"/>
    <cellStyle name="Обычный 4 3 117 4" xfId="25722"/>
    <cellStyle name="Обычный 4 3 117 4 2" xfId="57765"/>
    <cellStyle name="Обычный 4 3 117 5" xfId="36405"/>
    <cellStyle name="Обычный 4 3 118" xfId="4392"/>
    <cellStyle name="Обычный 4 3 118 2" xfId="9733"/>
    <cellStyle name="Обычный 4 3 118 2 2" xfId="20413"/>
    <cellStyle name="Обычный 4 3 118 2 2 2" xfId="52457"/>
    <cellStyle name="Обычный 4 3 118 2 3" xfId="31094"/>
    <cellStyle name="Обычный 4 3 118 2 3 2" xfId="63137"/>
    <cellStyle name="Обычный 4 3 118 2 4" xfId="41777"/>
    <cellStyle name="Обычный 4 3 118 3" xfId="15073"/>
    <cellStyle name="Обычный 4 3 118 3 2" xfId="47117"/>
    <cellStyle name="Обычный 4 3 118 4" xfId="25754"/>
    <cellStyle name="Обычный 4 3 118 4 2" xfId="57797"/>
    <cellStyle name="Обычный 4 3 118 5" xfId="36437"/>
    <cellStyle name="Обычный 4 3 119" xfId="4424"/>
    <cellStyle name="Обычный 4 3 119 2" xfId="9765"/>
    <cellStyle name="Обычный 4 3 119 2 2" xfId="20445"/>
    <cellStyle name="Обычный 4 3 119 2 2 2" xfId="52489"/>
    <cellStyle name="Обычный 4 3 119 2 3" xfId="31126"/>
    <cellStyle name="Обычный 4 3 119 2 3 2" xfId="63169"/>
    <cellStyle name="Обычный 4 3 119 2 4" xfId="41809"/>
    <cellStyle name="Обычный 4 3 119 3" xfId="15105"/>
    <cellStyle name="Обычный 4 3 119 3 2" xfId="47149"/>
    <cellStyle name="Обычный 4 3 119 4" xfId="25786"/>
    <cellStyle name="Обычный 4 3 119 4 2" xfId="57829"/>
    <cellStyle name="Обычный 4 3 119 5" xfId="36469"/>
    <cellStyle name="Обычный 4 3 12" xfId="1208"/>
    <cellStyle name="Обычный 4 3 12 2" xfId="6551"/>
    <cellStyle name="Обычный 4 3 12 2 2" xfId="17231"/>
    <cellStyle name="Обычный 4 3 12 2 2 2" xfId="49275"/>
    <cellStyle name="Обычный 4 3 12 2 3" xfId="27912"/>
    <cellStyle name="Обычный 4 3 12 2 3 2" xfId="59955"/>
    <cellStyle name="Обычный 4 3 12 2 4" xfId="38595"/>
    <cellStyle name="Обычный 4 3 12 3" xfId="11891"/>
    <cellStyle name="Обычный 4 3 12 3 2" xfId="43935"/>
    <cellStyle name="Обычный 4 3 12 4" xfId="22572"/>
    <cellStyle name="Обычный 4 3 12 4 2" xfId="54615"/>
    <cellStyle name="Обычный 4 3 12 5" xfId="33255"/>
    <cellStyle name="Обычный 4 3 120" xfId="4456"/>
    <cellStyle name="Обычный 4 3 120 2" xfId="9797"/>
    <cellStyle name="Обычный 4 3 120 2 2" xfId="20477"/>
    <cellStyle name="Обычный 4 3 120 2 2 2" xfId="52521"/>
    <cellStyle name="Обычный 4 3 120 2 3" xfId="31158"/>
    <cellStyle name="Обычный 4 3 120 2 3 2" xfId="63201"/>
    <cellStyle name="Обычный 4 3 120 2 4" xfId="41841"/>
    <cellStyle name="Обычный 4 3 120 3" xfId="15137"/>
    <cellStyle name="Обычный 4 3 120 3 2" xfId="47181"/>
    <cellStyle name="Обычный 4 3 120 4" xfId="25818"/>
    <cellStyle name="Обычный 4 3 120 4 2" xfId="57861"/>
    <cellStyle name="Обычный 4 3 120 5" xfId="36501"/>
    <cellStyle name="Обычный 4 3 121" xfId="4488"/>
    <cellStyle name="Обычный 4 3 121 2" xfId="9829"/>
    <cellStyle name="Обычный 4 3 121 2 2" xfId="20509"/>
    <cellStyle name="Обычный 4 3 121 2 2 2" xfId="52553"/>
    <cellStyle name="Обычный 4 3 121 2 3" xfId="31190"/>
    <cellStyle name="Обычный 4 3 121 2 3 2" xfId="63233"/>
    <cellStyle name="Обычный 4 3 121 2 4" xfId="41873"/>
    <cellStyle name="Обычный 4 3 121 3" xfId="15169"/>
    <cellStyle name="Обычный 4 3 121 3 2" xfId="47213"/>
    <cellStyle name="Обычный 4 3 121 4" xfId="25850"/>
    <cellStyle name="Обычный 4 3 121 4 2" xfId="57893"/>
    <cellStyle name="Обычный 4 3 121 5" xfId="36533"/>
    <cellStyle name="Обычный 4 3 122" xfId="4520"/>
    <cellStyle name="Обычный 4 3 122 2" xfId="9861"/>
    <cellStyle name="Обычный 4 3 122 2 2" xfId="20541"/>
    <cellStyle name="Обычный 4 3 122 2 2 2" xfId="52585"/>
    <cellStyle name="Обычный 4 3 122 2 3" xfId="31222"/>
    <cellStyle name="Обычный 4 3 122 2 3 2" xfId="63265"/>
    <cellStyle name="Обычный 4 3 122 2 4" xfId="41905"/>
    <cellStyle name="Обычный 4 3 122 3" xfId="15201"/>
    <cellStyle name="Обычный 4 3 122 3 2" xfId="47245"/>
    <cellStyle name="Обычный 4 3 122 4" xfId="25882"/>
    <cellStyle name="Обычный 4 3 122 4 2" xfId="57925"/>
    <cellStyle name="Обычный 4 3 122 5" xfId="36565"/>
    <cellStyle name="Обычный 4 3 123" xfId="4552"/>
    <cellStyle name="Обычный 4 3 123 2" xfId="9893"/>
    <cellStyle name="Обычный 4 3 123 2 2" xfId="20573"/>
    <cellStyle name="Обычный 4 3 123 2 2 2" xfId="52617"/>
    <cellStyle name="Обычный 4 3 123 2 3" xfId="31254"/>
    <cellStyle name="Обычный 4 3 123 2 3 2" xfId="63297"/>
    <cellStyle name="Обычный 4 3 123 2 4" xfId="41937"/>
    <cellStyle name="Обычный 4 3 123 3" xfId="15233"/>
    <cellStyle name="Обычный 4 3 123 3 2" xfId="47277"/>
    <cellStyle name="Обычный 4 3 123 4" xfId="25914"/>
    <cellStyle name="Обычный 4 3 123 4 2" xfId="57957"/>
    <cellStyle name="Обычный 4 3 123 5" xfId="36597"/>
    <cellStyle name="Обычный 4 3 124" xfId="4584"/>
    <cellStyle name="Обычный 4 3 124 2" xfId="9925"/>
    <cellStyle name="Обычный 4 3 124 2 2" xfId="20605"/>
    <cellStyle name="Обычный 4 3 124 2 2 2" xfId="52649"/>
    <cellStyle name="Обычный 4 3 124 2 3" xfId="31286"/>
    <cellStyle name="Обычный 4 3 124 2 3 2" xfId="63329"/>
    <cellStyle name="Обычный 4 3 124 2 4" xfId="41969"/>
    <cellStyle name="Обычный 4 3 124 3" xfId="15265"/>
    <cellStyle name="Обычный 4 3 124 3 2" xfId="47309"/>
    <cellStyle name="Обычный 4 3 124 4" xfId="25946"/>
    <cellStyle name="Обычный 4 3 124 4 2" xfId="57989"/>
    <cellStyle name="Обычный 4 3 124 5" xfId="36629"/>
    <cellStyle name="Обычный 4 3 125" xfId="4616"/>
    <cellStyle name="Обычный 4 3 125 2" xfId="9957"/>
    <cellStyle name="Обычный 4 3 125 2 2" xfId="20637"/>
    <cellStyle name="Обычный 4 3 125 2 2 2" xfId="52681"/>
    <cellStyle name="Обычный 4 3 125 2 3" xfId="31318"/>
    <cellStyle name="Обычный 4 3 125 2 3 2" xfId="63361"/>
    <cellStyle name="Обычный 4 3 125 2 4" xfId="42001"/>
    <cellStyle name="Обычный 4 3 125 3" xfId="15297"/>
    <cellStyle name="Обычный 4 3 125 3 2" xfId="47341"/>
    <cellStyle name="Обычный 4 3 125 4" xfId="25978"/>
    <cellStyle name="Обычный 4 3 125 4 2" xfId="58021"/>
    <cellStyle name="Обычный 4 3 125 5" xfId="36661"/>
    <cellStyle name="Обычный 4 3 126" xfId="4648"/>
    <cellStyle name="Обычный 4 3 126 2" xfId="9989"/>
    <cellStyle name="Обычный 4 3 126 2 2" xfId="20669"/>
    <cellStyle name="Обычный 4 3 126 2 2 2" xfId="52713"/>
    <cellStyle name="Обычный 4 3 126 2 3" xfId="31350"/>
    <cellStyle name="Обычный 4 3 126 2 3 2" xfId="63393"/>
    <cellStyle name="Обычный 4 3 126 2 4" xfId="42033"/>
    <cellStyle name="Обычный 4 3 126 3" xfId="15329"/>
    <cellStyle name="Обычный 4 3 126 3 2" xfId="47373"/>
    <cellStyle name="Обычный 4 3 126 4" xfId="26010"/>
    <cellStyle name="Обычный 4 3 126 4 2" xfId="58053"/>
    <cellStyle name="Обычный 4 3 126 5" xfId="36693"/>
    <cellStyle name="Обычный 4 3 127" xfId="4680"/>
    <cellStyle name="Обычный 4 3 127 2" xfId="10021"/>
    <cellStyle name="Обычный 4 3 127 2 2" xfId="20701"/>
    <cellStyle name="Обычный 4 3 127 2 2 2" xfId="52745"/>
    <cellStyle name="Обычный 4 3 127 2 3" xfId="31382"/>
    <cellStyle name="Обычный 4 3 127 2 3 2" xfId="63425"/>
    <cellStyle name="Обычный 4 3 127 2 4" xfId="42065"/>
    <cellStyle name="Обычный 4 3 127 3" xfId="15361"/>
    <cellStyle name="Обычный 4 3 127 3 2" xfId="47405"/>
    <cellStyle name="Обычный 4 3 127 4" xfId="26042"/>
    <cellStyle name="Обычный 4 3 127 4 2" xfId="58085"/>
    <cellStyle name="Обычный 4 3 127 5" xfId="36725"/>
    <cellStyle name="Обычный 4 3 128" xfId="4714"/>
    <cellStyle name="Обычный 4 3 128 2" xfId="10055"/>
    <cellStyle name="Обычный 4 3 128 2 2" xfId="20735"/>
    <cellStyle name="Обычный 4 3 128 2 2 2" xfId="52779"/>
    <cellStyle name="Обычный 4 3 128 2 3" xfId="31416"/>
    <cellStyle name="Обычный 4 3 128 2 3 2" xfId="63459"/>
    <cellStyle name="Обычный 4 3 128 2 4" xfId="42099"/>
    <cellStyle name="Обычный 4 3 128 3" xfId="15395"/>
    <cellStyle name="Обычный 4 3 128 3 2" xfId="47439"/>
    <cellStyle name="Обычный 4 3 128 4" xfId="26076"/>
    <cellStyle name="Обычный 4 3 128 4 2" xfId="58119"/>
    <cellStyle name="Обычный 4 3 128 5" xfId="36759"/>
    <cellStyle name="Обычный 4 3 129" xfId="4746"/>
    <cellStyle name="Обычный 4 3 129 2" xfId="10087"/>
    <cellStyle name="Обычный 4 3 129 2 2" xfId="20767"/>
    <cellStyle name="Обычный 4 3 129 2 2 2" xfId="52811"/>
    <cellStyle name="Обычный 4 3 129 2 3" xfId="31448"/>
    <cellStyle name="Обычный 4 3 129 2 3 2" xfId="63491"/>
    <cellStyle name="Обычный 4 3 129 2 4" xfId="42131"/>
    <cellStyle name="Обычный 4 3 129 3" xfId="15427"/>
    <cellStyle name="Обычный 4 3 129 3 2" xfId="47471"/>
    <cellStyle name="Обычный 4 3 129 4" xfId="26108"/>
    <cellStyle name="Обычный 4 3 129 4 2" xfId="58151"/>
    <cellStyle name="Обычный 4 3 129 5" xfId="36791"/>
    <cellStyle name="Обычный 4 3 13" xfId="1234"/>
    <cellStyle name="Обычный 4 3 13 2" xfId="6577"/>
    <cellStyle name="Обычный 4 3 13 2 2" xfId="17257"/>
    <cellStyle name="Обычный 4 3 13 2 2 2" xfId="49301"/>
    <cellStyle name="Обычный 4 3 13 2 3" xfId="27938"/>
    <cellStyle name="Обычный 4 3 13 2 3 2" xfId="59981"/>
    <cellStyle name="Обычный 4 3 13 2 4" xfId="38621"/>
    <cellStyle name="Обычный 4 3 13 3" xfId="11917"/>
    <cellStyle name="Обычный 4 3 13 3 2" xfId="43961"/>
    <cellStyle name="Обычный 4 3 13 4" xfId="22598"/>
    <cellStyle name="Обычный 4 3 13 4 2" xfId="54641"/>
    <cellStyle name="Обычный 4 3 13 5" xfId="33281"/>
    <cellStyle name="Обычный 4 3 130" xfId="4778"/>
    <cellStyle name="Обычный 4 3 130 2" xfId="10119"/>
    <cellStyle name="Обычный 4 3 130 2 2" xfId="20799"/>
    <cellStyle name="Обычный 4 3 130 2 2 2" xfId="52843"/>
    <cellStyle name="Обычный 4 3 130 2 3" xfId="31480"/>
    <cellStyle name="Обычный 4 3 130 2 3 2" xfId="63523"/>
    <cellStyle name="Обычный 4 3 130 2 4" xfId="42163"/>
    <cellStyle name="Обычный 4 3 130 3" xfId="15459"/>
    <cellStyle name="Обычный 4 3 130 3 2" xfId="47503"/>
    <cellStyle name="Обычный 4 3 130 4" xfId="26140"/>
    <cellStyle name="Обычный 4 3 130 4 2" xfId="58183"/>
    <cellStyle name="Обычный 4 3 130 5" xfId="36823"/>
    <cellStyle name="Обычный 4 3 131" xfId="4810"/>
    <cellStyle name="Обычный 4 3 131 2" xfId="10151"/>
    <cellStyle name="Обычный 4 3 131 2 2" xfId="20831"/>
    <cellStyle name="Обычный 4 3 131 2 2 2" xfId="52875"/>
    <cellStyle name="Обычный 4 3 131 2 3" xfId="31512"/>
    <cellStyle name="Обычный 4 3 131 2 3 2" xfId="63555"/>
    <cellStyle name="Обычный 4 3 131 2 4" xfId="42195"/>
    <cellStyle name="Обычный 4 3 131 3" xfId="15491"/>
    <cellStyle name="Обычный 4 3 131 3 2" xfId="47535"/>
    <cellStyle name="Обычный 4 3 131 4" xfId="26172"/>
    <cellStyle name="Обычный 4 3 131 4 2" xfId="58215"/>
    <cellStyle name="Обычный 4 3 131 5" xfId="36855"/>
    <cellStyle name="Обычный 4 3 132" xfId="4842"/>
    <cellStyle name="Обычный 4 3 132 2" xfId="10183"/>
    <cellStyle name="Обычный 4 3 132 2 2" xfId="20863"/>
    <cellStyle name="Обычный 4 3 132 2 2 2" xfId="52907"/>
    <cellStyle name="Обычный 4 3 132 2 3" xfId="31544"/>
    <cellStyle name="Обычный 4 3 132 2 3 2" xfId="63587"/>
    <cellStyle name="Обычный 4 3 132 2 4" xfId="42227"/>
    <cellStyle name="Обычный 4 3 132 3" xfId="15523"/>
    <cellStyle name="Обычный 4 3 132 3 2" xfId="47567"/>
    <cellStyle name="Обычный 4 3 132 4" xfId="26204"/>
    <cellStyle name="Обычный 4 3 132 4 2" xfId="58247"/>
    <cellStyle name="Обычный 4 3 132 5" xfId="36887"/>
    <cellStyle name="Обычный 4 3 133" xfId="4874"/>
    <cellStyle name="Обычный 4 3 133 2" xfId="10215"/>
    <cellStyle name="Обычный 4 3 133 2 2" xfId="20895"/>
    <cellStyle name="Обычный 4 3 133 2 2 2" xfId="52939"/>
    <cellStyle name="Обычный 4 3 133 2 3" xfId="31576"/>
    <cellStyle name="Обычный 4 3 133 2 3 2" xfId="63619"/>
    <cellStyle name="Обычный 4 3 133 2 4" xfId="42259"/>
    <cellStyle name="Обычный 4 3 133 3" xfId="15555"/>
    <cellStyle name="Обычный 4 3 133 3 2" xfId="47599"/>
    <cellStyle name="Обычный 4 3 133 4" xfId="26236"/>
    <cellStyle name="Обычный 4 3 133 4 2" xfId="58279"/>
    <cellStyle name="Обычный 4 3 133 5" xfId="36919"/>
    <cellStyle name="Обычный 4 3 134" xfId="4906"/>
    <cellStyle name="Обычный 4 3 134 2" xfId="10247"/>
    <cellStyle name="Обычный 4 3 134 2 2" xfId="20927"/>
    <cellStyle name="Обычный 4 3 134 2 2 2" xfId="52971"/>
    <cellStyle name="Обычный 4 3 134 2 3" xfId="31608"/>
    <cellStyle name="Обычный 4 3 134 2 3 2" xfId="63651"/>
    <cellStyle name="Обычный 4 3 134 2 4" xfId="42291"/>
    <cellStyle name="Обычный 4 3 134 3" xfId="15587"/>
    <cellStyle name="Обычный 4 3 134 3 2" xfId="47631"/>
    <cellStyle name="Обычный 4 3 134 4" xfId="26268"/>
    <cellStyle name="Обычный 4 3 134 4 2" xfId="58311"/>
    <cellStyle name="Обычный 4 3 134 5" xfId="36951"/>
    <cellStyle name="Обычный 4 3 135" xfId="4938"/>
    <cellStyle name="Обычный 4 3 135 2" xfId="10279"/>
    <cellStyle name="Обычный 4 3 135 2 2" xfId="20959"/>
    <cellStyle name="Обычный 4 3 135 2 2 2" xfId="53003"/>
    <cellStyle name="Обычный 4 3 135 2 3" xfId="31640"/>
    <cellStyle name="Обычный 4 3 135 2 3 2" xfId="63683"/>
    <cellStyle name="Обычный 4 3 135 2 4" xfId="42323"/>
    <cellStyle name="Обычный 4 3 135 3" xfId="15619"/>
    <cellStyle name="Обычный 4 3 135 3 2" xfId="47663"/>
    <cellStyle name="Обычный 4 3 135 4" xfId="26300"/>
    <cellStyle name="Обычный 4 3 135 4 2" xfId="58343"/>
    <cellStyle name="Обычный 4 3 135 5" xfId="36983"/>
    <cellStyle name="Обычный 4 3 136" xfId="4970"/>
    <cellStyle name="Обычный 4 3 136 2" xfId="10311"/>
    <cellStyle name="Обычный 4 3 136 2 2" xfId="20991"/>
    <cellStyle name="Обычный 4 3 136 2 2 2" xfId="53035"/>
    <cellStyle name="Обычный 4 3 136 2 3" xfId="31672"/>
    <cellStyle name="Обычный 4 3 136 2 3 2" xfId="63715"/>
    <cellStyle name="Обычный 4 3 136 2 4" xfId="42355"/>
    <cellStyle name="Обычный 4 3 136 3" xfId="15651"/>
    <cellStyle name="Обычный 4 3 136 3 2" xfId="47695"/>
    <cellStyle name="Обычный 4 3 136 4" xfId="26332"/>
    <cellStyle name="Обычный 4 3 136 4 2" xfId="58375"/>
    <cellStyle name="Обычный 4 3 136 5" xfId="37015"/>
    <cellStyle name="Обычный 4 3 137" xfId="5002"/>
    <cellStyle name="Обычный 4 3 137 2" xfId="10343"/>
    <cellStyle name="Обычный 4 3 137 2 2" xfId="21023"/>
    <cellStyle name="Обычный 4 3 137 2 2 2" xfId="53067"/>
    <cellStyle name="Обычный 4 3 137 2 3" xfId="31704"/>
    <cellStyle name="Обычный 4 3 137 2 3 2" xfId="63747"/>
    <cellStyle name="Обычный 4 3 137 2 4" xfId="42387"/>
    <cellStyle name="Обычный 4 3 137 3" xfId="15683"/>
    <cellStyle name="Обычный 4 3 137 3 2" xfId="47727"/>
    <cellStyle name="Обычный 4 3 137 4" xfId="26364"/>
    <cellStyle name="Обычный 4 3 137 4 2" xfId="58407"/>
    <cellStyle name="Обычный 4 3 137 5" xfId="37047"/>
    <cellStyle name="Обычный 4 3 138" xfId="5034"/>
    <cellStyle name="Обычный 4 3 138 2" xfId="10375"/>
    <cellStyle name="Обычный 4 3 138 2 2" xfId="21055"/>
    <cellStyle name="Обычный 4 3 138 2 2 2" xfId="53099"/>
    <cellStyle name="Обычный 4 3 138 2 3" xfId="31736"/>
    <cellStyle name="Обычный 4 3 138 2 3 2" xfId="63779"/>
    <cellStyle name="Обычный 4 3 138 2 4" xfId="42419"/>
    <cellStyle name="Обычный 4 3 138 3" xfId="15715"/>
    <cellStyle name="Обычный 4 3 138 3 2" xfId="47759"/>
    <cellStyle name="Обычный 4 3 138 4" xfId="26396"/>
    <cellStyle name="Обычный 4 3 138 4 2" xfId="58439"/>
    <cellStyle name="Обычный 4 3 138 5" xfId="37079"/>
    <cellStyle name="Обычный 4 3 139" xfId="5066"/>
    <cellStyle name="Обычный 4 3 139 2" xfId="10407"/>
    <cellStyle name="Обычный 4 3 139 2 2" xfId="21087"/>
    <cellStyle name="Обычный 4 3 139 2 2 2" xfId="53131"/>
    <cellStyle name="Обычный 4 3 139 2 3" xfId="31768"/>
    <cellStyle name="Обычный 4 3 139 2 3 2" xfId="63811"/>
    <cellStyle name="Обычный 4 3 139 2 4" xfId="42451"/>
    <cellStyle name="Обычный 4 3 139 3" xfId="15747"/>
    <cellStyle name="Обычный 4 3 139 3 2" xfId="47791"/>
    <cellStyle name="Обычный 4 3 139 4" xfId="26428"/>
    <cellStyle name="Обычный 4 3 139 4 2" xfId="58471"/>
    <cellStyle name="Обычный 4 3 139 5" xfId="37111"/>
    <cellStyle name="Обычный 4 3 14" xfId="1260"/>
    <cellStyle name="Обычный 4 3 14 2" xfId="6603"/>
    <cellStyle name="Обычный 4 3 14 2 2" xfId="17283"/>
    <cellStyle name="Обычный 4 3 14 2 2 2" xfId="49327"/>
    <cellStyle name="Обычный 4 3 14 2 3" xfId="27964"/>
    <cellStyle name="Обычный 4 3 14 2 3 2" xfId="60007"/>
    <cellStyle name="Обычный 4 3 14 2 4" xfId="38647"/>
    <cellStyle name="Обычный 4 3 14 3" xfId="11943"/>
    <cellStyle name="Обычный 4 3 14 3 2" xfId="43987"/>
    <cellStyle name="Обычный 4 3 14 4" xfId="22624"/>
    <cellStyle name="Обычный 4 3 14 4 2" xfId="54667"/>
    <cellStyle name="Обычный 4 3 14 5" xfId="33307"/>
    <cellStyle name="Обычный 4 3 140" xfId="5098"/>
    <cellStyle name="Обычный 4 3 140 2" xfId="10439"/>
    <cellStyle name="Обычный 4 3 140 2 2" xfId="21119"/>
    <cellStyle name="Обычный 4 3 140 2 2 2" xfId="53163"/>
    <cellStyle name="Обычный 4 3 140 2 3" xfId="31800"/>
    <cellStyle name="Обычный 4 3 140 2 3 2" xfId="63843"/>
    <cellStyle name="Обычный 4 3 140 2 4" xfId="42483"/>
    <cellStyle name="Обычный 4 3 140 3" xfId="15779"/>
    <cellStyle name="Обычный 4 3 140 3 2" xfId="47823"/>
    <cellStyle name="Обычный 4 3 140 4" xfId="26460"/>
    <cellStyle name="Обычный 4 3 140 4 2" xfId="58503"/>
    <cellStyle name="Обычный 4 3 140 5" xfId="37143"/>
    <cellStyle name="Обычный 4 3 141" xfId="5130"/>
    <cellStyle name="Обычный 4 3 141 2" xfId="10471"/>
    <cellStyle name="Обычный 4 3 141 2 2" xfId="21151"/>
    <cellStyle name="Обычный 4 3 141 2 2 2" xfId="53195"/>
    <cellStyle name="Обычный 4 3 141 2 3" xfId="31832"/>
    <cellStyle name="Обычный 4 3 141 2 3 2" xfId="63875"/>
    <cellStyle name="Обычный 4 3 141 2 4" xfId="42515"/>
    <cellStyle name="Обычный 4 3 141 3" xfId="15811"/>
    <cellStyle name="Обычный 4 3 141 3 2" xfId="47855"/>
    <cellStyle name="Обычный 4 3 141 4" xfId="26492"/>
    <cellStyle name="Обычный 4 3 141 4 2" xfId="58535"/>
    <cellStyle name="Обычный 4 3 141 5" xfId="37175"/>
    <cellStyle name="Обычный 4 3 142" xfId="5162"/>
    <cellStyle name="Обычный 4 3 142 2" xfId="10503"/>
    <cellStyle name="Обычный 4 3 142 2 2" xfId="21183"/>
    <cellStyle name="Обычный 4 3 142 2 2 2" xfId="53227"/>
    <cellStyle name="Обычный 4 3 142 2 3" xfId="31864"/>
    <cellStyle name="Обычный 4 3 142 2 3 2" xfId="63907"/>
    <cellStyle name="Обычный 4 3 142 2 4" xfId="42547"/>
    <cellStyle name="Обычный 4 3 142 3" xfId="15843"/>
    <cellStyle name="Обычный 4 3 142 3 2" xfId="47887"/>
    <cellStyle name="Обычный 4 3 142 4" xfId="26524"/>
    <cellStyle name="Обычный 4 3 142 4 2" xfId="58567"/>
    <cellStyle name="Обычный 4 3 142 5" xfId="37207"/>
    <cellStyle name="Обычный 4 3 143" xfId="5194"/>
    <cellStyle name="Обычный 4 3 143 2" xfId="10535"/>
    <cellStyle name="Обычный 4 3 143 2 2" xfId="21215"/>
    <cellStyle name="Обычный 4 3 143 2 2 2" xfId="53259"/>
    <cellStyle name="Обычный 4 3 143 2 3" xfId="31896"/>
    <cellStyle name="Обычный 4 3 143 2 3 2" xfId="63939"/>
    <cellStyle name="Обычный 4 3 143 2 4" xfId="42579"/>
    <cellStyle name="Обычный 4 3 143 3" xfId="15875"/>
    <cellStyle name="Обычный 4 3 143 3 2" xfId="47919"/>
    <cellStyle name="Обычный 4 3 143 4" xfId="26556"/>
    <cellStyle name="Обычный 4 3 143 4 2" xfId="58599"/>
    <cellStyle name="Обычный 4 3 143 5" xfId="37239"/>
    <cellStyle name="Обычный 4 3 144" xfId="5226"/>
    <cellStyle name="Обычный 4 3 144 2" xfId="10567"/>
    <cellStyle name="Обычный 4 3 144 2 2" xfId="21247"/>
    <cellStyle name="Обычный 4 3 144 2 2 2" xfId="53291"/>
    <cellStyle name="Обычный 4 3 144 2 3" xfId="31928"/>
    <cellStyle name="Обычный 4 3 144 2 3 2" xfId="63971"/>
    <cellStyle name="Обычный 4 3 144 2 4" xfId="42611"/>
    <cellStyle name="Обычный 4 3 144 3" xfId="15907"/>
    <cellStyle name="Обычный 4 3 144 3 2" xfId="47951"/>
    <cellStyle name="Обычный 4 3 144 4" xfId="26588"/>
    <cellStyle name="Обычный 4 3 144 4 2" xfId="58631"/>
    <cellStyle name="Обычный 4 3 144 5" xfId="37271"/>
    <cellStyle name="Обычный 4 3 145" xfId="5258"/>
    <cellStyle name="Обычный 4 3 145 2" xfId="10599"/>
    <cellStyle name="Обычный 4 3 145 2 2" xfId="21279"/>
    <cellStyle name="Обычный 4 3 145 2 2 2" xfId="53323"/>
    <cellStyle name="Обычный 4 3 145 2 3" xfId="31960"/>
    <cellStyle name="Обычный 4 3 145 2 3 2" xfId="64003"/>
    <cellStyle name="Обычный 4 3 145 2 4" xfId="42643"/>
    <cellStyle name="Обычный 4 3 145 3" xfId="15939"/>
    <cellStyle name="Обычный 4 3 145 3 2" xfId="47983"/>
    <cellStyle name="Обычный 4 3 145 4" xfId="26620"/>
    <cellStyle name="Обычный 4 3 145 4 2" xfId="58663"/>
    <cellStyle name="Обычный 4 3 145 5" xfId="37303"/>
    <cellStyle name="Обычный 4 3 146" xfId="5290"/>
    <cellStyle name="Обычный 4 3 146 2" xfId="10631"/>
    <cellStyle name="Обычный 4 3 146 2 2" xfId="21311"/>
    <cellStyle name="Обычный 4 3 146 2 2 2" xfId="53355"/>
    <cellStyle name="Обычный 4 3 146 2 3" xfId="31992"/>
    <cellStyle name="Обычный 4 3 146 2 3 2" xfId="64035"/>
    <cellStyle name="Обычный 4 3 146 2 4" xfId="42675"/>
    <cellStyle name="Обычный 4 3 146 3" xfId="15971"/>
    <cellStyle name="Обычный 4 3 146 3 2" xfId="48015"/>
    <cellStyle name="Обычный 4 3 146 4" xfId="26652"/>
    <cellStyle name="Обычный 4 3 146 4 2" xfId="58695"/>
    <cellStyle name="Обычный 4 3 146 5" xfId="37335"/>
    <cellStyle name="Обычный 4 3 147" xfId="5322"/>
    <cellStyle name="Обычный 4 3 147 2" xfId="10663"/>
    <cellStyle name="Обычный 4 3 147 2 2" xfId="21343"/>
    <cellStyle name="Обычный 4 3 147 2 2 2" xfId="53387"/>
    <cellStyle name="Обычный 4 3 147 2 3" xfId="32024"/>
    <cellStyle name="Обычный 4 3 147 2 3 2" xfId="64067"/>
    <cellStyle name="Обычный 4 3 147 2 4" xfId="42707"/>
    <cellStyle name="Обычный 4 3 147 3" xfId="16003"/>
    <cellStyle name="Обычный 4 3 147 3 2" xfId="48047"/>
    <cellStyle name="Обычный 4 3 147 4" xfId="26684"/>
    <cellStyle name="Обычный 4 3 147 4 2" xfId="58727"/>
    <cellStyle name="Обычный 4 3 147 5" xfId="37367"/>
    <cellStyle name="Обычный 4 3 148" xfId="5354"/>
    <cellStyle name="Обычный 4 3 148 2" xfId="10695"/>
    <cellStyle name="Обычный 4 3 148 2 2" xfId="21375"/>
    <cellStyle name="Обычный 4 3 148 2 2 2" xfId="53419"/>
    <cellStyle name="Обычный 4 3 148 2 3" xfId="32056"/>
    <cellStyle name="Обычный 4 3 148 2 3 2" xfId="64099"/>
    <cellStyle name="Обычный 4 3 148 2 4" xfId="42739"/>
    <cellStyle name="Обычный 4 3 148 3" xfId="16035"/>
    <cellStyle name="Обычный 4 3 148 3 2" xfId="48079"/>
    <cellStyle name="Обычный 4 3 148 4" xfId="26716"/>
    <cellStyle name="Обычный 4 3 148 4 2" xfId="58759"/>
    <cellStyle name="Обычный 4 3 148 5" xfId="37399"/>
    <cellStyle name="Обычный 4 3 149" xfId="5380"/>
    <cellStyle name="Обычный 4 3 149 2" xfId="16060"/>
    <cellStyle name="Обычный 4 3 149 2 2" xfId="48104"/>
    <cellStyle name="Обычный 4 3 149 3" xfId="26741"/>
    <cellStyle name="Обычный 4 3 149 3 2" xfId="58784"/>
    <cellStyle name="Обычный 4 3 149 4" xfId="37424"/>
    <cellStyle name="Обычный 4 3 15" xfId="1286"/>
    <cellStyle name="Обычный 4 3 15 2" xfId="6629"/>
    <cellStyle name="Обычный 4 3 15 2 2" xfId="17309"/>
    <cellStyle name="Обычный 4 3 15 2 2 2" xfId="49353"/>
    <cellStyle name="Обычный 4 3 15 2 3" xfId="27990"/>
    <cellStyle name="Обычный 4 3 15 2 3 2" xfId="60033"/>
    <cellStyle name="Обычный 4 3 15 2 4" xfId="38673"/>
    <cellStyle name="Обычный 4 3 15 3" xfId="11969"/>
    <cellStyle name="Обычный 4 3 15 3 2" xfId="44013"/>
    <cellStyle name="Обычный 4 3 15 4" xfId="22650"/>
    <cellStyle name="Обычный 4 3 15 4 2" xfId="54693"/>
    <cellStyle name="Обычный 4 3 15 5" xfId="33333"/>
    <cellStyle name="Обычный 4 3 150" xfId="10720"/>
    <cellStyle name="Обычный 4 3 150 2" xfId="42764"/>
    <cellStyle name="Обычный 4 3 151" xfId="21401"/>
    <cellStyle name="Обычный 4 3 151 2" xfId="53444"/>
    <cellStyle name="Обычный 4 3 152" xfId="32084"/>
    <cellStyle name="Обычный 4 3 16" xfId="1313"/>
    <cellStyle name="Обычный 4 3 16 2" xfId="6655"/>
    <cellStyle name="Обычный 4 3 16 2 2" xfId="17335"/>
    <cellStyle name="Обычный 4 3 16 2 2 2" xfId="49379"/>
    <cellStyle name="Обычный 4 3 16 2 3" xfId="28016"/>
    <cellStyle name="Обычный 4 3 16 2 3 2" xfId="60059"/>
    <cellStyle name="Обычный 4 3 16 2 4" xfId="38699"/>
    <cellStyle name="Обычный 4 3 16 3" xfId="11995"/>
    <cellStyle name="Обычный 4 3 16 3 2" xfId="44039"/>
    <cellStyle name="Обычный 4 3 16 4" xfId="22676"/>
    <cellStyle name="Обычный 4 3 16 4 2" xfId="54719"/>
    <cellStyle name="Обычный 4 3 16 5" xfId="33359"/>
    <cellStyle name="Обычный 4 3 17" xfId="1339"/>
    <cellStyle name="Обычный 4 3 17 2" xfId="6681"/>
    <cellStyle name="Обычный 4 3 17 2 2" xfId="17361"/>
    <cellStyle name="Обычный 4 3 17 2 2 2" xfId="49405"/>
    <cellStyle name="Обычный 4 3 17 2 3" xfId="28042"/>
    <cellStyle name="Обычный 4 3 17 2 3 2" xfId="60085"/>
    <cellStyle name="Обычный 4 3 17 2 4" xfId="38725"/>
    <cellStyle name="Обычный 4 3 17 3" xfId="12021"/>
    <cellStyle name="Обычный 4 3 17 3 2" xfId="44065"/>
    <cellStyle name="Обычный 4 3 17 4" xfId="22702"/>
    <cellStyle name="Обычный 4 3 17 4 2" xfId="54745"/>
    <cellStyle name="Обычный 4 3 17 5" xfId="33385"/>
    <cellStyle name="Обычный 4 3 18" xfId="1365"/>
    <cellStyle name="Обычный 4 3 18 2" xfId="6707"/>
    <cellStyle name="Обычный 4 3 18 2 2" xfId="17387"/>
    <cellStyle name="Обычный 4 3 18 2 2 2" xfId="49431"/>
    <cellStyle name="Обычный 4 3 18 2 3" xfId="28068"/>
    <cellStyle name="Обычный 4 3 18 2 3 2" xfId="60111"/>
    <cellStyle name="Обычный 4 3 18 2 4" xfId="38751"/>
    <cellStyle name="Обычный 4 3 18 3" xfId="12047"/>
    <cellStyle name="Обычный 4 3 18 3 2" xfId="44091"/>
    <cellStyle name="Обычный 4 3 18 4" xfId="22728"/>
    <cellStyle name="Обычный 4 3 18 4 2" xfId="54771"/>
    <cellStyle name="Обычный 4 3 18 5" xfId="33411"/>
    <cellStyle name="Обычный 4 3 19" xfId="1391"/>
    <cellStyle name="Обычный 4 3 19 2" xfId="6733"/>
    <cellStyle name="Обычный 4 3 19 2 2" xfId="17413"/>
    <cellStyle name="Обычный 4 3 19 2 2 2" xfId="49457"/>
    <cellStyle name="Обычный 4 3 19 2 3" xfId="28094"/>
    <cellStyle name="Обычный 4 3 19 2 3 2" xfId="60137"/>
    <cellStyle name="Обычный 4 3 19 2 4" xfId="38777"/>
    <cellStyle name="Обычный 4 3 19 3" xfId="12073"/>
    <cellStyle name="Обычный 4 3 19 3 2" xfId="44117"/>
    <cellStyle name="Обычный 4 3 19 4" xfId="22754"/>
    <cellStyle name="Обычный 4 3 19 4 2" xfId="54797"/>
    <cellStyle name="Обычный 4 3 19 5" xfId="33437"/>
    <cellStyle name="Обычный 4 3 2" xfId="504"/>
    <cellStyle name="Обычный 4 3 2 2" xfId="5847"/>
    <cellStyle name="Обычный 4 3 2 2 2" xfId="16527"/>
    <cellStyle name="Обычный 4 3 2 2 2 2" xfId="48571"/>
    <cellStyle name="Обычный 4 3 2 2 3" xfId="27208"/>
    <cellStyle name="Обычный 4 3 2 2 3 2" xfId="59251"/>
    <cellStyle name="Обычный 4 3 2 2 4" xfId="37891"/>
    <cellStyle name="Обычный 4 3 2 3" xfId="11187"/>
    <cellStyle name="Обычный 4 3 2 3 2" xfId="43231"/>
    <cellStyle name="Обычный 4 3 2 4" xfId="21868"/>
    <cellStyle name="Обычный 4 3 2 4 2" xfId="53911"/>
    <cellStyle name="Обычный 4 3 2 5" xfId="32551"/>
    <cellStyle name="Обычный 4 3 20" xfId="1417"/>
    <cellStyle name="Обычный 4 3 20 2" xfId="6759"/>
    <cellStyle name="Обычный 4 3 20 2 2" xfId="17439"/>
    <cellStyle name="Обычный 4 3 20 2 2 2" xfId="49483"/>
    <cellStyle name="Обычный 4 3 20 2 3" xfId="28120"/>
    <cellStyle name="Обычный 4 3 20 2 3 2" xfId="60163"/>
    <cellStyle name="Обычный 4 3 20 2 4" xfId="38803"/>
    <cellStyle name="Обычный 4 3 20 3" xfId="12099"/>
    <cellStyle name="Обычный 4 3 20 3 2" xfId="44143"/>
    <cellStyle name="Обычный 4 3 20 4" xfId="22780"/>
    <cellStyle name="Обычный 4 3 20 4 2" xfId="54823"/>
    <cellStyle name="Обычный 4 3 20 5" xfId="33463"/>
    <cellStyle name="Обычный 4 3 21" xfId="1443"/>
    <cellStyle name="Обычный 4 3 21 2" xfId="6785"/>
    <cellStyle name="Обычный 4 3 21 2 2" xfId="17465"/>
    <cellStyle name="Обычный 4 3 21 2 2 2" xfId="49509"/>
    <cellStyle name="Обычный 4 3 21 2 3" xfId="28146"/>
    <cellStyle name="Обычный 4 3 21 2 3 2" xfId="60189"/>
    <cellStyle name="Обычный 4 3 21 2 4" xfId="38829"/>
    <cellStyle name="Обычный 4 3 21 3" xfId="12125"/>
    <cellStyle name="Обычный 4 3 21 3 2" xfId="44169"/>
    <cellStyle name="Обычный 4 3 21 4" xfId="22806"/>
    <cellStyle name="Обычный 4 3 21 4 2" xfId="54849"/>
    <cellStyle name="Обычный 4 3 21 5" xfId="33489"/>
    <cellStyle name="Обычный 4 3 22" xfId="1469"/>
    <cellStyle name="Обычный 4 3 22 2" xfId="6811"/>
    <cellStyle name="Обычный 4 3 22 2 2" xfId="17491"/>
    <cellStyle name="Обычный 4 3 22 2 2 2" xfId="49535"/>
    <cellStyle name="Обычный 4 3 22 2 3" xfId="28172"/>
    <cellStyle name="Обычный 4 3 22 2 3 2" xfId="60215"/>
    <cellStyle name="Обычный 4 3 22 2 4" xfId="38855"/>
    <cellStyle name="Обычный 4 3 22 3" xfId="12151"/>
    <cellStyle name="Обычный 4 3 22 3 2" xfId="44195"/>
    <cellStyle name="Обычный 4 3 22 4" xfId="22832"/>
    <cellStyle name="Обычный 4 3 22 4 2" xfId="54875"/>
    <cellStyle name="Обычный 4 3 22 5" xfId="33515"/>
    <cellStyle name="Обычный 4 3 23" xfId="1495"/>
    <cellStyle name="Обычный 4 3 23 2" xfId="6837"/>
    <cellStyle name="Обычный 4 3 23 2 2" xfId="17517"/>
    <cellStyle name="Обычный 4 3 23 2 2 2" xfId="49561"/>
    <cellStyle name="Обычный 4 3 23 2 3" xfId="28198"/>
    <cellStyle name="Обычный 4 3 23 2 3 2" xfId="60241"/>
    <cellStyle name="Обычный 4 3 23 2 4" xfId="38881"/>
    <cellStyle name="Обычный 4 3 23 3" xfId="12177"/>
    <cellStyle name="Обычный 4 3 23 3 2" xfId="44221"/>
    <cellStyle name="Обычный 4 3 23 4" xfId="22858"/>
    <cellStyle name="Обычный 4 3 23 4 2" xfId="54901"/>
    <cellStyle name="Обычный 4 3 23 5" xfId="33541"/>
    <cellStyle name="Обычный 4 3 24" xfId="1521"/>
    <cellStyle name="Обычный 4 3 24 2" xfId="6863"/>
    <cellStyle name="Обычный 4 3 24 2 2" xfId="17543"/>
    <cellStyle name="Обычный 4 3 24 2 2 2" xfId="49587"/>
    <cellStyle name="Обычный 4 3 24 2 3" xfId="28224"/>
    <cellStyle name="Обычный 4 3 24 2 3 2" xfId="60267"/>
    <cellStyle name="Обычный 4 3 24 2 4" xfId="38907"/>
    <cellStyle name="Обычный 4 3 24 3" xfId="12203"/>
    <cellStyle name="Обычный 4 3 24 3 2" xfId="44247"/>
    <cellStyle name="Обычный 4 3 24 4" xfId="22884"/>
    <cellStyle name="Обычный 4 3 24 4 2" xfId="54927"/>
    <cellStyle name="Обычный 4 3 24 5" xfId="33567"/>
    <cellStyle name="Обычный 4 3 25" xfId="1547"/>
    <cellStyle name="Обычный 4 3 25 2" xfId="6889"/>
    <cellStyle name="Обычный 4 3 25 2 2" xfId="17569"/>
    <cellStyle name="Обычный 4 3 25 2 2 2" xfId="49613"/>
    <cellStyle name="Обычный 4 3 25 2 3" xfId="28250"/>
    <cellStyle name="Обычный 4 3 25 2 3 2" xfId="60293"/>
    <cellStyle name="Обычный 4 3 25 2 4" xfId="38933"/>
    <cellStyle name="Обычный 4 3 25 3" xfId="12229"/>
    <cellStyle name="Обычный 4 3 25 3 2" xfId="44273"/>
    <cellStyle name="Обычный 4 3 25 4" xfId="22910"/>
    <cellStyle name="Обычный 4 3 25 4 2" xfId="54953"/>
    <cellStyle name="Обычный 4 3 25 5" xfId="33593"/>
    <cellStyle name="Обычный 4 3 26" xfId="1573"/>
    <cellStyle name="Обычный 4 3 26 2" xfId="6915"/>
    <cellStyle name="Обычный 4 3 26 2 2" xfId="17595"/>
    <cellStyle name="Обычный 4 3 26 2 2 2" xfId="49639"/>
    <cellStyle name="Обычный 4 3 26 2 3" xfId="28276"/>
    <cellStyle name="Обычный 4 3 26 2 3 2" xfId="60319"/>
    <cellStyle name="Обычный 4 3 26 2 4" xfId="38959"/>
    <cellStyle name="Обычный 4 3 26 3" xfId="12255"/>
    <cellStyle name="Обычный 4 3 26 3 2" xfId="44299"/>
    <cellStyle name="Обычный 4 3 26 4" xfId="22936"/>
    <cellStyle name="Обычный 4 3 26 4 2" xfId="54979"/>
    <cellStyle name="Обычный 4 3 26 5" xfId="33619"/>
    <cellStyle name="Обычный 4 3 27" xfId="1599"/>
    <cellStyle name="Обычный 4 3 27 2" xfId="6941"/>
    <cellStyle name="Обычный 4 3 27 2 2" xfId="17621"/>
    <cellStyle name="Обычный 4 3 27 2 2 2" xfId="49665"/>
    <cellStyle name="Обычный 4 3 27 2 3" xfId="28302"/>
    <cellStyle name="Обычный 4 3 27 2 3 2" xfId="60345"/>
    <cellStyle name="Обычный 4 3 27 2 4" xfId="38985"/>
    <cellStyle name="Обычный 4 3 27 3" xfId="12281"/>
    <cellStyle name="Обычный 4 3 27 3 2" xfId="44325"/>
    <cellStyle name="Обычный 4 3 27 4" xfId="22962"/>
    <cellStyle name="Обычный 4 3 27 4 2" xfId="55005"/>
    <cellStyle name="Обычный 4 3 27 5" xfId="33645"/>
    <cellStyle name="Обычный 4 3 28" xfId="1625"/>
    <cellStyle name="Обычный 4 3 28 2" xfId="6967"/>
    <cellStyle name="Обычный 4 3 28 2 2" xfId="17647"/>
    <cellStyle name="Обычный 4 3 28 2 2 2" xfId="49691"/>
    <cellStyle name="Обычный 4 3 28 2 3" xfId="28328"/>
    <cellStyle name="Обычный 4 3 28 2 3 2" xfId="60371"/>
    <cellStyle name="Обычный 4 3 28 2 4" xfId="39011"/>
    <cellStyle name="Обычный 4 3 28 3" xfId="12307"/>
    <cellStyle name="Обычный 4 3 28 3 2" xfId="44351"/>
    <cellStyle name="Обычный 4 3 28 4" xfId="22988"/>
    <cellStyle name="Обычный 4 3 28 4 2" xfId="55031"/>
    <cellStyle name="Обычный 4 3 28 5" xfId="33671"/>
    <cellStyle name="Обычный 4 3 29" xfId="1651"/>
    <cellStyle name="Обычный 4 3 29 2" xfId="6993"/>
    <cellStyle name="Обычный 4 3 29 2 2" xfId="17673"/>
    <cellStyle name="Обычный 4 3 29 2 2 2" xfId="49717"/>
    <cellStyle name="Обычный 4 3 29 2 3" xfId="28354"/>
    <cellStyle name="Обычный 4 3 29 2 3 2" xfId="60397"/>
    <cellStyle name="Обычный 4 3 29 2 4" xfId="39037"/>
    <cellStyle name="Обычный 4 3 29 3" xfId="12333"/>
    <cellStyle name="Обычный 4 3 29 3 2" xfId="44377"/>
    <cellStyle name="Обычный 4 3 29 4" xfId="23014"/>
    <cellStyle name="Обычный 4 3 29 4 2" xfId="55057"/>
    <cellStyle name="Обычный 4 3 29 5" xfId="33697"/>
    <cellStyle name="Обычный 4 3 3" xfId="978"/>
    <cellStyle name="Обычный 4 3 3 2" xfId="6321"/>
    <cellStyle name="Обычный 4 3 3 2 2" xfId="17001"/>
    <cellStyle name="Обычный 4 3 3 2 2 2" xfId="49045"/>
    <cellStyle name="Обычный 4 3 3 2 3" xfId="27682"/>
    <cellStyle name="Обычный 4 3 3 2 3 2" xfId="59725"/>
    <cellStyle name="Обычный 4 3 3 2 4" xfId="38365"/>
    <cellStyle name="Обычный 4 3 3 3" xfId="11661"/>
    <cellStyle name="Обычный 4 3 3 3 2" xfId="43705"/>
    <cellStyle name="Обычный 4 3 3 4" xfId="22342"/>
    <cellStyle name="Обычный 4 3 3 4 2" xfId="54385"/>
    <cellStyle name="Обычный 4 3 3 5" xfId="33025"/>
    <cellStyle name="Обычный 4 3 30" xfId="1677"/>
    <cellStyle name="Обычный 4 3 30 2" xfId="7019"/>
    <cellStyle name="Обычный 4 3 30 2 2" xfId="17699"/>
    <cellStyle name="Обычный 4 3 30 2 2 2" xfId="49743"/>
    <cellStyle name="Обычный 4 3 30 2 3" xfId="28380"/>
    <cellStyle name="Обычный 4 3 30 2 3 2" xfId="60423"/>
    <cellStyle name="Обычный 4 3 30 2 4" xfId="39063"/>
    <cellStyle name="Обычный 4 3 30 3" xfId="12359"/>
    <cellStyle name="Обычный 4 3 30 3 2" xfId="44403"/>
    <cellStyle name="Обычный 4 3 30 4" xfId="23040"/>
    <cellStyle name="Обычный 4 3 30 4 2" xfId="55083"/>
    <cellStyle name="Обычный 4 3 30 5" xfId="33723"/>
    <cellStyle name="Обычный 4 3 31" xfId="1703"/>
    <cellStyle name="Обычный 4 3 31 2" xfId="7045"/>
    <cellStyle name="Обычный 4 3 31 2 2" xfId="17725"/>
    <cellStyle name="Обычный 4 3 31 2 2 2" xfId="49769"/>
    <cellStyle name="Обычный 4 3 31 2 3" xfId="28406"/>
    <cellStyle name="Обычный 4 3 31 2 3 2" xfId="60449"/>
    <cellStyle name="Обычный 4 3 31 2 4" xfId="39089"/>
    <cellStyle name="Обычный 4 3 31 3" xfId="12385"/>
    <cellStyle name="Обычный 4 3 31 3 2" xfId="44429"/>
    <cellStyle name="Обычный 4 3 31 4" xfId="23066"/>
    <cellStyle name="Обычный 4 3 31 4 2" xfId="55109"/>
    <cellStyle name="Обычный 4 3 31 5" xfId="33749"/>
    <cellStyle name="Обычный 4 3 32" xfId="1729"/>
    <cellStyle name="Обычный 4 3 32 2" xfId="7071"/>
    <cellStyle name="Обычный 4 3 32 2 2" xfId="17751"/>
    <cellStyle name="Обычный 4 3 32 2 2 2" xfId="49795"/>
    <cellStyle name="Обычный 4 3 32 2 3" xfId="28432"/>
    <cellStyle name="Обычный 4 3 32 2 3 2" xfId="60475"/>
    <cellStyle name="Обычный 4 3 32 2 4" xfId="39115"/>
    <cellStyle name="Обычный 4 3 32 3" xfId="12411"/>
    <cellStyle name="Обычный 4 3 32 3 2" xfId="44455"/>
    <cellStyle name="Обычный 4 3 32 4" xfId="23092"/>
    <cellStyle name="Обычный 4 3 32 4 2" xfId="55135"/>
    <cellStyle name="Обычный 4 3 32 5" xfId="33775"/>
    <cellStyle name="Обычный 4 3 33" xfId="1755"/>
    <cellStyle name="Обычный 4 3 33 2" xfId="7097"/>
    <cellStyle name="Обычный 4 3 33 2 2" xfId="17777"/>
    <cellStyle name="Обычный 4 3 33 2 2 2" xfId="49821"/>
    <cellStyle name="Обычный 4 3 33 2 3" xfId="28458"/>
    <cellStyle name="Обычный 4 3 33 2 3 2" xfId="60501"/>
    <cellStyle name="Обычный 4 3 33 2 4" xfId="39141"/>
    <cellStyle name="Обычный 4 3 33 3" xfId="12437"/>
    <cellStyle name="Обычный 4 3 33 3 2" xfId="44481"/>
    <cellStyle name="Обычный 4 3 33 4" xfId="23118"/>
    <cellStyle name="Обычный 4 3 33 4 2" xfId="55161"/>
    <cellStyle name="Обычный 4 3 33 5" xfId="33801"/>
    <cellStyle name="Обычный 4 3 34" xfId="1781"/>
    <cellStyle name="Обычный 4 3 34 2" xfId="7123"/>
    <cellStyle name="Обычный 4 3 34 2 2" xfId="17803"/>
    <cellStyle name="Обычный 4 3 34 2 2 2" xfId="49847"/>
    <cellStyle name="Обычный 4 3 34 2 3" xfId="28484"/>
    <cellStyle name="Обычный 4 3 34 2 3 2" xfId="60527"/>
    <cellStyle name="Обычный 4 3 34 2 4" xfId="39167"/>
    <cellStyle name="Обычный 4 3 34 3" xfId="12463"/>
    <cellStyle name="Обычный 4 3 34 3 2" xfId="44507"/>
    <cellStyle name="Обычный 4 3 34 4" xfId="23144"/>
    <cellStyle name="Обычный 4 3 34 4 2" xfId="55187"/>
    <cellStyle name="Обычный 4 3 34 5" xfId="33827"/>
    <cellStyle name="Обычный 4 3 35" xfId="1807"/>
    <cellStyle name="Обычный 4 3 35 2" xfId="7149"/>
    <cellStyle name="Обычный 4 3 35 2 2" xfId="17829"/>
    <cellStyle name="Обычный 4 3 35 2 2 2" xfId="49873"/>
    <cellStyle name="Обычный 4 3 35 2 3" xfId="28510"/>
    <cellStyle name="Обычный 4 3 35 2 3 2" xfId="60553"/>
    <cellStyle name="Обычный 4 3 35 2 4" xfId="39193"/>
    <cellStyle name="Обычный 4 3 35 3" xfId="12489"/>
    <cellStyle name="Обычный 4 3 35 3 2" xfId="44533"/>
    <cellStyle name="Обычный 4 3 35 4" xfId="23170"/>
    <cellStyle name="Обычный 4 3 35 4 2" xfId="55213"/>
    <cellStyle name="Обычный 4 3 35 5" xfId="33853"/>
    <cellStyle name="Обычный 4 3 36" xfId="1833"/>
    <cellStyle name="Обычный 4 3 36 2" xfId="7175"/>
    <cellStyle name="Обычный 4 3 36 2 2" xfId="17855"/>
    <cellStyle name="Обычный 4 3 36 2 2 2" xfId="49899"/>
    <cellStyle name="Обычный 4 3 36 2 3" xfId="28536"/>
    <cellStyle name="Обычный 4 3 36 2 3 2" xfId="60579"/>
    <cellStyle name="Обычный 4 3 36 2 4" xfId="39219"/>
    <cellStyle name="Обычный 4 3 36 3" xfId="12515"/>
    <cellStyle name="Обычный 4 3 36 3 2" xfId="44559"/>
    <cellStyle name="Обычный 4 3 36 4" xfId="23196"/>
    <cellStyle name="Обычный 4 3 36 4 2" xfId="55239"/>
    <cellStyle name="Обычный 4 3 36 5" xfId="33879"/>
    <cellStyle name="Обычный 4 3 37" xfId="1859"/>
    <cellStyle name="Обычный 4 3 37 2" xfId="7201"/>
    <cellStyle name="Обычный 4 3 37 2 2" xfId="17881"/>
    <cellStyle name="Обычный 4 3 37 2 2 2" xfId="49925"/>
    <cellStyle name="Обычный 4 3 37 2 3" xfId="28562"/>
    <cellStyle name="Обычный 4 3 37 2 3 2" xfId="60605"/>
    <cellStyle name="Обычный 4 3 37 2 4" xfId="39245"/>
    <cellStyle name="Обычный 4 3 37 3" xfId="12541"/>
    <cellStyle name="Обычный 4 3 37 3 2" xfId="44585"/>
    <cellStyle name="Обычный 4 3 37 4" xfId="23222"/>
    <cellStyle name="Обычный 4 3 37 4 2" xfId="55265"/>
    <cellStyle name="Обычный 4 3 37 5" xfId="33905"/>
    <cellStyle name="Обычный 4 3 38" xfId="1885"/>
    <cellStyle name="Обычный 4 3 38 2" xfId="7227"/>
    <cellStyle name="Обычный 4 3 38 2 2" xfId="17907"/>
    <cellStyle name="Обычный 4 3 38 2 2 2" xfId="49951"/>
    <cellStyle name="Обычный 4 3 38 2 3" xfId="28588"/>
    <cellStyle name="Обычный 4 3 38 2 3 2" xfId="60631"/>
    <cellStyle name="Обычный 4 3 38 2 4" xfId="39271"/>
    <cellStyle name="Обычный 4 3 38 3" xfId="12567"/>
    <cellStyle name="Обычный 4 3 38 3 2" xfId="44611"/>
    <cellStyle name="Обычный 4 3 38 4" xfId="23248"/>
    <cellStyle name="Обычный 4 3 38 4 2" xfId="55291"/>
    <cellStyle name="Обычный 4 3 38 5" xfId="33931"/>
    <cellStyle name="Обычный 4 3 39" xfId="1911"/>
    <cellStyle name="Обычный 4 3 39 2" xfId="7253"/>
    <cellStyle name="Обычный 4 3 39 2 2" xfId="17933"/>
    <cellStyle name="Обычный 4 3 39 2 2 2" xfId="49977"/>
    <cellStyle name="Обычный 4 3 39 2 3" xfId="28614"/>
    <cellStyle name="Обычный 4 3 39 2 3 2" xfId="60657"/>
    <cellStyle name="Обычный 4 3 39 2 4" xfId="39297"/>
    <cellStyle name="Обычный 4 3 39 3" xfId="12593"/>
    <cellStyle name="Обычный 4 3 39 3 2" xfId="44637"/>
    <cellStyle name="Обычный 4 3 39 4" xfId="23274"/>
    <cellStyle name="Обычный 4 3 39 4 2" xfId="55317"/>
    <cellStyle name="Обычный 4 3 39 5" xfId="33957"/>
    <cellStyle name="Обычный 4 3 4" xfId="1002"/>
    <cellStyle name="Обычный 4 3 4 2" xfId="6345"/>
    <cellStyle name="Обычный 4 3 4 2 2" xfId="17025"/>
    <cellStyle name="Обычный 4 3 4 2 2 2" xfId="49069"/>
    <cellStyle name="Обычный 4 3 4 2 3" xfId="27706"/>
    <cellStyle name="Обычный 4 3 4 2 3 2" xfId="59749"/>
    <cellStyle name="Обычный 4 3 4 2 4" xfId="38389"/>
    <cellStyle name="Обычный 4 3 4 3" xfId="11685"/>
    <cellStyle name="Обычный 4 3 4 3 2" xfId="43729"/>
    <cellStyle name="Обычный 4 3 4 4" xfId="22366"/>
    <cellStyle name="Обычный 4 3 4 4 2" xfId="54409"/>
    <cellStyle name="Обычный 4 3 4 5" xfId="33049"/>
    <cellStyle name="Обычный 4 3 40" xfId="1939"/>
    <cellStyle name="Обычный 4 3 40 2" xfId="7281"/>
    <cellStyle name="Обычный 4 3 40 2 2" xfId="17961"/>
    <cellStyle name="Обычный 4 3 40 2 2 2" xfId="50005"/>
    <cellStyle name="Обычный 4 3 40 2 3" xfId="28642"/>
    <cellStyle name="Обычный 4 3 40 2 3 2" xfId="60685"/>
    <cellStyle name="Обычный 4 3 40 2 4" xfId="39325"/>
    <cellStyle name="Обычный 4 3 40 3" xfId="12621"/>
    <cellStyle name="Обычный 4 3 40 3 2" xfId="44665"/>
    <cellStyle name="Обычный 4 3 40 4" xfId="23302"/>
    <cellStyle name="Обычный 4 3 40 4 2" xfId="55345"/>
    <cellStyle name="Обычный 4 3 40 5" xfId="33985"/>
    <cellStyle name="Обычный 4 3 41" xfId="1967"/>
    <cellStyle name="Обычный 4 3 41 2" xfId="7309"/>
    <cellStyle name="Обычный 4 3 41 2 2" xfId="17989"/>
    <cellStyle name="Обычный 4 3 41 2 2 2" xfId="50033"/>
    <cellStyle name="Обычный 4 3 41 2 3" xfId="28670"/>
    <cellStyle name="Обычный 4 3 41 2 3 2" xfId="60713"/>
    <cellStyle name="Обычный 4 3 41 2 4" xfId="39353"/>
    <cellStyle name="Обычный 4 3 41 3" xfId="12649"/>
    <cellStyle name="Обычный 4 3 41 3 2" xfId="44693"/>
    <cellStyle name="Обычный 4 3 41 4" xfId="23330"/>
    <cellStyle name="Обычный 4 3 41 4 2" xfId="55373"/>
    <cellStyle name="Обычный 4 3 41 5" xfId="34013"/>
    <cellStyle name="Обычный 4 3 42" xfId="1995"/>
    <cellStyle name="Обычный 4 3 42 2" xfId="7337"/>
    <cellStyle name="Обычный 4 3 42 2 2" xfId="18017"/>
    <cellStyle name="Обычный 4 3 42 2 2 2" xfId="50061"/>
    <cellStyle name="Обычный 4 3 42 2 3" xfId="28698"/>
    <cellStyle name="Обычный 4 3 42 2 3 2" xfId="60741"/>
    <cellStyle name="Обычный 4 3 42 2 4" xfId="39381"/>
    <cellStyle name="Обычный 4 3 42 3" xfId="12677"/>
    <cellStyle name="Обычный 4 3 42 3 2" xfId="44721"/>
    <cellStyle name="Обычный 4 3 42 4" xfId="23358"/>
    <cellStyle name="Обычный 4 3 42 4 2" xfId="55401"/>
    <cellStyle name="Обычный 4 3 42 5" xfId="34041"/>
    <cellStyle name="Обычный 4 3 43" xfId="2023"/>
    <cellStyle name="Обычный 4 3 43 2" xfId="7365"/>
    <cellStyle name="Обычный 4 3 43 2 2" xfId="18045"/>
    <cellStyle name="Обычный 4 3 43 2 2 2" xfId="50089"/>
    <cellStyle name="Обычный 4 3 43 2 3" xfId="28726"/>
    <cellStyle name="Обычный 4 3 43 2 3 2" xfId="60769"/>
    <cellStyle name="Обычный 4 3 43 2 4" xfId="39409"/>
    <cellStyle name="Обычный 4 3 43 3" xfId="12705"/>
    <cellStyle name="Обычный 4 3 43 3 2" xfId="44749"/>
    <cellStyle name="Обычный 4 3 43 4" xfId="23386"/>
    <cellStyle name="Обычный 4 3 43 4 2" xfId="55429"/>
    <cellStyle name="Обычный 4 3 43 5" xfId="34069"/>
    <cellStyle name="Обычный 4 3 44" xfId="2051"/>
    <cellStyle name="Обычный 4 3 44 2" xfId="7393"/>
    <cellStyle name="Обычный 4 3 44 2 2" xfId="18073"/>
    <cellStyle name="Обычный 4 3 44 2 2 2" xfId="50117"/>
    <cellStyle name="Обычный 4 3 44 2 3" xfId="28754"/>
    <cellStyle name="Обычный 4 3 44 2 3 2" xfId="60797"/>
    <cellStyle name="Обычный 4 3 44 2 4" xfId="39437"/>
    <cellStyle name="Обычный 4 3 44 3" xfId="12733"/>
    <cellStyle name="Обычный 4 3 44 3 2" xfId="44777"/>
    <cellStyle name="Обычный 4 3 44 4" xfId="23414"/>
    <cellStyle name="Обычный 4 3 44 4 2" xfId="55457"/>
    <cellStyle name="Обычный 4 3 44 5" xfId="34097"/>
    <cellStyle name="Обычный 4 3 45" xfId="2079"/>
    <cellStyle name="Обычный 4 3 45 2" xfId="7421"/>
    <cellStyle name="Обычный 4 3 45 2 2" xfId="18101"/>
    <cellStyle name="Обычный 4 3 45 2 2 2" xfId="50145"/>
    <cellStyle name="Обычный 4 3 45 2 3" xfId="28782"/>
    <cellStyle name="Обычный 4 3 45 2 3 2" xfId="60825"/>
    <cellStyle name="Обычный 4 3 45 2 4" xfId="39465"/>
    <cellStyle name="Обычный 4 3 45 3" xfId="12761"/>
    <cellStyle name="Обычный 4 3 45 3 2" xfId="44805"/>
    <cellStyle name="Обычный 4 3 45 4" xfId="23442"/>
    <cellStyle name="Обычный 4 3 45 4 2" xfId="55485"/>
    <cellStyle name="Обычный 4 3 45 5" xfId="34125"/>
    <cellStyle name="Обычный 4 3 46" xfId="2107"/>
    <cellStyle name="Обычный 4 3 46 2" xfId="7449"/>
    <cellStyle name="Обычный 4 3 46 2 2" xfId="18129"/>
    <cellStyle name="Обычный 4 3 46 2 2 2" xfId="50173"/>
    <cellStyle name="Обычный 4 3 46 2 3" xfId="28810"/>
    <cellStyle name="Обычный 4 3 46 2 3 2" xfId="60853"/>
    <cellStyle name="Обычный 4 3 46 2 4" xfId="39493"/>
    <cellStyle name="Обычный 4 3 46 3" xfId="12789"/>
    <cellStyle name="Обычный 4 3 46 3 2" xfId="44833"/>
    <cellStyle name="Обычный 4 3 46 4" xfId="23470"/>
    <cellStyle name="Обычный 4 3 46 4 2" xfId="55513"/>
    <cellStyle name="Обычный 4 3 46 5" xfId="34153"/>
    <cellStyle name="Обычный 4 3 47" xfId="2137"/>
    <cellStyle name="Обычный 4 3 47 2" xfId="7479"/>
    <cellStyle name="Обычный 4 3 47 2 2" xfId="18159"/>
    <cellStyle name="Обычный 4 3 47 2 2 2" xfId="50203"/>
    <cellStyle name="Обычный 4 3 47 2 3" xfId="28840"/>
    <cellStyle name="Обычный 4 3 47 2 3 2" xfId="60883"/>
    <cellStyle name="Обычный 4 3 47 2 4" xfId="39523"/>
    <cellStyle name="Обычный 4 3 47 3" xfId="12819"/>
    <cellStyle name="Обычный 4 3 47 3 2" xfId="44863"/>
    <cellStyle name="Обычный 4 3 47 4" xfId="23500"/>
    <cellStyle name="Обычный 4 3 47 4 2" xfId="55543"/>
    <cellStyle name="Обычный 4 3 47 5" xfId="34183"/>
    <cellStyle name="Обычный 4 3 48" xfId="2167"/>
    <cellStyle name="Обычный 4 3 48 2" xfId="7509"/>
    <cellStyle name="Обычный 4 3 48 2 2" xfId="18189"/>
    <cellStyle name="Обычный 4 3 48 2 2 2" xfId="50233"/>
    <cellStyle name="Обычный 4 3 48 2 3" xfId="28870"/>
    <cellStyle name="Обычный 4 3 48 2 3 2" xfId="60913"/>
    <cellStyle name="Обычный 4 3 48 2 4" xfId="39553"/>
    <cellStyle name="Обычный 4 3 48 3" xfId="12849"/>
    <cellStyle name="Обычный 4 3 48 3 2" xfId="44893"/>
    <cellStyle name="Обычный 4 3 48 4" xfId="23530"/>
    <cellStyle name="Обычный 4 3 48 4 2" xfId="55573"/>
    <cellStyle name="Обычный 4 3 48 5" xfId="34213"/>
    <cellStyle name="Обычный 4 3 49" xfId="2197"/>
    <cellStyle name="Обычный 4 3 49 2" xfId="7539"/>
    <cellStyle name="Обычный 4 3 49 2 2" xfId="18219"/>
    <cellStyle name="Обычный 4 3 49 2 2 2" xfId="50263"/>
    <cellStyle name="Обычный 4 3 49 2 3" xfId="28900"/>
    <cellStyle name="Обычный 4 3 49 2 3 2" xfId="60943"/>
    <cellStyle name="Обычный 4 3 49 2 4" xfId="39583"/>
    <cellStyle name="Обычный 4 3 49 3" xfId="12879"/>
    <cellStyle name="Обычный 4 3 49 3 2" xfId="44923"/>
    <cellStyle name="Обычный 4 3 49 4" xfId="23560"/>
    <cellStyle name="Обычный 4 3 49 4 2" xfId="55603"/>
    <cellStyle name="Обычный 4 3 49 5" xfId="34243"/>
    <cellStyle name="Обычный 4 3 5" xfId="1026"/>
    <cellStyle name="Обычный 4 3 5 2" xfId="6369"/>
    <cellStyle name="Обычный 4 3 5 2 2" xfId="17049"/>
    <cellStyle name="Обычный 4 3 5 2 2 2" xfId="49093"/>
    <cellStyle name="Обычный 4 3 5 2 3" xfId="27730"/>
    <cellStyle name="Обычный 4 3 5 2 3 2" xfId="59773"/>
    <cellStyle name="Обычный 4 3 5 2 4" xfId="38413"/>
    <cellStyle name="Обычный 4 3 5 3" xfId="11709"/>
    <cellStyle name="Обычный 4 3 5 3 2" xfId="43753"/>
    <cellStyle name="Обычный 4 3 5 4" xfId="22390"/>
    <cellStyle name="Обычный 4 3 5 4 2" xfId="54433"/>
    <cellStyle name="Обычный 4 3 5 5" xfId="33073"/>
    <cellStyle name="Обычный 4 3 50" xfId="2227"/>
    <cellStyle name="Обычный 4 3 50 2" xfId="7569"/>
    <cellStyle name="Обычный 4 3 50 2 2" xfId="18249"/>
    <cellStyle name="Обычный 4 3 50 2 2 2" xfId="50293"/>
    <cellStyle name="Обычный 4 3 50 2 3" xfId="28930"/>
    <cellStyle name="Обычный 4 3 50 2 3 2" xfId="60973"/>
    <cellStyle name="Обычный 4 3 50 2 4" xfId="39613"/>
    <cellStyle name="Обычный 4 3 50 3" xfId="12909"/>
    <cellStyle name="Обычный 4 3 50 3 2" xfId="44953"/>
    <cellStyle name="Обычный 4 3 50 4" xfId="23590"/>
    <cellStyle name="Обычный 4 3 50 4 2" xfId="55633"/>
    <cellStyle name="Обычный 4 3 50 5" xfId="34273"/>
    <cellStyle name="Обычный 4 3 51" xfId="2257"/>
    <cellStyle name="Обычный 4 3 51 2" xfId="7599"/>
    <cellStyle name="Обычный 4 3 51 2 2" xfId="18279"/>
    <cellStyle name="Обычный 4 3 51 2 2 2" xfId="50323"/>
    <cellStyle name="Обычный 4 3 51 2 3" xfId="28960"/>
    <cellStyle name="Обычный 4 3 51 2 3 2" xfId="61003"/>
    <cellStyle name="Обычный 4 3 51 2 4" xfId="39643"/>
    <cellStyle name="Обычный 4 3 51 3" xfId="12939"/>
    <cellStyle name="Обычный 4 3 51 3 2" xfId="44983"/>
    <cellStyle name="Обычный 4 3 51 4" xfId="23620"/>
    <cellStyle name="Обычный 4 3 51 4 2" xfId="55663"/>
    <cellStyle name="Обычный 4 3 51 5" xfId="34303"/>
    <cellStyle name="Обычный 4 3 52" xfId="2287"/>
    <cellStyle name="Обычный 4 3 52 2" xfId="7629"/>
    <cellStyle name="Обычный 4 3 52 2 2" xfId="18309"/>
    <cellStyle name="Обычный 4 3 52 2 2 2" xfId="50353"/>
    <cellStyle name="Обычный 4 3 52 2 3" xfId="28990"/>
    <cellStyle name="Обычный 4 3 52 2 3 2" xfId="61033"/>
    <cellStyle name="Обычный 4 3 52 2 4" xfId="39673"/>
    <cellStyle name="Обычный 4 3 52 3" xfId="12969"/>
    <cellStyle name="Обычный 4 3 52 3 2" xfId="45013"/>
    <cellStyle name="Обычный 4 3 52 4" xfId="23650"/>
    <cellStyle name="Обычный 4 3 52 4 2" xfId="55693"/>
    <cellStyle name="Обычный 4 3 52 5" xfId="34333"/>
    <cellStyle name="Обычный 4 3 53" xfId="2317"/>
    <cellStyle name="Обычный 4 3 53 2" xfId="7659"/>
    <cellStyle name="Обычный 4 3 53 2 2" xfId="18339"/>
    <cellStyle name="Обычный 4 3 53 2 2 2" xfId="50383"/>
    <cellStyle name="Обычный 4 3 53 2 3" xfId="29020"/>
    <cellStyle name="Обычный 4 3 53 2 3 2" xfId="61063"/>
    <cellStyle name="Обычный 4 3 53 2 4" xfId="39703"/>
    <cellStyle name="Обычный 4 3 53 3" xfId="12999"/>
    <cellStyle name="Обычный 4 3 53 3 2" xfId="45043"/>
    <cellStyle name="Обычный 4 3 53 4" xfId="23680"/>
    <cellStyle name="Обычный 4 3 53 4 2" xfId="55723"/>
    <cellStyle name="Обычный 4 3 53 5" xfId="34363"/>
    <cellStyle name="Обычный 4 3 54" xfId="2347"/>
    <cellStyle name="Обычный 4 3 54 2" xfId="7689"/>
    <cellStyle name="Обычный 4 3 54 2 2" xfId="18369"/>
    <cellStyle name="Обычный 4 3 54 2 2 2" xfId="50413"/>
    <cellStyle name="Обычный 4 3 54 2 3" xfId="29050"/>
    <cellStyle name="Обычный 4 3 54 2 3 2" xfId="61093"/>
    <cellStyle name="Обычный 4 3 54 2 4" xfId="39733"/>
    <cellStyle name="Обычный 4 3 54 3" xfId="13029"/>
    <cellStyle name="Обычный 4 3 54 3 2" xfId="45073"/>
    <cellStyle name="Обычный 4 3 54 4" xfId="23710"/>
    <cellStyle name="Обычный 4 3 54 4 2" xfId="55753"/>
    <cellStyle name="Обычный 4 3 54 5" xfId="34393"/>
    <cellStyle name="Обычный 4 3 55" xfId="2377"/>
    <cellStyle name="Обычный 4 3 55 2" xfId="7719"/>
    <cellStyle name="Обычный 4 3 55 2 2" xfId="18399"/>
    <cellStyle name="Обычный 4 3 55 2 2 2" xfId="50443"/>
    <cellStyle name="Обычный 4 3 55 2 3" xfId="29080"/>
    <cellStyle name="Обычный 4 3 55 2 3 2" xfId="61123"/>
    <cellStyle name="Обычный 4 3 55 2 4" xfId="39763"/>
    <cellStyle name="Обычный 4 3 55 3" xfId="13059"/>
    <cellStyle name="Обычный 4 3 55 3 2" xfId="45103"/>
    <cellStyle name="Обычный 4 3 55 4" xfId="23740"/>
    <cellStyle name="Обычный 4 3 55 4 2" xfId="55783"/>
    <cellStyle name="Обычный 4 3 55 5" xfId="34423"/>
    <cellStyle name="Обычный 4 3 56" xfId="2407"/>
    <cellStyle name="Обычный 4 3 56 2" xfId="7749"/>
    <cellStyle name="Обычный 4 3 56 2 2" xfId="18429"/>
    <cellStyle name="Обычный 4 3 56 2 2 2" xfId="50473"/>
    <cellStyle name="Обычный 4 3 56 2 3" xfId="29110"/>
    <cellStyle name="Обычный 4 3 56 2 3 2" xfId="61153"/>
    <cellStyle name="Обычный 4 3 56 2 4" xfId="39793"/>
    <cellStyle name="Обычный 4 3 56 3" xfId="13089"/>
    <cellStyle name="Обычный 4 3 56 3 2" xfId="45133"/>
    <cellStyle name="Обычный 4 3 56 4" xfId="23770"/>
    <cellStyle name="Обычный 4 3 56 4 2" xfId="55813"/>
    <cellStyle name="Обычный 4 3 56 5" xfId="34453"/>
    <cellStyle name="Обычный 4 3 57" xfId="2437"/>
    <cellStyle name="Обычный 4 3 57 2" xfId="7779"/>
    <cellStyle name="Обычный 4 3 57 2 2" xfId="18459"/>
    <cellStyle name="Обычный 4 3 57 2 2 2" xfId="50503"/>
    <cellStyle name="Обычный 4 3 57 2 3" xfId="29140"/>
    <cellStyle name="Обычный 4 3 57 2 3 2" xfId="61183"/>
    <cellStyle name="Обычный 4 3 57 2 4" xfId="39823"/>
    <cellStyle name="Обычный 4 3 57 3" xfId="13119"/>
    <cellStyle name="Обычный 4 3 57 3 2" xfId="45163"/>
    <cellStyle name="Обычный 4 3 57 4" xfId="23800"/>
    <cellStyle name="Обычный 4 3 57 4 2" xfId="55843"/>
    <cellStyle name="Обычный 4 3 57 5" xfId="34483"/>
    <cellStyle name="Обычный 4 3 58" xfId="2467"/>
    <cellStyle name="Обычный 4 3 58 2" xfId="7809"/>
    <cellStyle name="Обычный 4 3 58 2 2" xfId="18489"/>
    <cellStyle name="Обычный 4 3 58 2 2 2" xfId="50533"/>
    <cellStyle name="Обычный 4 3 58 2 3" xfId="29170"/>
    <cellStyle name="Обычный 4 3 58 2 3 2" xfId="61213"/>
    <cellStyle name="Обычный 4 3 58 2 4" xfId="39853"/>
    <cellStyle name="Обычный 4 3 58 3" xfId="13149"/>
    <cellStyle name="Обычный 4 3 58 3 2" xfId="45193"/>
    <cellStyle name="Обычный 4 3 58 4" xfId="23830"/>
    <cellStyle name="Обычный 4 3 58 4 2" xfId="55873"/>
    <cellStyle name="Обычный 4 3 58 5" xfId="34513"/>
    <cellStyle name="Обычный 4 3 59" xfId="2499"/>
    <cellStyle name="Обычный 4 3 59 2" xfId="7841"/>
    <cellStyle name="Обычный 4 3 59 2 2" xfId="18521"/>
    <cellStyle name="Обычный 4 3 59 2 2 2" xfId="50565"/>
    <cellStyle name="Обычный 4 3 59 2 3" xfId="29202"/>
    <cellStyle name="Обычный 4 3 59 2 3 2" xfId="61245"/>
    <cellStyle name="Обычный 4 3 59 2 4" xfId="39885"/>
    <cellStyle name="Обычный 4 3 59 3" xfId="13181"/>
    <cellStyle name="Обычный 4 3 59 3 2" xfId="45225"/>
    <cellStyle name="Обычный 4 3 59 4" xfId="23862"/>
    <cellStyle name="Обычный 4 3 59 4 2" xfId="55905"/>
    <cellStyle name="Обычный 4 3 59 5" xfId="34545"/>
    <cellStyle name="Обычный 4 3 6" xfId="1052"/>
    <cellStyle name="Обычный 4 3 6 2" xfId="6395"/>
    <cellStyle name="Обычный 4 3 6 2 2" xfId="17075"/>
    <cellStyle name="Обычный 4 3 6 2 2 2" xfId="49119"/>
    <cellStyle name="Обычный 4 3 6 2 3" xfId="27756"/>
    <cellStyle name="Обычный 4 3 6 2 3 2" xfId="59799"/>
    <cellStyle name="Обычный 4 3 6 2 4" xfId="38439"/>
    <cellStyle name="Обычный 4 3 6 3" xfId="11735"/>
    <cellStyle name="Обычный 4 3 6 3 2" xfId="43779"/>
    <cellStyle name="Обычный 4 3 6 4" xfId="22416"/>
    <cellStyle name="Обычный 4 3 6 4 2" xfId="54459"/>
    <cellStyle name="Обычный 4 3 6 5" xfId="33099"/>
    <cellStyle name="Обычный 4 3 60" xfId="2533"/>
    <cellStyle name="Обычный 4 3 60 2" xfId="7875"/>
    <cellStyle name="Обычный 4 3 60 2 2" xfId="18555"/>
    <cellStyle name="Обычный 4 3 60 2 2 2" xfId="50599"/>
    <cellStyle name="Обычный 4 3 60 2 3" xfId="29236"/>
    <cellStyle name="Обычный 4 3 60 2 3 2" xfId="61279"/>
    <cellStyle name="Обычный 4 3 60 2 4" xfId="39919"/>
    <cellStyle name="Обычный 4 3 60 3" xfId="13215"/>
    <cellStyle name="Обычный 4 3 60 3 2" xfId="45259"/>
    <cellStyle name="Обычный 4 3 60 4" xfId="23896"/>
    <cellStyle name="Обычный 4 3 60 4 2" xfId="55939"/>
    <cellStyle name="Обычный 4 3 60 5" xfId="34579"/>
    <cellStyle name="Обычный 4 3 61" xfId="2565"/>
    <cellStyle name="Обычный 4 3 61 2" xfId="7907"/>
    <cellStyle name="Обычный 4 3 61 2 2" xfId="18587"/>
    <cellStyle name="Обычный 4 3 61 2 2 2" xfId="50631"/>
    <cellStyle name="Обычный 4 3 61 2 3" xfId="29268"/>
    <cellStyle name="Обычный 4 3 61 2 3 2" xfId="61311"/>
    <cellStyle name="Обычный 4 3 61 2 4" xfId="39951"/>
    <cellStyle name="Обычный 4 3 61 3" xfId="13247"/>
    <cellStyle name="Обычный 4 3 61 3 2" xfId="45291"/>
    <cellStyle name="Обычный 4 3 61 4" xfId="23928"/>
    <cellStyle name="Обычный 4 3 61 4 2" xfId="55971"/>
    <cellStyle name="Обычный 4 3 61 5" xfId="34611"/>
    <cellStyle name="Обычный 4 3 62" xfId="2597"/>
    <cellStyle name="Обычный 4 3 62 2" xfId="7939"/>
    <cellStyle name="Обычный 4 3 62 2 2" xfId="18619"/>
    <cellStyle name="Обычный 4 3 62 2 2 2" xfId="50663"/>
    <cellStyle name="Обычный 4 3 62 2 3" xfId="29300"/>
    <cellStyle name="Обычный 4 3 62 2 3 2" xfId="61343"/>
    <cellStyle name="Обычный 4 3 62 2 4" xfId="39983"/>
    <cellStyle name="Обычный 4 3 62 3" xfId="13279"/>
    <cellStyle name="Обычный 4 3 62 3 2" xfId="45323"/>
    <cellStyle name="Обычный 4 3 62 4" xfId="23960"/>
    <cellStyle name="Обычный 4 3 62 4 2" xfId="56003"/>
    <cellStyle name="Обычный 4 3 62 5" xfId="34643"/>
    <cellStyle name="Обычный 4 3 63" xfId="2629"/>
    <cellStyle name="Обычный 4 3 63 2" xfId="7971"/>
    <cellStyle name="Обычный 4 3 63 2 2" xfId="18651"/>
    <cellStyle name="Обычный 4 3 63 2 2 2" xfId="50695"/>
    <cellStyle name="Обычный 4 3 63 2 3" xfId="29332"/>
    <cellStyle name="Обычный 4 3 63 2 3 2" xfId="61375"/>
    <cellStyle name="Обычный 4 3 63 2 4" xfId="40015"/>
    <cellStyle name="Обычный 4 3 63 3" xfId="13311"/>
    <cellStyle name="Обычный 4 3 63 3 2" xfId="45355"/>
    <cellStyle name="Обычный 4 3 63 4" xfId="23992"/>
    <cellStyle name="Обычный 4 3 63 4 2" xfId="56035"/>
    <cellStyle name="Обычный 4 3 63 5" xfId="34675"/>
    <cellStyle name="Обычный 4 3 64" xfId="2661"/>
    <cellStyle name="Обычный 4 3 64 2" xfId="8003"/>
    <cellStyle name="Обычный 4 3 64 2 2" xfId="18683"/>
    <cellStyle name="Обычный 4 3 64 2 2 2" xfId="50727"/>
    <cellStyle name="Обычный 4 3 64 2 3" xfId="29364"/>
    <cellStyle name="Обычный 4 3 64 2 3 2" xfId="61407"/>
    <cellStyle name="Обычный 4 3 64 2 4" xfId="40047"/>
    <cellStyle name="Обычный 4 3 64 3" xfId="13343"/>
    <cellStyle name="Обычный 4 3 64 3 2" xfId="45387"/>
    <cellStyle name="Обычный 4 3 64 4" xfId="24024"/>
    <cellStyle name="Обычный 4 3 64 4 2" xfId="56067"/>
    <cellStyle name="Обычный 4 3 64 5" xfId="34707"/>
    <cellStyle name="Обычный 4 3 65" xfId="2693"/>
    <cellStyle name="Обычный 4 3 65 2" xfId="8035"/>
    <cellStyle name="Обычный 4 3 65 2 2" xfId="18715"/>
    <cellStyle name="Обычный 4 3 65 2 2 2" xfId="50759"/>
    <cellStyle name="Обычный 4 3 65 2 3" xfId="29396"/>
    <cellStyle name="Обычный 4 3 65 2 3 2" xfId="61439"/>
    <cellStyle name="Обычный 4 3 65 2 4" xfId="40079"/>
    <cellStyle name="Обычный 4 3 65 3" xfId="13375"/>
    <cellStyle name="Обычный 4 3 65 3 2" xfId="45419"/>
    <cellStyle name="Обычный 4 3 65 4" xfId="24056"/>
    <cellStyle name="Обычный 4 3 65 4 2" xfId="56099"/>
    <cellStyle name="Обычный 4 3 65 5" xfId="34739"/>
    <cellStyle name="Обычный 4 3 66" xfId="2725"/>
    <cellStyle name="Обычный 4 3 66 2" xfId="8067"/>
    <cellStyle name="Обычный 4 3 66 2 2" xfId="18747"/>
    <cellStyle name="Обычный 4 3 66 2 2 2" xfId="50791"/>
    <cellStyle name="Обычный 4 3 66 2 3" xfId="29428"/>
    <cellStyle name="Обычный 4 3 66 2 3 2" xfId="61471"/>
    <cellStyle name="Обычный 4 3 66 2 4" xfId="40111"/>
    <cellStyle name="Обычный 4 3 66 3" xfId="13407"/>
    <cellStyle name="Обычный 4 3 66 3 2" xfId="45451"/>
    <cellStyle name="Обычный 4 3 66 4" xfId="24088"/>
    <cellStyle name="Обычный 4 3 66 4 2" xfId="56131"/>
    <cellStyle name="Обычный 4 3 66 5" xfId="34771"/>
    <cellStyle name="Обычный 4 3 67" xfId="2759"/>
    <cellStyle name="Обычный 4 3 67 2" xfId="8101"/>
    <cellStyle name="Обычный 4 3 67 2 2" xfId="18781"/>
    <cellStyle name="Обычный 4 3 67 2 2 2" xfId="50825"/>
    <cellStyle name="Обычный 4 3 67 2 3" xfId="29462"/>
    <cellStyle name="Обычный 4 3 67 2 3 2" xfId="61505"/>
    <cellStyle name="Обычный 4 3 67 2 4" xfId="40145"/>
    <cellStyle name="Обычный 4 3 67 3" xfId="13441"/>
    <cellStyle name="Обычный 4 3 67 3 2" xfId="45485"/>
    <cellStyle name="Обычный 4 3 67 4" xfId="24122"/>
    <cellStyle name="Обычный 4 3 67 4 2" xfId="56165"/>
    <cellStyle name="Обычный 4 3 67 5" xfId="34805"/>
    <cellStyle name="Обычный 4 3 68" xfId="2791"/>
    <cellStyle name="Обычный 4 3 68 2" xfId="8133"/>
    <cellStyle name="Обычный 4 3 68 2 2" xfId="18813"/>
    <cellStyle name="Обычный 4 3 68 2 2 2" xfId="50857"/>
    <cellStyle name="Обычный 4 3 68 2 3" xfId="29494"/>
    <cellStyle name="Обычный 4 3 68 2 3 2" xfId="61537"/>
    <cellStyle name="Обычный 4 3 68 2 4" xfId="40177"/>
    <cellStyle name="Обычный 4 3 68 3" xfId="13473"/>
    <cellStyle name="Обычный 4 3 68 3 2" xfId="45517"/>
    <cellStyle name="Обычный 4 3 68 4" xfId="24154"/>
    <cellStyle name="Обычный 4 3 68 4 2" xfId="56197"/>
    <cellStyle name="Обычный 4 3 68 5" xfId="34837"/>
    <cellStyle name="Обычный 4 3 69" xfId="2823"/>
    <cellStyle name="Обычный 4 3 69 2" xfId="8165"/>
    <cellStyle name="Обычный 4 3 69 2 2" xfId="18845"/>
    <cellStyle name="Обычный 4 3 69 2 2 2" xfId="50889"/>
    <cellStyle name="Обычный 4 3 69 2 3" xfId="29526"/>
    <cellStyle name="Обычный 4 3 69 2 3 2" xfId="61569"/>
    <cellStyle name="Обычный 4 3 69 2 4" xfId="40209"/>
    <cellStyle name="Обычный 4 3 69 3" xfId="13505"/>
    <cellStyle name="Обычный 4 3 69 3 2" xfId="45549"/>
    <cellStyle name="Обычный 4 3 69 4" xfId="24186"/>
    <cellStyle name="Обычный 4 3 69 4 2" xfId="56229"/>
    <cellStyle name="Обычный 4 3 69 5" xfId="34869"/>
    <cellStyle name="Обычный 4 3 7" xfId="1078"/>
    <cellStyle name="Обычный 4 3 7 2" xfId="6421"/>
    <cellStyle name="Обычный 4 3 7 2 2" xfId="17101"/>
    <cellStyle name="Обычный 4 3 7 2 2 2" xfId="49145"/>
    <cellStyle name="Обычный 4 3 7 2 3" xfId="27782"/>
    <cellStyle name="Обычный 4 3 7 2 3 2" xfId="59825"/>
    <cellStyle name="Обычный 4 3 7 2 4" xfId="38465"/>
    <cellStyle name="Обычный 4 3 7 3" xfId="11761"/>
    <cellStyle name="Обычный 4 3 7 3 2" xfId="43805"/>
    <cellStyle name="Обычный 4 3 7 4" xfId="22442"/>
    <cellStyle name="Обычный 4 3 7 4 2" xfId="54485"/>
    <cellStyle name="Обычный 4 3 7 5" xfId="33125"/>
    <cellStyle name="Обычный 4 3 70" xfId="2855"/>
    <cellStyle name="Обычный 4 3 70 2" xfId="8197"/>
    <cellStyle name="Обычный 4 3 70 2 2" xfId="18877"/>
    <cellStyle name="Обычный 4 3 70 2 2 2" xfId="50921"/>
    <cellStyle name="Обычный 4 3 70 2 3" xfId="29558"/>
    <cellStyle name="Обычный 4 3 70 2 3 2" xfId="61601"/>
    <cellStyle name="Обычный 4 3 70 2 4" xfId="40241"/>
    <cellStyle name="Обычный 4 3 70 3" xfId="13537"/>
    <cellStyle name="Обычный 4 3 70 3 2" xfId="45581"/>
    <cellStyle name="Обычный 4 3 70 4" xfId="24218"/>
    <cellStyle name="Обычный 4 3 70 4 2" xfId="56261"/>
    <cellStyle name="Обычный 4 3 70 5" xfId="34901"/>
    <cellStyle name="Обычный 4 3 71" xfId="2887"/>
    <cellStyle name="Обычный 4 3 71 2" xfId="8229"/>
    <cellStyle name="Обычный 4 3 71 2 2" xfId="18909"/>
    <cellStyle name="Обычный 4 3 71 2 2 2" xfId="50953"/>
    <cellStyle name="Обычный 4 3 71 2 3" xfId="29590"/>
    <cellStyle name="Обычный 4 3 71 2 3 2" xfId="61633"/>
    <cellStyle name="Обычный 4 3 71 2 4" xfId="40273"/>
    <cellStyle name="Обычный 4 3 71 3" xfId="13569"/>
    <cellStyle name="Обычный 4 3 71 3 2" xfId="45613"/>
    <cellStyle name="Обычный 4 3 71 4" xfId="24250"/>
    <cellStyle name="Обычный 4 3 71 4 2" xfId="56293"/>
    <cellStyle name="Обычный 4 3 71 5" xfId="34933"/>
    <cellStyle name="Обычный 4 3 72" xfId="2919"/>
    <cellStyle name="Обычный 4 3 72 2" xfId="8261"/>
    <cellStyle name="Обычный 4 3 72 2 2" xfId="18941"/>
    <cellStyle name="Обычный 4 3 72 2 2 2" xfId="50985"/>
    <cellStyle name="Обычный 4 3 72 2 3" xfId="29622"/>
    <cellStyle name="Обычный 4 3 72 2 3 2" xfId="61665"/>
    <cellStyle name="Обычный 4 3 72 2 4" xfId="40305"/>
    <cellStyle name="Обычный 4 3 72 3" xfId="13601"/>
    <cellStyle name="Обычный 4 3 72 3 2" xfId="45645"/>
    <cellStyle name="Обычный 4 3 72 4" xfId="24282"/>
    <cellStyle name="Обычный 4 3 72 4 2" xfId="56325"/>
    <cellStyle name="Обычный 4 3 72 5" xfId="34965"/>
    <cellStyle name="Обычный 4 3 73" xfId="2951"/>
    <cellStyle name="Обычный 4 3 73 2" xfId="8293"/>
    <cellStyle name="Обычный 4 3 73 2 2" xfId="18973"/>
    <cellStyle name="Обычный 4 3 73 2 2 2" xfId="51017"/>
    <cellStyle name="Обычный 4 3 73 2 3" xfId="29654"/>
    <cellStyle name="Обычный 4 3 73 2 3 2" xfId="61697"/>
    <cellStyle name="Обычный 4 3 73 2 4" xfId="40337"/>
    <cellStyle name="Обычный 4 3 73 3" xfId="13633"/>
    <cellStyle name="Обычный 4 3 73 3 2" xfId="45677"/>
    <cellStyle name="Обычный 4 3 73 4" xfId="24314"/>
    <cellStyle name="Обычный 4 3 73 4 2" xfId="56357"/>
    <cellStyle name="Обычный 4 3 73 5" xfId="34997"/>
    <cellStyle name="Обычный 4 3 74" xfId="2983"/>
    <cellStyle name="Обычный 4 3 74 2" xfId="8325"/>
    <cellStyle name="Обычный 4 3 74 2 2" xfId="19005"/>
    <cellStyle name="Обычный 4 3 74 2 2 2" xfId="51049"/>
    <cellStyle name="Обычный 4 3 74 2 3" xfId="29686"/>
    <cellStyle name="Обычный 4 3 74 2 3 2" xfId="61729"/>
    <cellStyle name="Обычный 4 3 74 2 4" xfId="40369"/>
    <cellStyle name="Обычный 4 3 74 3" xfId="13665"/>
    <cellStyle name="Обычный 4 3 74 3 2" xfId="45709"/>
    <cellStyle name="Обычный 4 3 74 4" xfId="24346"/>
    <cellStyle name="Обычный 4 3 74 4 2" xfId="56389"/>
    <cellStyle name="Обычный 4 3 74 5" xfId="35029"/>
    <cellStyle name="Обычный 4 3 75" xfId="3015"/>
    <cellStyle name="Обычный 4 3 75 2" xfId="8357"/>
    <cellStyle name="Обычный 4 3 75 2 2" xfId="19037"/>
    <cellStyle name="Обычный 4 3 75 2 2 2" xfId="51081"/>
    <cellStyle name="Обычный 4 3 75 2 3" xfId="29718"/>
    <cellStyle name="Обычный 4 3 75 2 3 2" xfId="61761"/>
    <cellStyle name="Обычный 4 3 75 2 4" xfId="40401"/>
    <cellStyle name="Обычный 4 3 75 3" xfId="13697"/>
    <cellStyle name="Обычный 4 3 75 3 2" xfId="45741"/>
    <cellStyle name="Обычный 4 3 75 4" xfId="24378"/>
    <cellStyle name="Обычный 4 3 75 4 2" xfId="56421"/>
    <cellStyle name="Обычный 4 3 75 5" xfId="35061"/>
    <cellStyle name="Обычный 4 3 76" xfId="3047"/>
    <cellStyle name="Обычный 4 3 76 2" xfId="8389"/>
    <cellStyle name="Обычный 4 3 76 2 2" xfId="19069"/>
    <cellStyle name="Обычный 4 3 76 2 2 2" xfId="51113"/>
    <cellStyle name="Обычный 4 3 76 2 3" xfId="29750"/>
    <cellStyle name="Обычный 4 3 76 2 3 2" xfId="61793"/>
    <cellStyle name="Обычный 4 3 76 2 4" xfId="40433"/>
    <cellStyle name="Обычный 4 3 76 3" xfId="13729"/>
    <cellStyle name="Обычный 4 3 76 3 2" xfId="45773"/>
    <cellStyle name="Обычный 4 3 76 4" xfId="24410"/>
    <cellStyle name="Обычный 4 3 76 4 2" xfId="56453"/>
    <cellStyle name="Обычный 4 3 76 5" xfId="35093"/>
    <cellStyle name="Обычный 4 3 77" xfId="3079"/>
    <cellStyle name="Обычный 4 3 77 2" xfId="8421"/>
    <cellStyle name="Обычный 4 3 77 2 2" xfId="19101"/>
    <cellStyle name="Обычный 4 3 77 2 2 2" xfId="51145"/>
    <cellStyle name="Обычный 4 3 77 2 3" xfId="29782"/>
    <cellStyle name="Обычный 4 3 77 2 3 2" xfId="61825"/>
    <cellStyle name="Обычный 4 3 77 2 4" xfId="40465"/>
    <cellStyle name="Обычный 4 3 77 3" xfId="13761"/>
    <cellStyle name="Обычный 4 3 77 3 2" xfId="45805"/>
    <cellStyle name="Обычный 4 3 77 4" xfId="24442"/>
    <cellStyle name="Обычный 4 3 77 4 2" xfId="56485"/>
    <cellStyle name="Обычный 4 3 77 5" xfId="35125"/>
    <cellStyle name="Обычный 4 3 78" xfId="3112"/>
    <cellStyle name="Обычный 4 3 78 2" xfId="8453"/>
    <cellStyle name="Обычный 4 3 78 2 2" xfId="19133"/>
    <cellStyle name="Обычный 4 3 78 2 2 2" xfId="51177"/>
    <cellStyle name="Обычный 4 3 78 2 3" xfId="29814"/>
    <cellStyle name="Обычный 4 3 78 2 3 2" xfId="61857"/>
    <cellStyle name="Обычный 4 3 78 2 4" xfId="40497"/>
    <cellStyle name="Обычный 4 3 78 3" xfId="13793"/>
    <cellStyle name="Обычный 4 3 78 3 2" xfId="45837"/>
    <cellStyle name="Обычный 4 3 78 4" xfId="24474"/>
    <cellStyle name="Обычный 4 3 78 4 2" xfId="56517"/>
    <cellStyle name="Обычный 4 3 78 5" xfId="35157"/>
    <cellStyle name="Обычный 4 3 79" xfId="3144"/>
    <cellStyle name="Обычный 4 3 79 2" xfId="8485"/>
    <cellStyle name="Обычный 4 3 79 2 2" xfId="19165"/>
    <cellStyle name="Обычный 4 3 79 2 2 2" xfId="51209"/>
    <cellStyle name="Обычный 4 3 79 2 3" xfId="29846"/>
    <cellStyle name="Обычный 4 3 79 2 3 2" xfId="61889"/>
    <cellStyle name="Обычный 4 3 79 2 4" xfId="40529"/>
    <cellStyle name="Обычный 4 3 79 3" xfId="13825"/>
    <cellStyle name="Обычный 4 3 79 3 2" xfId="45869"/>
    <cellStyle name="Обычный 4 3 79 4" xfId="24506"/>
    <cellStyle name="Обычный 4 3 79 4 2" xfId="56549"/>
    <cellStyle name="Обычный 4 3 79 5" xfId="35189"/>
    <cellStyle name="Обычный 4 3 8" xfId="1104"/>
    <cellStyle name="Обычный 4 3 8 2" xfId="6447"/>
    <cellStyle name="Обычный 4 3 8 2 2" xfId="17127"/>
    <cellStyle name="Обычный 4 3 8 2 2 2" xfId="49171"/>
    <cellStyle name="Обычный 4 3 8 2 3" xfId="27808"/>
    <cellStyle name="Обычный 4 3 8 2 3 2" xfId="59851"/>
    <cellStyle name="Обычный 4 3 8 2 4" xfId="38491"/>
    <cellStyle name="Обычный 4 3 8 3" xfId="11787"/>
    <cellStyle name="Обычный 4 3 8 3 2" xfId="43831"/>
    <cellStyle name="Обычный 4 3 8 4" xfId="22468"/>
    <cellStyle name="Обычный 4 3 8 4 2" xfId="54511"/>
    <cellStyle name="Обычный 4 3 8 5" xfId="33151"/>
    <cellStyle name="Обычный 4 3 80" xfId="3176"/>
    <cellStyle name="Обычный 4 3 80 2" xfId="8517"/>
    <cellStyle name="Обычный 4 3 80 2 2" xfId="19197"/>
    <cellStyle name="Обычный 4 3 80 2 2 2" xfId="51241"/>
    <cellStyle name="Обычный 4 3 80 2 3" xfId="29878"/>
    <cellStyle name="Обычный 4 3 80 2 3 2" xfId="61921"/>
    <cellStyle name="Обычный 4 3 80 2 4" xfId="40561"/>
    <cellStyle name="Обычный 4 3 80 3" xfId="13857"/>
    <cellStyle name="Обычный 4 3 80 3 2" xfId="45901"/>
    <cellStyle name="Обычный 4 3 80 4" xfId="24538"/>
    <cellStyle name="Обычный 4 3 80 4 2" xfId="56581"/>
    <cellStyle name="Обычный 4 3 80 5" xfId="35221"/>
    <cellStyle name="Обычный 4 3 81" xfId="3208"/>
    <cellStyle name="Обычный 4 3 81 2" xfId="8549"/>
    <cellStyle name="Обычный 4 3 81 2 2" xfId="19229"/>
    <cellStyle name="Обычный 4 3 81 2 2 2" xfId="51273"/>
    <cellStyle name="Обычный 4 3 81 2 3" xfId="29910"/>
    <cellStyle name="Обычный 4 3 81 2 3 2" xfId="61953"/>
    <cellStyle name="Обычный 4 3 81 2 4" xfId="40593"/>
    <cellStyle name="Обычный 4 3 81 3" xfId="13889"/>
    <cellStyle name="Обычный 4 3 81 3 2" xfId="45933"/>
    <cellStyle name="Обычный 4 3 81 4" xfId="24570"/>
    <cellStyle name="Обычный 4 3 81 4 2" xfId="56613"/>
    <cellStyle name="Обычный 4 3 81 5" xfId="35253"/>
    <cellStyle name="Обычный 4 3 82" xfId="3240"/>
    <cellStyle name="Обычный 4 3 82 2" xfId="8581"/>
    <cellStyle name="Обычный 4 3 82 2 2" xfId="19261"/>
    <cellStyle name="Обычный 4 3 82 2 2 2" xfId="51305"/>
    <cellStyle name="Обычный 4 3 82 2 3" xfId="29942"/>
    <cellStyle name="Обычный 4 3 82 2 3 2" xfId="61985"/>
    <cellStyle name="Обычный 4 3 82 2 4" xfId="40625"/>
    <cellStyle name="Обычный 4 3 82 3" xfId="13921"/>
    <cellStyle name="Обычный 4 3 82 3 2" xfId="45965"/>
    <cellStyle name="Обычный 4 3 82 4" xfId="24602"/>
    <cellStyle name="Обычный 4 3 82 4 2" xfId="56645"/>
    <cellStyle name="Обычный 4 3 82 5" xfId="35285"/>
    <cellStyle name="Обычный 4 3 83" xfId="3272"/>
    <cellStyle name="Обычный 4 3 83 2" xfId="8613"/>
    <cellStyle name="Обычный 4 3 83 2 2" xfId="19293"/>
    <cellStyle name="Обычный 4 3 83 2 2 2" xfId="51337"/>
    <cellStyle name="Обычный 4 3 83 2 3" xfId="29974"/>
    <cellStyle name="Обычный 4 3 83 2 3 2" xfId="62017"/>
    <cellStyle name="Обычный 4 3 83 2 4" xfId="40657"/>
    <cellStyle name="Обычный 4 3 83 3" xfId="13953"/>
    <cellStyle name="Обычный 4 3 83 3 2" xfId="45997"/>
    <cellStyle name="Обычный 4 3 83 4" xfId="24634"/>
    <cellStyle name="Обычный 4 3 83 4 2" xfId="56677"/>
    <cellStyle name="Обычный 4 3 83 5" xfId="35317"/>
    <cellStyle name="Обычный 4 3 84" xfId="3304"/>
    <cellStyle name="Обычный 4 3 84 2" xfId="8645"/>
    <cellStyle name="Обычный 4 3 84 2 2" xfId="19325"/>
    <cellStyle name="Обычный 4 3 84 2 2 2" xfId="51369"/>
    <cellStyle name="Обычный 4 3 84 2 3" xfId="30006"/>
    <cellStyle name="Обычный 4 3 84 2 3 2" xfId="62049"/>
    <cellStyle name="Обычный 4 3 84 2 4" xfId="40689"/>
    <cellStyle name="Обычный 4 3 84 3" xfId="13985"/>
    <cellStyle name="Обычный 4 3 84 3 2" xfId="46029"/>
    <cellStyle name="Обычный 4 3 84 4" xfId="24666"/>
    <cellStyle name="Обычный 4 3 84 4 2" xfId="56709"/>
    <cellStyle name="Обычный 4 3 84 5" xfId="35349"/>
    <cellStyle name="Обычный 4 3 85" xfId="3336"/>
    <cellStyle name="Обычный 4 3 85 2" xfId="8677"/>
    <cellStyle name="Обычный 4 3 85 2 2" xfId="19357"/>
    <cellStyle name="Обычный 4 3 85 2 2 2" xfId="51401"/>
    <cellStyle name="Обычный 4 3 85 2 3" xfId="30038"/>
    <cellStyle name="Обычный 4 3 85 2 3 2" xfId="62081"/>
    <cellStyle name="Обычный 4 3 85 2 4" xfId="40721"/>
    <cellStyle name="Обычный 4 3 85 3" xfId="14017"/>
    <cellStyle name="Обычный 4 3 85 3 2" xfId="46061"/>
    <cellStyle name="Обычный 4 3 85 4" xfId="24698"/>
    <cellStyle name="Обычный 4 3 85 4 2" xfId="56741"/>
    <cellStyle name="Обычный 4 3 85 5" xfId="35381"/>
    <cellStyle name="Обычный 4 3 86" xfId="3368"/>
    <cellStyle name="Обычный 4 3 86 2" xfId="8709"/>
    <cellStyle name="Обычный 4 3 86 2 2" xfId="19389"/>
    <cellStyle name="Обычный 4 3 86 2 2 2" xfId="51433"/>
    <cellStyle name="Обычный 4 3 86 2 3" xfId="30070"/>
    <cellStyle name="Обычный 4 3 86 2 3 2" xfId="62113"/>
    <cellStyle name="Обычный 4 3 86 2 4" xfId="40753"/>
    <cellStyle name="Обычный 4 3 86 3" xfId="14049"/>
    <cellStyle name="Обычный 4 3 86 3 2" xfId="46093"/>
    <cellStyle name="Обычный 4 3 86 4" xfId="24730"/>
    <cellStyle name="Обычный 4 3 86 4 2" xfId="56773"/>
    <cellStyle name="Обычный 4 3 86 5" xfId="35413"/>
    <cellStyle name="Обычный 4 3 87" xfId="3400"/>
    <cellStyle name="Обычный 4 3 87 2" xfId="8741"/>
    <cellStyle name="Обычный 4 3 87 2 2" xfId="19421"/>
    <cellStyle name="Обычный 4 3 87 2 2 2" xfId="51465"/>
    <cellStyle name="Обычный 4 3 87 2 3" xfId="30102"/>
    <cellStyle name="Обычный 4 3 87 2 3 2" xfId="62145"/>
    <cellStyle name="Обычный 4 3 87 2 4" xfId="40785"/>
    <cellStyle name="Обычный 4 3 87 3" xfId="14081"/>
    <cellStyle name="Обычный 4 3 87 3 2" xfId="46125"/>
    <cellStyle name="Обычный 4 3 87 4" xfId="24762"/>
    <cellStyle name="Обычный 4 3 87 4 2" xfId="56805"/>
    <cellStyle name="Обычный 4 3 87 5" xfId="35445"/>
    <cellStyle name="Обычный 4 3 88" xfId="3432"/>
    <cellStyle name="Обычный 4 3 88 2" xfId="8773"/>
    <cellStyle name="Обычный 4 3 88 2 2" xfId="19453"/>
    <cellStyle name="Обычный 4 3 88 2 2 2" xfId="51497"/>
    <cellStyle name="Обычный 4 3 88 2 3" xfId="30134"/>
    <cellStyle name="Обычный 4 3 88 2 3 2" xfId="62177"/>
    <cellStyle name="Обычный 4 3 88 2 4" xfId="40817"/>
    <cellStyle name="Обычный 4 3 88 3" xfId="14113"/>
    <cellStyle name="Обычный 4 3 88 3 2" xfId="46157"/>
    <cellStyle name="Обычный 4 3 88 4" xfId="24794"/>
    <cellStyle name="Обычный 4 3 88 4 2" xfId="56837"/>
    <cellStyle name="Обычный 4 3 88 5" xfId="35477"/>
    <cellStyle name="Обычный 4 3 89" xfId="3464"/>
    <cellStyle name="Обычный 4 3 89 2" xfId="8805"/>
    <cellStyle name="Обычный 4 3 89 2 2" xfId="19485"/>
    <cellStyle name="Обычный 4 3 89 2 2 2" xfId="51529"/>
    <cellStyle name="Обычный 4 3 89 2 3" xfId="30166"/>
    <cellStyle name="Обычный 4 3 89 2 3 2" xfId="62209"/>
    <cellStyle name="Обычный 4 3 89 2 4" xfId="40849"/>
    <cellStyle name="Обычный 4 3 89 3" xfId="14145"/>
    <cellStyle name="Обычный 4 3 89 3 2" xfId="46189"/>
    <cellStyle name="Обычный 4 3 89 4" xfId="24826"/>
    <cellStyle name="Обычный 4 3 89 4 2" xfId="56869"/>
    <cellStyle name="Обычный 4 3 89 5" xfId="35509"/>
    <cellStyle name="Обычный 4 3 9" xfId="1130"/>
    <cellStyle name="Обычный 4 3 9 2" xfId="6473"/>
    <cellStyle name="Обычный 4 3 9 2 2" xfId="17153"/>
    <cellStyle name="Обычный 4 3 9 2 2 2" xfId="49197"/>
    <cellStyle name="Обычный 4 3 9 2 3" xfId="27834"/>
    <cellStyle name="Обычный 4 3 9 2 3 2" xfId="59877"/>
    <cellStyle name="Обычный 4 3 9 2 4" xfId="38517"/>
    <cellStyle name="Обычный 4 3 9 3" xfId="11813"/>
    <cellStyle name="Обычный 4 3 9 3 2" xfId="43857"/>
    <cellStyle name="Обычный 4 3 9 4" xfId="22494"/>
    <cellStyle name="Обычный 4 3 9 4 2" xfId="54537"/>
    <cellStyle name="Обычный 4 3 9 5" xfId="33177"/>
    <cellStyle name="Обычный 4 3 90" xfId="3496"/>
    <cellStyle name="Обычный 4 3 90 2" xfId="8837"/>
    <cellStyle name="Обычный 4 3 90 2 2" xfId="19517"/>
    <cellStyle name="Обычный 4 3 90 2 2 2" xfId="51561"/>
    <cellStyle name="Обычный 4 3 90 2 3" xfId="30198"/>
    <cellStyle name="Обычный 4 3 90 2 3 2" xfId="62241"/>
    <cellStyle name="Обычный 4 3 90 2 4" xfId="40881"/>
    <cellStyle name="Обычный 4 3 90 3" xfId="14177"/>
    <cellStyle name="Обычный 4 3 90 3 2" xfId="46221"/>
    <cellStyle name="Обычный 4 3 90 4" xfId="24858"/>
    <cellStyle name="Обычный 4 3 90 4 2" xfId="56901"/>
    <cellStyle name="Обычный 4 3 90 5" xfId="35541"/>
    <cellStyle name="Обычный 4 3 91" xfId="3528"/>
    <cellStyle name="Обычный 4 3 91 2" xfId="8869"/>
    <cellStyle name="Обычный 4 3 91 2 2" xfId="19549"/>
    <cellStyle name="Обычный 4 3 91 2 2 2" xfId="51593"/>
    <cellStyle name="Обычный 4 3 91 2 3" xfId="30230"/>
    <cellStyle name="Обычный 4 3 91 2 3 2" xfId="62273"/>
    <cellStyle name="Обычный 4 3 91 2 4" xfId="40913"/>
    <cellStyle name="Обычный 4 3 91 3" xfId="14209"/>
    <cellStyle name="Обычный 4 3 91 3 2" xfId="46253"/>
    <cellStyle name="Обычный 4 3 91 4" xfId="24890"/>
    <cellStyle name="Обычный 4 3 91 4 2" xfId="56933"/>
    <cellStyle name="Обычный 4 3 91 5" xfId="35573"/>
    <cellStyle name="Обычный 4 3 92" xfId="3560"/>
    <cellStyle name="Обычный 4 3 92 2" xfId="8901"/>
    <cellStyle name="Обычный 4 3 92 2 2" xfId="19581"/>
    <cellStyle name="Обычный 4 3 92 2 2 2" xfId="51625"/>
    <cellStyle name="Обычный 4 3 92 2 3" xfId="30262"/>
    <cellStyle name="Обычный 4 3 92 2 3 2" xfId="62305"/>
    <cellStyle name="Обычный 4 3 92 2 4" xfId="40945"/>
    <cellStyle name="Обычный 4 3 92 3" xfId="14241"/>
    <cellStyle name="Обычный 4 3 92 3 2" xfId="46285"/>
    <cellStyle name="Обычный 4 3 92 4" xfId="24922"/>
    <cellStyle name="Обычный 4 3 92 4 2" xfId="56965"/>
    <cellStyle name="Обычный 4 3 92 5" xfId="35605"/>
    <cellStyle name="Обычный 4 3 93" xfId="3592"/>
    <cellStyle name="Обычный 4 3 93 2" xfId="8933"/>
    <cellStyle name="Обычный 4 3 93 2 2" xfId="19613"/>
    <cellStyle name="Обычный 4 3 93 2 2 2" xfId="51657"/>
    <cellStyle name="Обычный 4 3 93 2 3" xfId="30294"/>
    <cellStyle name="Обычный 4 3 93 2 3 2" xfId="62337"/>
    <cellStyle name="Обычный 4 3 93 2 4" xfId="40977"/>
    <cellStyle name="Обычный 4 3 93 3" xfId="14273"/>
    <cellStyle name="Обычный 4 3 93 3 2" xfId="46317"/>
    <cellStyle name="Обычный 4 3 93 4" xfId="24954"/>
    <cellStyle name="Обычный 4 3 93 4 2" xfId="56997"/>
    <cellStyle name="Обычный 4 3 93 5" xfId="35637"/>
    <cellStyle name="Обычный 4 3 94" xfId="3624"/>
    <cellStyle name="Обычный 4 3 94 2" xfId="8965"/>
    <cellStyle name="Обычный 4 3 94 2 2" xfId="19645"/>
    <cellStyle name="Обычный 4 3 94 2 2 2" xfId="51689"/>
    <cellStyle name="Обычный 4 3 94 2 3" xfId="30326"/>
    <cellStyle name="Обычный 4 3 94 2 3 2" xfId="62369"/>
    <cellStyle name="Обычный 4 3 94 2 4" xfId="41009"/>
    <cellStyle name="Обычный 4 3 94 3" xfId="14305"/>
    <cellStyle name="Обычный 4 3 94 3 2" xfId="46349"/>
    <cellStyle name="Обычный 4 3 94 4" xfId="24986"/>
    <cellStyle name="Обычный 4 3 94 4 2" xfId="57029"/>
    <cellStyle name="Обычный 4 3 94 5" xfId="35669"/>
    <cellStyle name="Обычный 4 3 95" xfId="3656"/>
    <cellStyle name="Обычный 4 3 95 2" xfId="8997"/>
    <cellStyle name="Обычный 4 3 95 2 2" xfId="19677"/>
    <cellStyle name="Обычный 4 3 95 2 2 2" xfId="51721"/>
    <cellStyle name="Обычный 4 3 95 2 3" xfId="30358"/>
    <cellStyle name="Обычный 4 3 95 2 3 2" xfId="62401"/>
    <cellStyle name="Обычный 4 3 95 2 4" xfId="41041"/>
    <cellStyle name="Обычный 4 3 95 3" xfId="14337"/>
    <cellStyle name="Обычный 4 3 95 3 2" xfId="46381"/>
    <cellStyle name="Обычный 4 3 95 4" xfId="25018"/>
    <cellStyle name="Обычный 4 3 95 4 2" xfId="57061"/>
    <cellStyle name="Обычный 4 3 95 5" xfId="35701"/>
    <cellStyle name="Обычный 4 3 96" xfId="3688"/>
    <cellStyle name="Обычный 4 3 96 2" xfId="9029"/>
    <cellStyle name="Обычный 4 3 96 2 2" xfId="19709"/>
    <cellStyle name="Обычный 4 3 96 2 2 2" xfId="51753"/>
    <cellStyle name="Обычный 4 3 96 2 3" xfId="30390"/>
    <cellStyle name="Обычный 4 3 96 2 3 2" xfId="62433"/>
    <cellStyle name="Обычный 4 3 96 2 4" xfId="41073"/>
    <cellStyle name="Обычный 4 3 96 3" xfId="14369"/>
    <cellStyle name="Обычный 4 3 96 3 2" xfId="46413"/>
    <cellStyle name="Обычный 4 3 96 4" xfId="25050"/>
    <cellStyle name="Обычный 4 3 96 4 2" xfId="57093"/>
    <cellStyle name="Обычный 4 3 96 5" xfId="35733"/>
    <cellStyle name="Обычный 4 3 97" xfId="3720"/>
    <cellStyle name="Обычный 4 3 97 2" xfId="9061"/>
    <cellStyle name="Обычный 4 3 97 2 2" xfId="19741"/>
    <cellStyle name="Обычный 4 3 97 2 2 2" xfId="51785"/>
    <cellStyle name="Обычный 4 3 97 2 3" xfId="30422"/>
    <cellStyle name="Обычный 4 3 97 2 3 2" xfId="62465"/>
    <cellStyle name="Обычный 4 3 97 2 4" xfId="41105"/>
    <cellStyle name="Обычный 4 3 97 3" xfId="14401"/>
    <cellStyle name="Обычный 4 3 97 3 2" xfId="46445"/>
    <cellStyle name="Обычный 4 3 97 4" xfId="25082"/>
    <cellStyle name="Обычный 4 3 97 4 2" xfId="57125"/>
    <cellStyle name="Обычный 4 3 97 5" xfId="35765"/>
    <cellStyle name="Обычный 4 3 98" xfId="3752"/>
    <cellStyle name="Обычный 4 3 98 2" xfId="9093"/>
    <cellStyle name="Обычный 4 3 98 2 2" xfId="19773"/>
    <cellStyle name="Обычный 4 3 98 2 2 2" xfId="51817"/>
    <cellStyle name="Обычный 4 3 98 2 3" xfId="30454"/>
    <cellStyle name="Обычный 4 3 98 2 3 2" xfId="62497"/>
    <cellStyle name="Обычный 4 3 98 2 4" xfId="41137"/>
    <cellStyle name="Обычный 4 3 98 3" xfId="14433"/>
    <cellStyle name="Обычный 4 3 98 3 2" xfId="46477"/>
    <cellStyle name="Обычный 4 3 98 4" xfId="25114"/>
    <cellStyle name="Обычный 4 3 98 4 2" xfId="57157"/>
    <cellStyle name="Обычный 4 3 98 5" xfId="35797"/>
    <cellStyle name="Обычный 4 3 99" xfId="3784"/>
    <cellStyle name="Обычный 4 3 99 2" xfId="9125"/>
    <cellStyle name="Обычный 4 3 99 2 2" xfId="19805"/>
    <cellStyle name="Обычный 4 3 99 2 2 2" xfId="51849"/>
    <cellStyle name="Обычный 4 3 99 2 3" xfId="30486"/>
    <cellStyle name="Обычный 4 3 99 2 3 2" xfId="62529"/>
    <cellStyle name="Обычный 4 3 99 2 4" xfId="41169"/>
    <cellStyle name="Обычный 4 3 99 3" xfId="14465"/>
    <cellStyle name="Обычный 4 3 99 3 2" xfId="46509"/>
    <cellStyle name="Обычный 4 3 99 4" xfId="25146"/>
    <cellStyle name="Обычный 4 3 99 4 2" xfId="57189"/>
    <cellStyle name="Обычный 4 3 99 5" xfId="35829"/>
    <cellStyle name="Обычный 4 30" xfId="220"/>
    <cellStyle name="Обычный 4 30 2" xfId="688"/>
    <cellStyle name="Обычный 4 30 2 2" xfId="6031"/>
    <cellStyle name="Обычный 4 30 2 2 2" xfId="16711"/>
    <cellStyle name="Обычный 4 30 2 2 2 2" xfId="48755"/>
    <cellStyle name="Обычный 4 30 2 2 3" xfId="27392"/>
    <cellStyle name="Обычный 4 30 2 2 3 2" xfId="59435"/>
    <cellStyle name="Обычный 4 30 2 2 4" xfId="38075"/>
    <cellStyle name="Обычный 4 30 2 3" xfId="11371"/>
    <cellStyle name="Обычный 4 30 2 3 2" xfId="43415"/>
    <cellStyle name="Обычный 4 30 2 4" xfId="22052"/>
    <cellStyle name="Обычный 4 30 2 4 2" xfId="54095"/>
    <cellStyle name="Обычный 4 30 2 5" xfId="32735"/>
    <cellStyle name="Обычный 4 30 3" xfId="5564"/>
    <cellStyle name="Обычный 4 30 3 2" xfId="16244"/>
    <cellStyle name="Обычный 4 30 3 2 2" xfId="48288"/>
    <cellStyle name="Обычный 4 30 3 3" xfId="26925"/>
    <cellStyle name="Обычный 4 30 3 3 2" xfId="58968"/>
    <cellStyle name="Обычный 4 30 3 4" xfId="37608"/>
    <cellStyle name="Обычный 4 30 4" xfId="10904"/>
    <cellStyle name="Обычный 4 30 4 2" xfId="42948"/>
    <cellStyle name="Обычный 4 30 5" xfId="21585"/>
    <cellStyle name="Обычный 4 30 5 2" xfId="53628"/>
    <cellStyle name="Обычный 4 30 6" xfId="32268"/>
    <cellStyle name="Обычный 4 31" xfId="230"/>
    <cellStyle name="Обычный 4 31 2" xfId="698"/>
    <cellStyle name="Обычный 4 31 2 2" xfId="6041"/>
    <cellStyle name="Обычный 4 31 2 2 2" xfId="16721"/>
    <cellStyle name="Обычный 4 31 2 2 2 2" xfId="48765"/>
    <cellStyle name="Обычный 4 31 2 2 3" xfId="27402"/>
    <cellStyle name="Обычный 4 31 2 2 3 2" xfId="59445"/>
    <cellStyle name="Обычный 4 31 2 2 4" xfId="38085"/>
    <cellStyle name="Обычный 4 31 2 3" xfId="11381"/>
    <cellStyle name="Обычный 4 31 2 3 2" xfId="43425"/>
    <cellStyle name="Обычный 4 31 2 4" xfId="22062"/>
    <cellStyle name="Обычный 4 31 2 4 2" xfId="54105"/>
    <cellStyle name="Обычный 4 31 2 5" xfId="32745"/>
    <cellStyle name="Обычный 4 31 3" xfId="5574"/>
    <cellStyle name="Обычный 4 31 3 2" xfId="16254"/>
    <cellStyle name="Обычный 4 31 3 2 2" xfId="48298"/>
    <cellStyle name="Обычный 4 31 3 3" xfId="26935"/>
    <cellStyle name="Обычный 4 31 3 3 2" xfId="58978"/>
    <cellStyle name="Обычный 4 31 3 4" xfId="37618"/>
    <cellStyle name="Обычный 4 31 4" xfId="10914"/>
    <cellStyle name="Обычный 4 31 4 2" xfId="42958"/>
    <cellStyle name="Обычный 4 31 5" xfId="21595"/>
    <cellStyle name="Обычный 4 31 5 2" xfId="53638"/>
    <cellStyle name="Обычный 4 31 6" xfId="32278"/>
    <cellStyle name="Обычный 4 32" xfId="240"/>
    <cellStyle name="Обычный 4 32 2" xfId="708"/>
    <cellStyle name="Обычный 4 32 2 2" xfId="6051"/>
    <cellStyle name="Обычный 4 32 2 2 2" xfId="16731"/>
    <cellStyle name="Обычный 4 32 2 2 2 2" xfId="48775"/>
    <cellStyle name="Обычный 4 32 2 2 3" xfId="27412"/>
    <cellStyle name="Обычный 4 32 2 2 3 2" xfId="59455"/>
    <cellStyle name="Обычный 4 32 2 2 4" xfId="38095"/>
    <cellStyle name="Обычный 4 32 2 3" xfId="11391"/>
    <cellStyle name="Обычный 4 32 2 3 2" xfId="43435"/>
    <cellStyle name="Обычный 4 32 2 4" xfId="22072"/>
    <cellStyle name="Обычный 4 32 2 4 2" xfId="54115"/>
    <cellStyle name="Обычный 4 32 2 5" xfId="32755"/>
    <cellStyle name="Обычный 4 32 3" xfId="5584"/>
    <cellStyle name="Обычный 4 32 3 2" xfId="16264"/>
    <cellStyle name="Обычный 4 32 3 2 2" xfId="48308"/>
    <cellStyle name="Обычный 4 32 3 3" xfId="26945"/>
    <cellStyle name="Обычный 4 32 3 3 2" xfId="58988"/>
    <cellStyle name="Обычный 4 32 3 4" xfId="37628"/>
    <cellStyle name="Обычный 4 32 4" xfId="10924"/>
    <cellStyle name="Обычный 4 32 4 2" xfId="42968"/>
    <cellStyle name="Обычный 4 32 5" xfId="21605"/>
    <cellStyle name="Обычный 4 32 5 2" xfId="53648"/>
    <cellStyle name="Обычный 4 32 6" xfId="32288"/>
    <cellStyle name="Обычный 4 33" xfId="250"/>
    <cellStyle name="Обычный 4 33 2" xfId="718"/>
    <cellStyle name="Обычный 4 33 2 2" xfId="6061"/>
    <cellStyle name="Обычный 4 33 2 2 2" xfId="16741"/>
    <cellStyle name="Обычный 4 33 2 2 2 2" xfId="48785"/>
    <cellStyle name="Обычный 4 33 2 2 3" xfId="27422"/>
    <cellStyle name="Обычный 4 33 2 2 3 2" xfId="59465"/>
    <cellStyle name="Обычный 4 33 2 2 4" xfId="38105"/>
    <cellStyle name="Обычный 4 33 2 3" xfId="11401"/>
    <cellStyle name="Обычный 4 33 2 3 2" xfId="43445"/>
    <cellStyle name="Обычный 4 33 2 4" xfId="22082"/>
    <cellStyle name="Обычный 4 33 2 4 2" xfId="54125"/>
    <cellStyle name="Обычный 4 33 2 5" xfId="32765"/>
    <cellStyle name="Обычный 4 33 3" xfId="5594"/>
    <cellStyle name="Обычный 4 33 3 2" xfId="16274"/>
    <cellStyle name="Обычный 4 33 3 2 2" xfId="48318"/>
    <cellStyle name="Обычный 4 33 3 3" xfId="26955"/>
    <cellStyle name="Обычный 4 33 3 3 2" xfId="58998"/>
    <cellStyle name="Обычный 4 33 3 4" xfId="37638"/>
    <cellStyle name="Обычный 4 33 4" xfId="10934"/>
    <cellStyle name="Обычный 4 33 4 2" xfId="42978"/>
    <cellStyle name="Обычный 4 33 5" xfId="21615"/>
    <cellStyle name="Обычный 4 33 5 2" xfId="53658"/>
    <cellStyle name="Обычный 4 33 6" xfId="32298"/>
    <cellStyle name="Обычный 4 34" xfId="260"/>
    <cellStyle name="Обычный 4 34 2" xfId="728"/>
    <cellStyle name="Обычный 4 34 2 2" xfId="6071"/>
    <cellStyle name="Обычный 4 34 2 2 2" xfId="16751"/>
    <cellStyle name="Обычный 4 34 2 2 2 2" xfId="48795"/>
    <cellStyle name="Обычный 4 34 2 2 3" xfId="27432"/>
    <cellStyle name="Обычный 4 34 2 2 3 2" xfId="59475"/>
    <cellStyle name="Обычный 4 34 2 2 4" xfId="38115"/>
    <cellStyle name="Обычный 4 34 2 3" xfId="11411"/>
    <cellStyle name="Обычный 4 34 2 3 2" xfId="43455"/>
    <cellStyle name="Обычный 4 34 2 4" xfId="22092"/>
    <cellStyle name="Обычный 4 34 2 4 2" xfId="54135"/>
    <cellStyle name="Обычный 4 34 2 5" xfId="32775"/>
    <cellStyle name="Обычный 4 34 3" xfId="5604"/>
    <cellStyle name="Обычный 4 34 3 2" xfId="16284"/>
    <cellStyle name="Обычный 4 34 3 2 2" xfId="48328"/>
    <cellStyle name="Обычный 4 34 3 3" xfId="26965"/>
    <cellStyle name="Обычный 4 34 3 3 2" xfId="59008"/>
    <cellStyle name="Обычный 4 34 3 4" xfId="37648"/>
    <cellStyle name="Обычный 4 34 4" xfId="10944"/>
    <cellStyle name="Обычный 4 34 4 2" xfId="42988"/>
    <cellStyle name="Обычный 4 34 5" xfId="21625"/>
    <cellStyle name="Обычный 4 34 5 2" xfId="53668"/>
    <cellStyle name="Обычный 4 34 6" xfId="32308"/>
    <cellStyle name="Обычный 4 35" xfId="270"/>
    <cellStyle name="Обычный 4 35 2" xfId="738"/>
    <cellStyle name="Обычный 4 35 2 2" xfId="6081"/>
    <cellStyle name="Обычный 4 35 2 2 2" xfId="16761"/>
    <cellStyle name="Обычный 4 35 2 2 2 2" xfId="48805"/>
    <cellStyle name="Обычный 4 35 2 2 3" xfId="27442"/>
    <cellStyle name="Обычный 4 35 2 2 3 2" xfId="59485"/>
    <cellStyle name="Обычный 4 35 2 2 4" xfId="38125"/>
    <cellStyle name="Обычный 4 35 2 3" xfId="11421"/>
    <cellStyle name="Обычный 4 35 2 3 2" xfId="43465"/>
    <cellStyle name="Обычный 4 35 2 4" xfId="22102"/>
    <cellStyle name="Обычный 4 35 2 4 2" xfId="54145"/>
    <cellStyle name="Обычный 4 35 2 5" xfId="32785"/>
    <cellStyle name="Обычный 4 35 3" xfId="5614"/>
    <cellStyle name="Обычный 4 35 3 2" xfId="16294"/>
    <cellStyle name="Обычный 4 35 3 2 2" xfId="48338"/>
    <cellStyle name="Обычный 4 35 3 3" xfId="26975"/>
    <cellStyle name="Обычный 4 35 3 3 2" xfId="59018"/>
    <cellStyle name="Обычный 4 35 3 4" xfId="37658"/>
    <cellStyle name="Обычный 4 35 4" xfId="10954"/>
    <cellStyle name="Обычный 4 35 4 2" xfId="42998"/>
    <cellStyle name="Обычный 4 35 5" xfId="21635"/>
    <cellStyle name="Обычный 4 35 5 2" xfId="53678"/>
    <cellStyle name="Обычный 4 35 6" xfId="32318"/>
    <cellStyle name="Обычный 4 36" xfId="280"/>
    <cellStyle name="Обычный 4 36 2" xfId="748"/>
    <cellStyle name="Обычный 4 36 2 2" xfId="6091"/>
    <cellStyle name="Обычный 4 36 2 2 2" xfId="16771"/>
    <cellStyle name="Обычный 4 36 2 2 2 2" xfId="48815"/>
    <cellStyle name="Обычный 4 36 2 2 3" xfId="27452"/>
    <cellStyle name="Обычный 4 36 2 2 3 2" xfId="59495"/>
    <cellStyle name="Обычный 4 36 2 2 4" xfId="38135"/>
    <cellStyle name="Обычный 4 36 2 3" xfId="11431"/>
    <cellStyle name="Обычный 4 36 2 3 2" xfId="43475"/>
    <cellStyle name="Обычный 4 36 2 4" xfId="22112"/>
    <cellStyle name="Обычный 4 36 2 4 2" xfId="54155"/>
    <cellStyle name="Обычный 4 36 2 5" xfId="32795"/>
    <cellStyle name="Обычный 4 36 3" xfId="5624"/>
    <cellStyle name="Обычный 4 36 3 2" xfId="16304"/>
    <cellStyle name="Обычный 4 36 3 2 2" xfId="48348"/>
    <cellStyle name="Обычный 4 36 3 3" xfId="26985"/>
    <cellStyle name="Обычный 4 36 3 3 2" xfId="59028"/>
    <cellStyle name="Обычный 4 36 3 4" xfId="37668"/>
    <cellStyle name="Обычный 4 36 4" xfId="10964"/>
    <cellStyle name="Обычный 4 36 4 2" xfId="43008"/>
    <cellStyle name="Обычный 4 36 5" xfId="21645"/>
    <cellStyle name="Обычный 4 36 5 2" xfId="53688"/>
    <cellStyle name="Обычный 4 36 6" xfId="32328"/>
    <cellStyle name="Обычный 4 37" xfId="290"/>
    <cellStyle name="Обычный 4 37 2" xfId="758"/>
    <cellStyle name="Обычный 4 37 2 2" xfId="6101"/>
    <cellStyle name="Обычный 4 37 2 2 2" xfId="16781"/>
    <cellStyle name="Обычный 4 37 2 2 2 2" xfId="48825"/>
    <cellStyle name="Обычный 4 37 2 2 3" xfId="27462"/>
    <cellStyle name="Обычный 4 37 2 2 3 2" xfId="59505"/>
    <cellStyle name="Обычный 4 37 2 2 4" xfId="38145"/>
    <cellStyle name="Обычный 4 37 2 3" xfId="11441"/>
    <cellStyle name="Обычный 4 37 2 3 2" xfId="43485"/>
    <cellStyle name="Обычный 4 37 2 4" xfId="22122"/>
    <cellStyle name="Обычный 4 37 2 4 2" xfId="54165"/>
    <cellStyle name="Обычный 4 37 2 5" xfId="32805"/>
    <cellStyle name="Обычный 4 37 3" xfId="5634"/>
    <cellStyle name="Обычный 4 37 3 2" xfId="16314"/>
    <cellStyle name="Обычный 4 37 3 2 2" xfId="48358"/>
    <cellStyle name="Обычный 4 37 3 3" xfId="26995"/>
    <cellStyle name="Обычный 4 37 3 3 2" xfId="59038"/>
    <cellStyle name="Обычный 4 37 3 4" xfId="37678"/>
    <cellStyle name="Обычный 4 37 4" xfId="10974"/>
    <cellStyle name="Обычный 4 37 4 2" xfId="43018"/>
    <cellStyle name="Обычный 4 37 5" xfId="21655"/>
    <cellStyle name="Обычный 4 37 5 2" xfId="53698"/>
    <cellStyle name="Обычный 4 37 6" xfId="32338"/>
    <cellStyle name="Обычный 4 38" xfId="300"/>
    <cellStyle name="Обычный 4 38 2" xfId="768"/>
    <cellStyle name="Обычный 4 38 2 2" xfId="6111"/>
    <cellStyle name="Обычный 4 38 2 2 2" xfId="16791"/>
    <cellStyle name="Обычный 4 38 2 2 2 2" xfId="48835"/>
    <cellStyle name="Обычный 4 38 2 2 3" xfId="27472"/>
    <cellStyle name="Обычный 4 38 2 2 3 2" xfId="59515"/>
    <cellStyle name="Обычный 4 38 2 2 4" xfId="38155"/>
    <cellStyle name="Обычный 4 38 2 3" xfId="11451"/>
    <cellStyle name="Обычный 4 38 2 3 2" xfId="43495"/>
    <cellStyle name="Обычный 4 38 2 4" xfId="22132"/>
    <cellStyle name="Обычный 4 38 2 4 2" xfId="54175"/>
    <cellStyle name="Обычный 4 38 2 5" xfId="32815"/>
    <cellStyle name="Обычный 4 38 3" xfId="5644"/>
    <cellStyle name="Обычный 4 38 3 2" xfId="16324"/>
    <cellStyle name="Обычный 4 38 3 2 2" xfId="48368"/>
    <cellStyle name="Обычный 4 38 3 3" xfId="27005"/>
    <cellStyle name="Обычный 4 38 3 3 2" xfId="59048"/>
    <cellStyle name="Обычный 4 38 3 4" xfId="37688"/>
    <cellStyle name="Обычный 4 38 4" xfId="10984"/>
    <cellStyle name="Обычный 4 38 4 2" xfId="43028"/>
    <cellStyle name="Обычный 4 38 5" xfId="21665"/>
    <cellStyle name="Обычный 4 38 5 2" xfId="53708"/>
    <cellStyle name="Обычный 4 38 6" xfId="32348"/>
    <cellStyle name="Обычный 4 39" xfId="310"/>
    <cellStyle name="Обычный 4 39 2" xfId="778"/>
    <cellStyle name="Обычный 4 39 2 2" xfId="6121"/>
    <cellStyle name="Обычный 4 39 2 2 2" xfId="16801"/>
    <cellStyle name="Обычный 4 39 2 2 2 2" xfId="48845"/>
    <cellStyle name="Обычный 4 39 2 2 3" xfId="27482"/>
    <cellStyle name="Обычный 4 39 2 2 3 2" xfId="59525"/>
    <cellStyle name="Обычный 4 39 2 2 4" xfId="38165"/>
    <cellStyle name="Обычный 4 39 2 3" xfId="11461"/>
    <cellStyle name="Обычный 4 39 2 3 2" xfId="43505"/>
    <cellStyle name="Обычный 4 39 2 4" xfId="22142"/>
    <cellStyle name="Обычный 4 39 2 4 2" xfId="54185"/>
    <cellStyle name="Обычный 4 39 2 5" xfId="32825"/>
    <cellStyle name="Обычный 4 39 3" xfId="5654"/>
    <cellStyle name="Обычный 4 39 3 2" xfId="16334"/>
    <cellStyle name="Обычный 4 39 3 2 2" xfId="48378"/>
    <cellStyle name="Обычный 4 39 3 3" xfId="27015"/>
    <cellStyle name="Обычный 4 39 3 3 2" xfId="59058"/>
    <cellStyle name="Обычный 4 39 3 4" xfId="37698"/>
    <cellStyle name="Обычный 4 39 4" xfId="10994"/>
    <cellStyle name="Обычный 4 39 4 2" xfId="43038"/>
    <cellStyle name="Обычный 4 39 5" xfId="21675"/>
    <cellStyle name="Обычный 4 39 5 2" xfId="53718"/>
    <cellStyle name="Обычный 4 39 6" xfId="32358"/>
    <cellStyle name="Обычный 4 4" xfId="40"/>
    <cellStyle name="Обычный 4 4 2" xfId="508"/>
    <cellStyle name="Обычный 4 4 2 2" xfId="5851"/>
    <cellStyle name="Обычный 4 4 2 2 2" xfId="16531"/>
    <cellStyle name="Обычный 4 4 2 2 2 2" xfId="48575"/>
    <cellStyle name="Обычный 4 4 2 2 3" xfId="27212"/>
    <cellStyle name="Обычный 4 4 2 2 3 2" xfId="59255"/>
    <cellStyle name="Обычный 4 4 2 2 4" xfId="37895"/>
    <cellStyle name="Обычный 4 4 2 3" xfId="11191"/>
    <cellStyle name="Обычный 4 4 2 3 2" xfId="43235"/>
    <cellStyle name="Обычный 4 4 2 4" xfId="21872"/>
    <cellStyle name="Обычный 4 4 2 4 2" xfId="53915"/>
    <cellStyle name="Обычный 4 4 2 5" xfId="32555"/>
    <cellStyle name="Обычный 4 4 3" xfId="5384"/>
    <cellStyle name="Обычный 4 4 3 2" xfId="16064"/>
    <cellStyle name="Обычный 4 4 3 2 2" xfId="48108"/>
    <cellStyle name="Обычный 4 4 3 3" xfId="26745"/>
    <cellStyle name="Обычный 4 4 3 3 2" xfId="58788"/>
    <cellStyle name="Обычный 4 4 3 4" xfId="37428"/>
    <cellStyle name="Обычный 4 4 4" xfId="10724"/>
    <cellStyle name="Обычный 4 4 4 2" xfId="42768"/>
    <cellStyle name="Обычный 4 4 5" xfId="21405"/>
    <cellStyle name="Обычный 4 4 5 2" xfId="53448"/>
    <cellStyle name="Обычный 4 4 6" xfId="32088"/>
    <cellStyle name="Обычный 4 40" xfId="320"/>
    <cellStyle name="Обычный 4 40 2" xfId="788"/>
    <cellStyle name="Обычный 4 40 2 2" xfId="6131"/>
    <cellStyle name="Обычный 4 40 2 2 2" xfId="16811"/>
    <cellStyle name="Обычный 4 40 2 2 2 2" xfId="48855"/>
    <cellStyle name="Обычный 4 40 2 2 3" xfId="27492"/>
    <cellStyle name="Обычный 4 40 2 2 3 2" xfId="59535"/>
    <cellStyle name="Обычный 4 40 2 2 4" xfId="38175"/>
    <cellStyle name="Обычный 4 40 2 3" xfId="11471"/>
    <cellStyle name="Обычный 4 40 2 3 2" xfId="43515"/>
    <cellStyle name="Обычный 4 40 2 4" xfId="22152"/>
    <cellStyle name="Обычный 4 40 2 4 2" xfId="54195"/>
    <cellStyle name="Обычный 4 40 2 5" xfId="32835"/>
    <cellStyle name="Обычный 4 40 3" xfId="5664"/>
    <cellStyle name="Обычный 4 40 3 2" xfId="16344"/>
    <cellStyle name="Обычный 4 40 3 2 2" xfId="48388"/>
    <cellStyle name="Обычный 4 40 3 3" xfId="27025"/>
    <cellStyle name="Обычный 4 40 3 3 2" xfId="59068"/>
    <cellStyle name="Обычный 4 40 3 4" xfId="37708"/>
    <cellStyle name="Обычный 4 40 4" xfId="11004"/>
    <cellStyle name="Обычный 4 40 4 2" xfId="43048"/>
    <cellStyle name="Обычный 4 40 5" xfId="21685"/>
    <cellStyle name="Обычный 4 40 5 2" xfId="53728"/>
    <cellStyle name="Обычный 4 40 6" xfId="32368"/>
    <cellStyle name="Обычный 4 41" xfId="330"/>
    <cellStyle name="Обычный 4 41 2" xfId="798"/>
    <cellStyle name="Обычный 4 41 2 2" xfId="6141"/>
    <cellStyle name="Обычный 4 41 2 2 2" xfId="16821"/>
    <cellStyle name="Обычный 4 41 2 2 2 2" xfId="48865"/>
    <cellStyle name="Обычный 4 41 2 2 3" xfId="27502"/>
    <cellStyle name="Обычный 4 41 2 2 3 2" xfId="59545"/>
    <cellStyle name="Обычный 4 41 2 2 4" xfId="38185"/>
    <cellStyle name="Обычный 4 41 2 3" xfId="11481"/>
    <cellStyle name="Обычный 4 41 2 3 2" xfId="43525"/>
    <cellStyle name="Обычный 4 41 2 4" xfId="22162"/>
    <cellStyle name="Обычный 4 41 2 4 2" xfId="54205"/>
    <cellStyle name="Обычный 4 41 2 5" xfId="32845"/>
    <cellStyle name="Обычный 4 41 3" xfId="5674"/>
    <cellStyle name="Обычный 4 41 3 2" xfId="16354"/>
    <cellStyle name="Обычный 4 41 3 2 2" xfId="48398"/>
    <cellStyle name="Обычный 4 41 3 3" xfId="27035"/>
    <cellStyle name="Обычный 4 41 3 3 2" xfId="59078"/>
    <cellStyle name="Обычный 4 41 3 4" xfId="37718"/>
    <cellStyle name="Обычный 4 41 4" xfId="11014"/>
    <cellStyle name="Обычный 4 41 4 2" xfId="43058"/>
    <cellStyle name="Обычный 4 41 5" xfId="21695"/>
    <cellStyle name="Обычный 4 41 5 2" xfId="53738"/>
    <cellStyle name="Обычный 4 41 6" xfId="32378"/>
    <cellStyle name="Обычный 4 42" xfId="340"/>
    <cellStyle name="Обычный 4 42 2" xfId="808"/>
    <cellStyle name="Обычный 4 42 2 2" xfId="6151"/>
    <cellStyle name="Обычный 4 42 2 2 2" xfId="16831"/>
    <cellStyle name="Обычный 4 42 2 2 2 2" xfId="48875"/>
    <cellStyle name="Обычный 4 42 2 2 3" xfId="27512"/>
    <cellStyle name="Обычный 4 42 2 2 3 2" xfId="59555"/>
    <cellStyle name="Обычный 4 42 2 2 4" xfId="38195"/>
    <cellStyle name="Обычный 4 42 2 3" xfId="11491"/>
    <cellStyle name="Обычный 4 42 2 3 2" xfId="43535"/>
    <cellStyle name="Обычный 4 42 2 4" xfId="22172"/>
    <cellStyle name="Обычный 4 42 2 4 2" xfId="54215"/>
    <cellStyle name="Обычный 4 42 2 5" xfId="32855"/>
    <cellStyle name="Обычный 4 42 3" xfId="5684"/>
    <cellStyle name="Обычный 4 42 3 2" xfId="16364"/>
    <cellStyle name="Обычный 4 42 3 2 2" xfId="48408"/>
    <cellStyle name="Обычный 4 42 3 3" xfId="27045"/>
    <cellStyle name="Обычный 4 42 3 3 2" xfId="59088"/>
    <cellStyle name="Обычный 4 42 3 4" xfId="37728"/>
    <cellStyle name="Обычный 4 42 4" xfId="11024"/>
    <cellStyle name="Обычный 4 42 4 2" xfId="43068"/>
    <cellStyle name="Обычный 4 42 5" xfId="21705"/>
    <cellStyle name="Обычный 4 42 5 2" xfId="53748"/>
    <cellStyle name="Обычный 4 42 6" xfId="32388"/>
    <cellStyle name="Обычный 4 43" xfId="350"/>
    <cellStyle name="Обычный 4 43 2" xfId="818"/>
    <cellStyle name="Обычный 4 43 2 2" xfId="6161"/>
    <cellStyle name="Обычный 4 43 2 2 2" xfId="16841"/>
    <cellStyle name="Обычный 4 43 2 2 2 2" xfId="48885"/>
    <cellStyle name="Обычный 4 43 2 2 3" xfId="27522"/>
    <cellStyle name="Обычный 4 43 2 2 3 2" xfId="59565"/>
    <cellStyle name="Обычный 4 43 2 2 4" xfId="38205"/>
    <cellStyle name="Обычный 4 43 2 3" xfId="11501"/>
    <cellStyle name="Обычный 4 43 2 3 2" xfId="43545"/>
    <cellStyle name="Обычный 4 43 2 4" xfId="22182"/>
    <cellStyle name="Обычный 4 43 2 4 2" xfId="54225"/>
    <cellStyle name="Обычный 4 43 2 5" xfId="32865"/>
    <cellStyle name="Обычный 4 43 3" xfId="5694"/>
    <cellStyle name="Обычный 4 43 3 2" xfId="16374"/>
    <cellStyle name="Обычный 4 43 3 2 2" xfId="48418"/>
    <cellStyle name="Обычный 4 43 3 3" xfId="27055"/>
    <cellStyle name="Обычный 4 43 3 3 2" xfId="59098"/>
    <cellStyle name="Обычный 4 43 3 4" xfId="37738"/>
    <cellStyle name="Обычный 4 43 4" xfId="11034"/>
    <cellStyle name="Обычный 4 43 4 2" xfId="43078"/>
    <cellStyle name="Обычный 4 43 5" xfId="21715"/>
    <cellStyle name="Обычный 4 43 5 2" xfId="53758"/>
    <cellStyle name="Обычный 4 43 6" xfId="32398"/>
    <cellStyle name="Обычный 4 44" xfId="360"/>
    <cellStyle name="Обычный 4 44 2" xfId="828"/>
    <cellStyle name="Обычный 4 44 2 2" xfId="6171"/>
    <cellStyle name="Обычный 4 44 2 2 2" xfId="16851"/>
    <cellStyle name="Обычный 4 44 2 2 2 2" xfId="48895"/>
    <cellStyle name="Обычный 4 44 2 2 3" xfId="27532"/>
    <cellStyle name="Обычный 4 44 2 2 3 2" xfId="59575"/>
    <cellStyle name="Обычный 4 44 2 2 4" xfId="38215"/>
    <cellStyle name="Обычный 4 44 2 3" xfId="11511"/>
    <cellStyle name="Обычный 4 44 2 3 2" xfId="43555"/>
    <cellStyle name="Обычный 4 44 2 4" xfId="22192"/>
    <cellStyle name="Обычный 4 44 2 4 2" xfId="54235"/>
    <cellStyle name="Обычный 4 44 2 5" xfId="32875"/>
    <cellStyle name="Обычный 4 44 3" xfId="5704"/>
    <cellStyle name="Обычный 4 44 3 2" xfId="16384"/>
    <cellStyle name="Обычный 4 44 3 2 2" xfId="48428"/>
    <cellStyle name="Обычный 4 44 3 3" xfId="27065"/>
    <cellStyle name="Обычный 4 44 3 3 2" xfId="59108"/>
    <cellStyle name="Обычный 4 44 3 4" xfId="37748"/>
    <cellStyle name="Обычный 4 44 4" xfId="11044"/>
    <cellStyle name="Обычный 4 44 4 2" xfId="43088"/>
    <cellStyle name="Обычный 4 44 5" xfId="21725"/>
    <cellStyle name="Обычный 4 44 5 2" xfId="53768"/>
    <cellStyle name="Обычный 4 44 6" xfId="32408"/>
    <cellStyle name="Обычный 4 45" xfId="370"/>
    <cellStyle name="Обычный 4 45 2" xfId="838"/>
    <cellStyle name="Обычный 4 45 2 2" xfId="6181"/>
    <cellStyle name="Обычный 4 45 2 2 2" xfId="16861"/>
    <cellStyle name="Обычный 4 45 2 2 2 2" xfId="48905"/>
    <cellStyle name="Обычный 4 45 2 2 3" xfId="27542"/>
    <cellStyle name="Обычный 4 45 2 2 3 2" xfId="59585"/>
    <cellStyle name="Обычный 4 45 2 2 4" xfId="38225"/>
    <cellStyle name="Обычный 4 45 2 3" xfId="11521"/>
    <cellStyle name="Обычный 4 45 2 3 2" xfId="43565"/>
    <cellStyle name="Обычный 4 45 2 4" xfId="22202"/>
    <cellStyle name="Обычный 4 45 2 4 2" xfId="54245"/>
    <cellStyle name="Обычный 4 45 2 5" xfId="32885"/>
    <cellStyle name="Обычный 4 45 3" xfId="5714"/>
    <cellStyle name="Обычный 4 45 3 2" xfId="16394"/>
    <cellStyle name="Обычный 4 45 3 2 2" xfId="48438"/>
    <cellStyle name="Обычный 4 45 3 3" xfId="27075"/>
    <cellStyle name="Обычный 4 45 3 3 2" xfId="59118"/>
    <cellStyle name="Обычный 4 45 3 4" xfId="37758"/>
    <cellStyle name="Обычный 4 45 4" xfId="11054"/>
    <cellStyle name="Обычный 4 45 4 2" xfId="43098"/>
    <cellStyle name="Обычный 4 45 5" xfId="21735"/>
    <cellStyle name="Обычный 4 45 5 2" xfId="53778"/>
    <cellStyle name="Обычный 4 45 6" xfId="32418"/>
    <cellStyle name="Обычный 4 46" xfId="380"/>
    <cellStyle name="Обычный 4 46 2" xfId="848"/>
    <cellStyle name="Обычный 4 46 2 2" xfId="6191"/>
    <cellStyle name="Обычный 4 46 2 2 2" xfId="16871"/>
    <cellStyle name="Обычный 4 46 2 2 2 2" xfId="48915"/>
    <cellStyle name="Обычный 4 46 2 2 3" xfId="27552"/>
    <cellStyle name="Обычный 4 46 2 2 3 2" xfId="59595"/>
    <cellStyle name="Обычный 4 46 2 2 4" xfId="38235"/>
    <cellStyle name="Обычный 4 46 2 3" xfId="11531"/>
    <cellStyle name="Обычный 4 46 2 3 2" xfId="43575"/>
    <cellStyle name="Обычный 4 46 2 4" xfId="22212"/>
    <cellStyle name="Обычный 4 46 2 4 2" xfId="54255"/>
    <cellStyle name="Обычный 4 46 2 5" xfId="32895"/>
    <cellStyle name="Обычный 4 46 3" xfId="5724"/>
    <cellStyle name="Обычный 4 46 3 2" xfId="16404"/>
    <cellStyle name="Обычный 4 46 3 2 2" xfId="48448"/>
    <cellStyle name="Обычный 4 46 3 3" xfId="27085"/>
    <cellStyle name="Обычный 4 46 3 3 2" xfId="59128"/>
    <cellStyle name="Обычный 4 46 3 4" xfId="37768"/>
    <cellStyle name="Обычный 4 46 4" xfId="11064"/>
    <cellStyle name="Обычный 4 46 4 2" xfId="43108"/>
    <cellStyle name="Обычный 4 46 5" xfId="21745"/>
    <cellStyle name="Обычный 4 46 5 2" xfId="53788"/>
    <cellStyle name="Обычный 4 46 6" xfId="32428"/>
    <cellStyle name="Обычный 4 47" xfId="390"/>
    <cellStyle name="Обычный 4 47 2" xfId="858"/>
    <cellStyle name="Обычный 4 47 2 2" xfId="6201"/>
    <cellStyle name="Обычный 4 47 2 2 2" xfId="16881"/>
    <cellStyle name="Обычный 4 47 2 2 2 2" xfId="48925"/>
    <cellStyle name="Обычный 4 47 2 2 3" xfId="27562"/>
    <cellStyle name="Обычный 4 47 2 2 3 2" xfId="59605"/>
    <cellStyle name="Обычный 4 47 2 2 4" xfId="38245"/>
    <cellStyle name="Обычный 4 47 2 3" xfId="11541"/>
    <cellStyle name="Обычный 4 47 2 3 2" xfId="43585"/>
    <cellStyle name="Обычный 4 47 2 4" xfId="22222"/>
    <cellStyle name="Обычный 4 47 2 4 2" xfId="54265"/>
    <cellStyle name="Обычный 4 47 2 5" xfId="32905"/>
    <cellStyle name="Обычный 4 47 3" xfId="5734"/>
    <cellStyle name="Обычный 4 47 3 2" xfId="16414"/>
    <cellStyle name="Обычный 4 47 3 2 2" xfId="48458"/>
    <cellStyle name="Обычный 4 47 3 3" xfId="27095"/>
    <cellStyle name="Обычный 4 47 3 3 2" xfId="59138"/>
    <cellStyle name="Обычный 4 47 3 4" xfId="37778"/>
    <cellStyle name="Обычный 4 47 4" xfId="11074"/>
    <cellStyle name="Обычный 4 47 4 2" xfId="43118"/>
    <cellStyle name="Обычный 4 47 5" xfId="21755"/>
    <cellStyle name="Обычный 4 47 5 2" xfId="53798"/>
    <cellStyle name="Обычный 4 47 6" xfId="32438"/>
    <cellStyle name="Обычный 4 48" xfId="402"/>
    <cellStyle name="Обычный 4 48 2" xfId="870"/>
    <cellStyle name="Обычный 4 48 2 2" xfId="6213"/>
    <cellStyle name="Обычный 4 48 2 2 2" xfId="16893"/>
    <cellStyle name="Обычный 4 48 2 2 2 2" xfId="48937"/>
    <cellStyle name="Обычный 4 48 2 2 3" xfId="27574"/>
    <cellStyle name="Обычный 4 48 2 2 3 2" xfId="59617"/>
    <cellStyle name="Обычный 4 48 2 2 4" xfId="38257"/>
    <cellStyle name="Обычный 4 48 2 3" xfId="11553"/>
    <cellStyle name="Обычный 4 48 2 3 2" xfId="43597"/>
    <cellStyle name="Обычный 4 48 2 4" xfId="22234"/>
    <cellStyle name="Обычный 4 48 2 4 2" xfId="54277"/>
    <cellStyle name="Обычный 4 48 2 5" xfId="32917"/>
    <cellStyle name="Обычный 4 48 3" xfId="5746"/>
    <cellStyle name="Обычный 4 48 3 2" xfId="16426"/>
    <cellStyle name="Обычный 4 48 3 2 2" xfId="48470"/>
    <cellStyle name="Обычный 4 48 3 3" xfId="27107"/>
    <cellStyle name="Обычный 4 48 3 3 2" xfId="59150"/>
    <cellStyle name="Обычный 4 48 3 4" xfId="37790"/>
    <cellStyle name="Обычный 4 48 4" xfId="11086"/>
    <cellStyle name="Обычный 4 48 4 2" xfId="43130"/>
    <cellStyle name="Обычный 4 48 5" xfId="21767"/>
    <cellStyle name="Обычный 4 48 5 2" xfId="53810"/>
    <cellStyle name="Обычный 4 48 6" xfId="32450"/>
    <cellStyle name="Обычный 4 49" xfId="414"/>
    <cellStyle name="Обычный 4 49 2" xfId="882"/>
    <cellStyle name="Обычный 4 49 2 2" xfId="6225"/>
    <cellStyle name="Обычный 4 49 2 2 2" xfId="16905"/>
    <cellStyle name="Обычный 4 49 2 2 2 2" xfId="48949"/>
    <cellStyle name="Обычный 4 49 2 2 3" xfId="27586"/>
    <cellStyle name="Обычный 4 49 2 2 3 2" xfId="59629"/>
    <cellStyle name="Обычный 4 49 2 2 4" xfId="38269"/>
    <cellStyle name="Обычный 4 49 2 3" xfId="11565"/>
    <cellStyle name="Обычный 4 49 2 3 2" xfId="43609"/>
    <cellStyle name="Обычный 4 49 2 4" xfId="22246"/>
    <cellStyle name="Обычный 4 49 2 4 2" xfId="54289"/>
    <cellStyle name="Обычный 4 49 2 5" xfId="32929"/>
    <cellStyle name="Обычный 4 49 3" xfId="5758"/>
    <cellStyle name="Обычный 4 49 3 2" xfId="16438"/>
    <cellStyle name="Обычный 4 49 3 2 2" xfId="48482"/>
    <cellStyle name="Обычный 4 49 3 3" xfId="27119"/>
    <cellStyle name="Обычный 4 49 3 3 2" xfId="59162"/>
    <cellStyle name="Обычный 4 49 3 4" xfId="37802"/>
    <cellStyle name="Обычный 4 49 4" xfId="11098"/>
    <cellStyle name="Обычный 4 49 4 2" xfId="43142"/>
    <cellStyle name="Обычный 4 49 5" xfId="21779"/>
    <cellStyle name="Обычный 4 49 5 2" xfId="53822"/>
    <cellStyle name="Обычный 4 49 6" xfId="32462"/>
    <cellStyle name="Обычный 4 5" xfId="42"/>
    <cellStyle name="Обычный 4 5 2" xfId="510"/>
    <cellStyle name="Обычный 4 5 2 2" xfId="5853"/>
    <cellStyle name="Обычный 4 5 2 2 2" xfId="16533"/>
    <cellStyle name="Обычный 4 5 2 2 2 2" xfId="48577"/>
    <cellStyle name="Обычный 4 5 2 2 3" xfId="27214"/>
    <cellStyle name="Обычный 4 5 2 2 3 2" xfId="59257"/>
    <cellStyle name="Обычный 4 5 2 2 4" xfId="37897"/>
    <cellStyle name="Обычный 4 5 2 3" xfId="11193"/>
    <cellStyle name="Обычный 4 5 2 3 2" xfId="43237"/>
    <cellStyle name="Обычный 4 5 2 4" xfId="21874"/>
    <cellStyle name="Обычный 4 5 2 4 2" xfId="53917"/>
    <cellStyle name="Обычный 4 5 2 5" xfId="32557"/>
    <cellStyle name="Обычный 4 5 3" xfId="5386"/>
    <cellStyle name="Обычный 4 5 3 2" xfId="16066"/>
    <cellStyle name="Обычный 4 5 3 2 2" xfId="48110"/>
    <cellStyle name="Обычный 4 5 3 3" xfId="26747"/>
    <cellStyle name="Обычный 4 5 3 3 2" xfId="58790"/>
    <cellStyle name="Обычный 4 5 3 4" xfId="37430"/>
    <cellStyle name="Обычный 4 5 4" xfId="10726"/>
    <cellStyle name="Обычный 4 5 4 2" xfId="42770"/>
    <cellStyle name="Обычный 4 5 5" xfId="21407"/>
    <cellStyle name="Обычный 4 5 5 2" xfId="53450"/>
    <cellStyle name="Обычный 4 5 6" xfId="32090"/>
    <cellStyle name="Обычный 4 50" xfId="426"/>
    <cellStyle name="Обычный 4 50 2" xfId="894"/>
    <cellStyle name="Обычный 4 50 2 2" xfId="6237"/>
    <cellStyle name="Обычный 4 50 2 2 2" xfId="16917"/>
    <cellStyle name="Обычный 4 50 2 2 2 2" xfId="48961"/>
    <cellStyle name="Обычный 4 50 2 2 3" xfId="27598"/>
    <cellStyle name="Обычный 4 50 2 2 3 2" xfId="59641"/>
    <cellStyle name="Обычный 4 50 2 2 4" xfId="38281"/>
    <cellStyle name="Обычный 4 50 2 3" xfId="11577"/>
    <cellStyle name="Обычный 4 50 2 3 2" xfId="43621"/>
    <cellStyle name="Обычный 4 50 2 4" xfId="22258"/>
    <cellStyle name="Обычный 4 50 2 4 2" xfId="54301"/>
    <cellStyle name="Обычный 4 50 2 5" xfId="32941"/>
    <cellStyle name="Обычный 4 50 3" xfId="5770"/>
    <cellStyle name="Обычный 4 50 3 2" xfId="16450"/>
    <cellStyle name="Обычный 4 50 3 2 2" xfId="48494"/>
    <cellStyle name="Обычный 4 50 3 3" xfId="27131"/>
    <cellStyle name="Обычный 4 50 3 3 2" xfId="59174"/>
    <cellStyle name="Обычный 4 50 3 4" xfId="37814"/>
    <cellStyle name="Обычный 4 50 4" xfId="11110"/>
    <cellStyle name="Обычный 4 50 4 2" xfId="43154"/>
    <cellStyle name="Обычный 4 50 5" xfId="21791"/>
    <cellStyle name="Обычный 4 50 5 2" xfId="53834"/>
    <cellStyle name="Обычный 4 50 6" xfId="32474"/>
    <cellStyle name="Обычный 4 51" xfId="438"/>
    <cellStyle name="Обычный 4 51 2" xfId="906"/>
    <cellStyle name="Обычный 4 51 2 2" xfId="6249"/>
    <cellStyle name="Обычный 4 51 2 2 2" xfId="16929"/>
    <cellStyle name="Обычный 4 51 2 2 2 2" xfId="48973"/>
    <cellStyle name="Обычный 4 51 2 2 3" xfId="27610"/>
    <cellStyle name="Обычный 4 51 2 2 3 2" xfId="59653"/>
    <cellStyle name="Обычный 4 51 2 2 4" xfId="38293"/>
    <cellStyle name="Обычный 4 51 2 3" xfId="11589"/>
    <cellStyle name="Обычный 4 51 2 3 2" xfId="43633"/>
    <cellStyle name="Обычный 4 51 2 4" xfId="22270"/>
    <cellStyle name="Обычный 4 51 2 4 2" xfId="54313"/>
    <cellStyle name="Обычный 4 51 2 5" xfId="32953"/>
    <cellStyle name="Обычный 4 51 3" xfId="5782"/>
    <cellStyle name="Обычный 4 51 3 2" xfId="16462"/>
    <cellStyle name="Обычный 4 51 3 2 2" xfId="48506"/>
    <cellStyle name="Обычный 4 51 3 3" xfId="27143"/>
    <cellStyle name="Обычный 4 51 3 3 2" xfId="59186"/>
    <cellStyle name="Обычный 4 51 3 4" xfId="37826"/>
    <cellStyle name="Обычный 4 51 4" xfId="11122"/>
    <cellStyle name="Обычный 4 51 4 2" xfId="43166"/>
    <cellStyle name="Обычный 4 51 5" xfId="21803"/>
    <cellStyle name="Обычный 4 51 5 2" xfId="53846"/>
    <cellStyle name="Обычный 4 51 6" xfId="32486"/>
    <cellStyle name="Обычный 4 52" xfId="450"/>
    <cellStyle name="Обычный 4 52 2" xfId="918"/>
    <cellStyle name="Обычный 4 52 2 2" xfId="6261"/>
    <cellStyle name="Обычный 4 52 2 2 2" xfId="16941"/>
    <cellStyle name="Обычный 4 52 2 2 2 2" xfId="48985"/>
    <cellStyle name="Обычный 4 52 2 2 3" xfId="27622"/>
    <cellStyle name="Обычный 4 52 2 2 3 2" xfId="59665"/>
    <cellStyle name="Обычный 4 52 2 2 4" xfId="38305"/>
    <cellStyle name="Обычный 4 52 2 3" xfId="11601"/>
    <cellStyle name="Обычный 4 52 2 3 2" xfId="43645"/>
    <cellStyle name="Обычный 4 52 2 4" xfId="22282"/>
    <cellStyle name="Обычный 4 52 2 4 2" xfId="54325"/>
    <cellStyle name="Обычный 4 52 2 5" xfId="32965"/>
    <cellStyle name="Обычный 4 52 3" xfId="5794"/>
    <cellStyle name="Обычный 4 52 3 2" xfId="16474"/>
    <cellStyle name="Обычный 4 52 3 2 2" xfId="48518"/>
    <cellStyle name="Обычный 4 52 3 3" xfId="27155"/>
    <cellStyle name="Обычный 4 52 3 3 2" xfId="59198"/>
    <cellStyle name="Обычный 4 52 3 4" xfId="37838"/>
    <cellStyle name="Обычный 4 52 4" xfId="11134"/>
    <cellStyle name="Обычный 4 52 4 2" xfId="43178"/>
    <cellStyle name="Обычный 4 52 5" xfId="21815"/>
    <cellStyle name="Обычный 4 52 5 2" xfId="53858"/>
    <cellStyle name="Обычный 4 52 6" xfId="32498"/>
    <cellStyle name="Обычный 4 53" xfId="462"/>
    <cellStyle name="Обычный 4 53 2" xfId="930"/>
    <cellStyle name="Обычный 4 53 2 2" xfId="6273"/>
    <cellStyle name="Обычный 4 53 2 2 2" xfId="16953"/>
    <cellStyle name="Обычный 4 53 2 2 2 2" xfId="48997"/>
    <cellStyle name="Обычный 4 53 2 2 3" xfId="27634"/>
    <cellStyle name="Обычный 4 53 2 2 3 2" xfId="59677"/>
    <cellStyle name="Обычный 4 53 2 2 4" xfId="38317"/>
    <cellStyle name="Обычный 4 53 2 3" xfId="11613"/>
    <cellStyle name="Обычный 4 53 2 3 2" xfId="43657"/>
    <cellStyle name="Обычный 4 53 2 4" xfId="22294"/>
    <cellStyle name="Обычный 4 53 2 4 2" xfId="54337"/>
    <cellStyle name="Обычный 4 53 2 5" xfId="32977"/>
    <cellStyle name="Обычный 4 53 3" xfId="5806"/>
    <cellStyle name="Обычный 4 53 3 2" xfId="16486"/>
    <cellStyle name="Обычный 4 53 3 2 2" xfId="48530"/>
    <cellStyle name="Обычный 4 53 3 3" xfId="27167"/>
    <cellStyle name="Обычный 4 53 3 3 2" xfId="59210"/>
    <cellStyle name="Обычный 4 53 3 4" xfId="37850"/>
    <cellStyle name="Обычный 4 53 4" xfId="11146"/>
    <cellStyle name="Обычный 4 53 4 2" xfId="43190"/>
    <cellStyle name="Обычный 4 53 5" xfId="21827"/>
    <cellStyle name="Обычный 4 53 5 2" xfId="53870"/>
    <cellStyle name="Обычный 4 53 6" xfId="32510"/>
    <cellStyle name="Обычный 4 54" xfId="474"/>
    <cellStyle name="Обычный 4 54 2" xfId="942"/>
    <cellStyle name="Обычный 4 54 2 2" xfId="6285"/>
    <cellStyle name="Обычный 4 54 2 2 2" xfId="16965"/>
    <cellStyle name="Обычный 4 54 2 2 2 2" xfId="49009"/>
    <cellStyle name="Обычный 4 54 2 2 3" xfId="27646"/>
    <cellStyle name="Обычный 4 54 2 2 3 2" xfId="59689"/>
    <cellStyle name="Обычный 4 54 2 2 4" xfId="38329"/>
    <cellStyle name="Обычный 4 54 2 3" xfId="11625"/>
    <cellStyle name="Обычный 4 54 2 3 2" xfId="43669"/>
    <cellStyle name="Обычный 4 54 2 4" xfId="22306"/>
    <cellStyle name="Обычный 4 54 2 4 2" xfId="54349"/>
    <cellStyle name="Обычный 4 54 2 5" xfId="32989"/>
    <cellStyle name="Обычный 4 54 3" xfId="5818"/>
    <cellStyle name="Обычный 4 54 3 2" xfId="16498"/>
    <cellStyle name="Обычный 4 54 3 2 2" xfId="48542"/>
    <cellStyle name="Обычный 4 54 3 3" xfId="27179"/>
    <cellStyle name="Обычный 4 54 3 3 2" xfId="59222"/>
    <cellStyle name="Обычный 4 54 3 4" xfId="37862"/>
    <cellStyle name="Обычный 4 54 4" xfId="11158"/>
    <cellStyle name="Обычный 4 54 4 2" xfId="43202"/>
    <cellStyle name="Обычный 4 54 5" xfId="21839"/>
    <cellStyle name="Обычный 4 54 5 2" xfId="53882"/>
    <cellStyle name="Обычный 4 54 6" xfId="32522"/>
    <cellStyle name="Обычный 4 55" xfId="486"/>
    <cellStyle name="Обычный 4 55 2" xfId="954"/>
    <cellStyle name="Обычный 4 55 2 2" xfId="6297"/>
    <cellStyle name="Обычный 4 55 2 2 2" xfId="16977"/>
    <cellStyle name="Обычный 4 55 2 2 2 2" xfId="49021"/>
    <cellStyle name="Обычный 4 55 2 2 3" xfId="27658"/>
    <cellStyle name="Обычный 4 55 2 2 3 2" xfId="59701"/>
    <cellStyle name="Обычный 4 55 2 2 4" xfId="38341"/>
    <cellStyle name="Обычный 4 55 2 3" xfId="11637"/>
    <cellStyle name="Обычный 4 55 2 3 2" xfId="43681"/>
    <cellStyle name="Обычный 4 55 2 4" xfId="22318"/>
    <cellStyle name="Обычный 4 55 2 4 2" xfId="54361"/>
    <cellStyle name="Обычный 4 55 2 5" xfId="33001"/>
    <cellStyle name="Обычный 4 55 3" xfId="5830"/>
    <cellStyle name="Обычный 4 55 3 2" xfId="16510"/>
    <cellStyle name="Обычный 4 55 3 2 2" xfId="48554"/>
    <cellStyle name="Обычный 4 55 3 3" xfId="27191"/>
    <cellStyle name="Обычный 4 55 3 3 2" xfId="59234"/>
    <cellStyle name="Обычный 4 55 3 4" xfId="37874"/>
    <cellStyle name="Обычный 4 55 4" xfId="11170"/>
    <cellStyle name="Обычный 4 55 4 2" xfId="43214"/>
    <cellStyle name="Обычный 4 55 5" xfId="21851"/>
    <cellStyle name="Обычный 4 55 5 2" xfId="53894"/>
    <cellStyle name="Обычный 4 55 6" xfId="32534"/>
    <cellStyle name="Обычный 4 56" xfId="500"/>
    <cellStyle name="Обычный 4 56 2" xfId="5843"/>
    <cellStyle name="Обычный 4 56 2 2" xfId="16523"/>
    <cellStyle name="Обычный 4 56 2 2 2" xfId="48567"/>
    <cellStyle name="Обычный 4 56 2 3" xfId="27204"/>
    <cellStyle name="Обычный 4 56 2 3 2" xfId="59247"/>
    <cellStyle name="Обычный 4 56 2 4" xfId="37887"/>
    <cellStyle name="Обычный 4 56 3" xfId="11183"/>
    <cellStyle name="Обычный 4 56 3 2" xfId="43227"/>
    <cellStyle name="Обычный 4 56 4" xfId="21864"/>
    <cellStyle name="Обычный 4 56 4 2" xfId="53907"/>
    <cellStyle name="Обычный 4 56 5" xfId="32547"/>
    <cellStyle name="Обычный 4 57" xfId="966"/>
    <cellStyle name="Обычный 4 57 2" xfId="6309"/>
    <cellStyle name="Обычный 4 57 2 2" xfId="16989"/>
    <cellStyle name="Обычный 4 57 2 2 2" xfId="49033"/>
    <cellStyle name="Обычный 4 57 2 3" xfId="27670"/>
    <cellStyle name="Обычный 4 57 2 3 2" xfId="59713"/>
    <cellStyle name="Обычный 4 57 2 4" xfId="38353"/>
    <cellStyle name="Обычный 4 57 3" xfId="11649"/>
    <cellStyle name="Обычный 4 57 3 2" xfId="43693"/>
    <cellStyle name="Обычный 4 57 4" xfId="22330"/>
    <cellStyle name="Обычный 4 57 4 2" xfId="54373"/>
    <cellStyle name="Обычный 4 57 5" xfId="33013"/>
    <cellStyle name="Обычный 4 58" xfId="990"/>
    <cellStyle name="Обычный 4 58 2" xfId="6333"/>
    <cellStyle name="Обычный 4 58 2 2" xfId="17013"/>
    <cellStyle name="Обычный 4 58 2 2 2" xfId="49057"/>
    <cellStyle name="Обычный 4 58 2 3" xfId="27694"/>
    <cellStyle name="Обычный 4 58 2 3 2" xfId="59737"/>
    <cellStyle name="Обычный 4 58 2 4" xfId="38377"/>
    <cellStyle name="Обычный 4 58 3" xfId="11673"/>
    <cellStyle name="Обычный 4 58 3 2" xfId="43717"/>
    <cellStyle name="Обычный 4 58 4" xfId="22354"/>
    <cellStyle name="Обычный 4 58 4 2" xfId="54397"/>
    <cellStyle name="Обычный 4 58 5" xfId="33037"/>
    <cellStyle name="Обычный 4 59" xfId="1014"/>
    <cellStyle name="Обычный 4 59 2" xfId="6357"/>
    <cellStyle name="Обычный 4 59 2 2" xfId="17037"/>
    <cellStyle name="Обычный 4 59 2 2 2" xfId="49081"/>
    <cellStyle name="Обычный 4 59 2 3" xfId="27718"/>
    <cellStyle name="Обычный 4 59 2 3 2" xfId="59761"/>
    <cellStyle name="Обычный 4 59 2 4" xfId="38401"/>
    <cellStyle name="Обычный 4 59 3" xfId="11697"/>
    <cellStyle name="Обычный 4 59 3 2" xfId="43741"/>
    <cellStyle name="Обычный 4 59 4" xfId="22378"/>
    <cellStyle name="Обычный 4 59 4 2" xfId="54421"/>
    <cellStyle name="Обычный 4 59 5" xfId="33061"/>
    <cellStyle name="Обычный 4 6" xfId="44"/>
    <cellStyle name="Обычный 4 6 2" xfId="512"/>
    <cellStyle name="Обычный 4 6 2 2" xfId="5855"/>
    <cellStyle name="Обычный 4 6 2 2 2" xfId="16535"/>
    <cellStyle name="Обычный 4 6 2 2 2 2" xfId="48579"/>
    <cellStyle name="Обычный 4 6 2 2 3" xfId="27216"/>
    <cellStyle name="Обычный 4 6 2 2 3 2" xfId="59259"/>
    <cellStyle name="Обычный 4 6 2 2 4" xfId="37899"/>
    <cellStyle name="Обычный 4 6 2 3" xfId="11195"/>
    <cellStyle name="Обычный 4 6 2 3 2" xfId="43239"/>
    <cellStyle name="Обычный 4 6 2 4" xfId="21876"/>
    <cellStyle name="Обычный 4 6 2 4 2" xfId="53919"/>
    <cellStyle name="Обычный 4 6 2 5" xfId="32559"/>
    <cellStyle name="Обычный 4 6 3" xfId="5388"/>
    <cellStyle name="Обычный 4 6 3 2" xfId="16068"/>
    <cellStyle name="Обычный 4 6 3 2 2" xfId="48112"/>
    <cellStyle name="Обычный 4 6 3 3" xfId="26749"/>
    <cellStyle name="Обычный 4 6 3 3 2" xfId="58792"/>
    <cellStyle name="Обычный 4 6 3 4" xfId="37432"/>
    <cellStyle name="Обычный 4 6 4" xfId="10728"/>
    <cellStyle name="Обычный 4 6 4 2" xfId="42772"/>
    <cellStyle name="Обычный 4 6 5" xfId="21409"/>
    <cellStyle name="Обычный 4 6 5 2" xfId="53452"/>
    <cellStyle name="Обычный 4 6 6" xfId="32092"/>
    <cellStyle name="Обычный 4 60" xfId="1040"/>
    <cellStyle name="Обычный 4 60 2" xfId="6383"/>
    <cellStyle name="Обычный 4 60 2 2" xfId="17063"/>
    <cellStyle name="Обычный 4 60 2 2 2" xfId="49107"/>
    <cellStyle name="Обычный 4 60 2 3" xfId="27744"/>
    <cellStyle name="Обычный 4 60 2 3 2" xfId="59787"/>
    <cellStyle name="Обычный 4 60 2 4" xfId="38427"/>
    <cellStyle name="Обычный 4 60 3" xfId="11723"/>
    <cellStyle name="Обычный 4 60 3 2" xfId="43767"/>
    <cellStyle name="Обычный 4 60 4" xfId="22404"/>
    <cellStyle name="Обычный 4 60 4 2" xfId="54447"/>
    <cellStyle name="Обычный 4 60 5" xfId="33087"/>
    <cellStyle name="Обычный 4 61" xfId="1066"/>
    <cellStyle name="Обычный 4 61 2" xfId="6409"/>
    <cellStyle name="Обычный 4 61 2 2" xfId="17089"/>
    <cellStyle name="Обычный 4 61 2 2 2" xfId="49133"/>
    <cellStyle name="Обычный 4 61 2 3" xfId="27770"/>
    <cellStyle name="Обычный 4 61 2 3 2" xfId="59813"/>
    <cellStyle name="Обычный 4 61 2 4" xfId="38453"/>
    <cellStyle name="Обычный 4 61 3" xfId="11749"/>
    <cellStyle name="Обычный 4 61 3 2" xfId="43793"/>
    <cellStyle name="Обычный 4 61 4" xfId="22430"/>
    <cellStyle name="Обычный 4 61 4 2" xfId="54473"/>
    <cellStyle name="Обычный 4 61 5" xfId="33113"/>
    <cellStyle name="Обычный 4 62" xfId="1092"/>
    <cellStyle name="Обычный 4 62 2" xfId="6435"/>
    <cellStyle name="Обычный 4 62 2 2" xfId="17115"/>
    <cellStyle name="Обычный 4 62 2 2 2" xfId="49159"/>
    <cellStyle name="Обычный 4 62 2 3" xfId="27796"/>
    <cellStyle name="Обычный 4 62 2 3 2" xfId="59839"/>
    <cellStyle name="Обычный 4 62 2 4" xfId="38479"/>
    <cellStyle name="Обычный 4 62 3" xfId="11775"/>
    <cellStyle name="Обычный 4 62 3 2" xfId="43819"/>
    <cellStyle name="Обычный 4 62 4" xfId="22456"/>
    <cellStyle name="Обычный 4 62 4 2" xfId="54499"/>
    <cellStyle name="Обычный 4 62 5" xfId="33139"/>
    <cellStyle name="Обычный 4 63" xfId="1118"/>
    <cellStyle name="Обычный 4 63 2" xfId="6461"/>
    <cellStyle name="Обычный 4 63 2 2" xfId="17141"/>
    <cellStyle name="Обычный 4 63 2 2 2" xfId="49185"/>
    <cellStyle name="Обычный 4 63 2 3" xfId="27822"/>
    <cellStyle name="Обычный 4 63 2 3 2" xfId="59865"/>
    <cellStyle name="Обычный 4 63 2 4" xfId="38505"/>
    <cellStyle name="Обычный 4 63 3" xfId="11801"/>
    <cellStyle name="Обычный 4 63 3 2" xfId="43845"/>
    <cellStyle name="Обычный 4 63 4" xfId="22482"/>
    <cellStyle name="Обычный 4 63 4 2" xfId="54525"/>
    <cellStyle name="Обычный 4 63 5" xfId="33165"/>
    <cellStyle name="Обычный 4 64" xfId="1144"/>
    <cellStyle name="Обычный 4 64 2" xfId="6487"/>
    <cellStyle name="Обычный 4 64 2 2" xfId="17167"/>
    <cellStyle name="Обычный 4 64 2 2 2" xfId="49211"/>
    <cellStyle name="Обычный 4 64 2 3" xfId="27848"/>
    <cellStyle name="Обычный 4 64 2 3 2" xfId="59891"/>
    <cellStyle name="Обычный 4 64 2 4" xfId="38531"/>
    <cellStyle name="Обычный 4 64 3" xfId="11827"/>
    <cellStyle name="Обычный 4 64 3 2" xfId="43871"/>
    <cellStyle name="Обычный 4 64 4" xfId="22508"/>
    <cellStyle name="Обычный 4 64 4 2" xfId="54551"/>
    <cellStyle name="Обычный 4 64 5" xfId="33191"/>
    <cellStyle name="Обычный 4 65" xfId="1170"/>
    <cellStyle name="Обычный 4 65 2" xfId="6513"/>
    <cellStyle name="Обычный 4 65 2 2" xfId="17193"/>
    <cellStyle name="Обычный 4 65 2 2 2" xfId="49237"/>
    <cellStyle name="Обычный 4 65 2 3" xfId="27874"/>
    <cellStyle name="Обычный 4 65 2 3 2" xfId="59917"/>
    <cellStyle name="Обычный 4 65 2 4" xfId="38557"/>
    <cellStyle name="Обычный 4 65 3" xfId="11853"/>
    <cellStyle name="Обычный 4 65 3 2" xfId="43897"/>
    <cellStyle name="Обычный 4 65 4" xfId="22534"/>
    <cellStyle name="Обычный 4 65 4 2" xfId="54577"/>
    <cellStyle name="Обычный 4 65 5" xfId="33217"/>
    <cellStyle name="Обычный 4 66" xfId="1196"/>
    <cellStyle name="Обычный 4 66 2" xfId="6539"/>
    <cellStyle name="Обычный 4 66 2 2" xfId="17219"/>
    <cellStyle name="Обычный 4 66 2 2 2" xfId="49263"/>
    <cellStyle name="Обычный 4 66 2 3" xfId="27900"/>
    <cellStyle name="Обычный 4 66 2 3 2" xfId="59943"/>
    <cellStyle name="Обычный 4 66 2 4" xfId="38583"/>
    <cellStyle name="Обычный 4 66 3" xfId="11879"/>
    <cellStyle name="Обычный 4 66 3 2" xfId="43923"/>
    <cellStyle name="Обычный 4 66 4" xfId="22560"/>
    <cellStyle name="Обычный 4 66 4 2" xfId="54603"/>
    <cellStyle name="Обычный 4 66 5" xfId="33243"/>
    <cellStyle name="Обычный 4 67" xfId="1222"/>
    <cellStyle name="Обычный 4 67 2" xfId="6565"/>
    <cellStyle name="Обычный 4 67 2 2" xfId="17245"/>
    <cellStyle name="Обычный 4 67 2 2 2" xfId="49289"/>
    <cellStyle name="Обычный 4 67 2 3" xfId="27926"/>
    <cellStyle name="Обычный 4 67 2 3 2" xfId="59969"/>
    <cellStyle name="Обычный 4 67 2 4" xfId="38609"/>
    <cellStyle name="Обычный 4 67 3" xfId="11905"/>
    <cellStyle name="Обычный 4 67 3 2" xfId="43949"/>
    <cellStyle name="Обычный 4 67 4" xfId="22586"/>
    <cellStyle name="Обычный 4 67 4 2" xfId="54629"/>
    <cellStyle name="Обычный 4 67 5" xfId="33269"/>
    <cellStyle name="Обычный 4 68" xfId="1248"/>
    <cellStyle name="Обычный 4 68 2" xfId="6591"/>
    <cellStyle name="Обычный 4 68 2 2" xfId="17271"/>
    <cellStyle name="Обычный 4 68 2 2 2" xfId="49315"/>
    <cellStyle name="Обычный 4 68 2 3" xfId="27952"/>
    <cellStyle name="Обычный 4 68 2 3 2" xfId="59995"/>
    <cellStyle name="Обычный 4 68 2 4" xfId="38635"/>
    <cellStyle name="Обычный 4 68 3" xfId="11931"/>
    <cellStyle name="Обычный 4 68 3 2" xfId="43975"/>
    <cellStyle name="Обычный 4 68 4" xfId="22612"/>
    <cellStyle name="Обычный 4 68 4 2" xfId="54655"/>
    <cellStyle name="Обычный 4 68 5" xfId="33295"/>
    <cellStyle name="Обычный 4 69" xfId="1274"/>
    <cellStyle name="Обычный 4 69 2" xfId="6617"/>
    <cellStyle name="Обычный 4 69 2 2" xfId="17297"/>
    <cellStyle name="Обычный 4 69 2 2 2" xfId="49341"/>
    <cellStyle name="Обычный 4 69 2 3" xfId="27978"/>
    <cellStyle name="Обычный 4 69 2 3 2" xfId="60021"/>
    <cellStyle name="Обычный 4 69 2 4" xfId="38661"/>
    <cellStyle name="Обычный 4 69 3" xfId="11957"/>
    <cellStyle name="Обычный 4 69 3 2" xfId="44001"/>
    <cellStyle name="Обычный 4 69 4" xfId="22638"/>
    <cellStyle name="Обычный 4 69 4 2" xfId="54681"/>
    <cellStyle name="Обычный 4 69 5" xfId="33321"/>
    <cellStyle name="Обычный 4 7" xfId="46"/>
    <cellStyle name="Обычный 4 7 2" xfId="514"/>
    <cellStyle name="Обычный 4 7 2 2" xfId="5857"/>
    <cellStyle name="Обычный 4 7 2 2 2" xfId="16537"/>
    <cellStyle name="Обычный 4 7 2 2 2 2" xfId="48581"/>
    <cellStyle name="Обычный 4 7 2 2 3" xfId="27218"/>
    <cellStyle name="Обычный 4 7 2 2 3 2" xfId="59261"/>
    <cellStyle name="Обычный 4 7 2 2 4" xfId="37901"/>
    <cellStyle name="Обычный 4 7 2 3" xfId="11197"/>
    <cellStyle name="Обычный 4 7 2 3 2" xfId="43241"/>
    <cellStyle name="Обычный 4 7 2 4" xfId="21878"/>
    <cellStyle name="Обычный 4 7 2 4 2" xfId="53921"/>
    <cellStyle name="Обычный 4 7 2 5" xfId="32561"/>
    <cellStyle name="Обычный 4 7 3" xfId="5390"/>
    <cellStyle name="Обычный 4 7 3 2" xfId="16070"/>
    <cellStyle name="Обычный 4 7 3 2 2" xfId="48114"/>
    <cellStyle name="Обычный 4 7 3 3" xfId="26751"/>
    <cellStyle name="Обычный 4 7 3 3 2" xfId="58794"/>
    <cellStyle name="Обычный 4 7 3 4" xfId="37434"/>
    <cellStyle name="Обычный 4 7 4" xfId="10730"/>
    <cellStyle name="Обычный 4 7 4 2" xfId="42774"/>
    <cellStyle name="Обычный 4 7 5" xfId="21411"/>
    <cellStyle name="Обычный 4 7 5 2" xfId="53454"/>
    <cellStyle name="Обычный 4 7 6" xfId="32094"/>
    <cellStyle name="Обычный 4 70" xfId="1301"/>
    <cellStyle name="Обычный 4 70 2" xfId="6643"/>
    <cellStyle name="Обычный 4 70 2 2" xfId="17323"/>
    <cellStyle name="Обычный 4 70 2 2 2" xfId="49367"/>
    <cellStyle name="Обычный 4 70 2 3" xfId="28004"/>
    <cellStyle name="Обычный 4 70 2 3 2" xfId="60047"/>
    <cellStyle name="Обычный 4 70 2 4" xfId="38687"/>
    <cellStyle name="Обычный 4 70 3" xfId="11983"/>
    <cellStyle name="Обычный 4 70 3 2" xfId="44027"/>
    <cellStyle name="Обычный 4 70 4" xfId="22664"/>
    <cellStyle name="Обычный 4 70 4 2" xfId="54707"/>
    <cellStyle name="Обычный 4 70 5" xfId="33347"/>
    <cellStyle name="Обычный 4 71" xfId="1327"/>
    <cellStyle name="Обычный 4 71 2" xfId="6669"/>
    <cellStyle name="Обычный 4 71 2 2" xfId="17349"/>
    <cellStyle name="Обычный 4 71 2 2 2" xfId="49393"/>
    <cellStyle name="Обычный 4 71 2 3" xfId="28030"/>
    <cellStyle name="Обычный 4 71 2 3 2" xfId="60073"/>
    <cellStyle name="Обычный 4 71 2 4" xfId="38713"/>
    <cellStyle name="Обычный 4 71 3" xfId="12009"/>
    <cellStyle name="Обычный 4 71 3 2" xfId="44053"/>
    <cellStyle name="Обычный 4 71 4" xfId="22690"/>
    <cellStyle name="Обычный 4 71 4 2" xfId="54733"/>
    <cellStyle name="Обычный 4 71 5" xfId="33373"/>
    <cellStyle name="Обычный 4 72" xfId="1353"/>
    <cellStyle name="Обычный 4 72 2" xfId="6695"/>
    <cellStyle name="Обычный 4 72 2 2" xfId="17375"/>
    <cellStyle name="Обычный 4 72 2 2 2" xfId="49419"/>
    <cellStyle name="Обычный 4 72 2 3" xfId="28056"/>
    <cellStyle name="Обычный 4 72 2 3 2" xfId="60099"/>
    <cellStyle name="Обычный 4 72 2 4" xfId="38739"/>
    <cellStyle name="Обычный 4 72 3" xfId="12035"/>
    <cellStyle name="Обычный 4 72 3 2" xfId="44079"/>
    <cellStyle name="Обычный 4 72 4" xfId="22716"/>
    <cellStyle name="Обычный 4 72 4 2" xfId="54759"/>
    <cellStyle name="Обычный 4 72 5" xfId="33399"/>
    <cellStyle name="Обычный 4 73" xfId="1379"/>
    <cellStyle name="Обычный 4 73 2" xfId="6721"/>
    <cellStyle name="Обычный 4 73 2 2" xfId="17401"/>
    <cellStyle name="Обычный 4 73 2 2 2" xfId="49445"/>
    <cellStyle name="Обычный 4 73 2 3" xfId="28082"/>
    <cellStyle name="Обычный 4 73 2 3 2" xfId="60125"/>
    <cellStyle name="Обычный 4 73 2 4" xfId="38765"/>
    <cellStyle name="Обычный 4 73 3" xfId="12061"/>
    <cellStyle name="Обычный 4 73 3 2" xfId="44105"/>
    <cellStyle name="Обычный 4 73 4" xfId="22742"/>
    <cellStyle name="Обычный 4 73 4 2" xfId="54785"/>
    <cellStyle name="Обычный 4 73 5" xfId="33425"/>
    <cellStyle name="Обычный 4 74" xfId="1405"/>
    <cellStyle name="Обычный 4 74 2" xfId="6747"/>
    <cellStyle name="Обычный 4 74 2 2" xfId="17427"/>
    <cellStyle name="Обычный 4 74 2 2 2" xfId="49471"/>
    <cellStyle name="Обычный 4 74 2 3" xfId="28108"/>
    <cellStyle name="Обычный 4 74 2 3 2" xfId="60151"/>
    <cellStyle name="Обычный 4 74 2 4" xfId="38791"/>
    <cellStyle name="Обычный 4 74 3" xfId="12087"/>
    <cellStyle name="Обычный 4 74 3 2" xfId="44131"/>
    <cellStyle name="Обычный 4 74 4" xfId="22768"/>
    <cellStyle name="Обычный 4 74 4 2" xfId="54811"/>
    <cellStyle name="Обычный 4 74 5" xfId="33451"/>
    <cellStyle name="Обычный 4 75" xfId="1431"/>
    <cellStyle name="Обычный 4 75 2" xfId="6773"/>
    <cellStyle name="Обычный 4 75 2 2" xfId="17453"/>
    <cellStyle name="Обычный 4 75 2 2 2" xfId="49497"/>
    <cellStyle name="Обычный 4 75 2 3" xfId="28134"/>
    <cellStyle name="Обычный 4 75 2 3 2" xfId="60177"/>
    <cellStyle name="Обычный 4 75 2 4" xfId="38817"/>
    <cellStyle name="Обычный 4 75 3" xfId="12113"/>
    <cellStyle name="Обычный 4 75 3 2" xfId="44157"/>
    <cellStyle name="Обычный 4 75 4" xfId="22794"/>
    <cellStyle name="Обычный 4 75 4 2" xfId="54837"/>
    <cellStyle name="Обычный 4 75 5" xfId="33477"/>
    <cellStyle name="Обычный 4 76" xfId="1457"/>
    <cellStyle name="Обычный 4 76 2" xfId="6799"/>
    <cellStyle name="Обычный 4 76 2 2" xfId="17479"/>
    <cellStyle name="Обычный 4 76 2 2 2" xfId="49523"/>
    <cellStyle name="Обычный 4 76 2 3" xfId="28160"/>
    <cellStyle name="Обычный 4 76 2 3 2" xfId="60203"/>
    <cellStyle name="Обычный 4 76 2 4" xfId="38843"/>
    <cellStyle name="Обычный 4 76 3" xfId="12139"/>
    <cellStyle name="Обычный 4 76 3 2" xfId="44183"/>
    <cellStyle name="Обычный 4 76 4" xfId="22820"/>
    <cellStyle name="Обычный 4 76 4 2" xfId="54863"/>
    <cellStyle name="Обычный 4 76 5" xfId="33503"/>
    <cellStyle name="Обычный 4 77" xfId="1483"/>
    <cellStyle name="Обычный 4 77 2" xfId="6825"/>
    <cellStyle name="Обычный 4 77 2 2" xfId="17505"/>
    <cellStyle name="Обычный 4 77 2 2 2" xfId="49549"/>
    <cellStyle name="Обычный 4 77 2 3" xfId="28186"/>
    <cellStyle name="Обычный 4 77 2 3 2" xfId="60229"/>
    <cellStyle name="Обычный 4 77 2 4" xfId="38869"/>
    <cellStyle name="Обычный 4 77 3" xfId="12165"/>
    <cellStyle name="Обычный 4 77 3 2" xfId="44209"/>
    <cellStyle name="Обычный 4 77 4" xfId="22846"/>
    <cellStyle name="Обычный 4 77 4 2" xfId="54889"/>
    <cellStyle name="Обычный 4 77 5" xfId="33529"/>
    <cellStyle name="Обычный 4 78" xfId="1509"/>
    <cellStyle name="Обычный 4 78 2" xfId="6851"/>
    <cellStyle name="Обычный 4 78 2 2" xfId="17531"/>
    <cellStyle name="Обычный 4 78 2 2 2" xfId="49575"/>
    <cellStyle name="Обычный 4 78 2 3" xfId="28212"/>
    <cellStyle name="Обычный 4 78 2 3 2" xfId="60255"/>
    <cellStyle name="Обычный 4 78 2 4" xfId="38895"/>
    <cellStyle name="Обычный 4 78 3" xfId="12191"/>
    <cellStyle name="Обычный 4 78 3 2" xfId="44235"/>
    <cellStyle name="Обычный 4 78 4" xfId="22872"/>
    <cellStyle name="Обычный 4 78 4 2" xfId="54915"/>
    <cellStyle name="Обычный 4 78 5" xfId="33555"/>
    <cellStyle name="Обычный 4 79" xfId="1535"/>
    <cellStyle name="Обычный 4 79 2" xfId="6877"/>
    <cellStyle name="Обычный 4 79 2 2" xfId="17557"/>
    <cellStyle name="Обычный 4 79 2 2 2" xfId="49601"/>
    <cellStyle name="Обычный 4 79 2 3" xfId="28238"/>
    <cellStyle name="Обычный 4 79 2 3 2" xfId="60281"/>
    <cellStyle name="Обычный 4 79 2 4" xfId="38921"/>
    <cellStyle name="Обычный 4 79 3" xfId="12217"/>
    <cellStyle name="Обычный 4 79 3 2" xfId="44261"/>
    <cellStyle name="Обычный 4 79 4" xfId="22898"/>
    <cellStyle name="Обычный 4 79 4 2" xfId="54941"/>
    <cellStyle name="Обычный 4 79 5" xfId="33581"/>
    <cellStyle name="Обычный 4 8" xfId="48"/>
    <cellStyle name="Обычный 4 8 2" xfId="516"/>
    <cellStyle name="Обычный 4 8 2 2" xfId="5859"/>
    <cellStyle name="Обычный 4 8 2 2 2" xfId="16539"/>
    <cellStyle name="Обычный 4 8 2 2 2 2" xfId="48583"/>
    <cellStyle name="Обычный 4 8 2 2 3" xfId="27220"/>
    <cellStyle name="Обычный 4 8 2 2 3 2" xfId="59263"/>
    <cellStyle name="Обычный 4 8 2 2 4" xfId="37903"/>
    <cellStyle name="Обычный 4 8 2 3" xfId="11199"/>
    <cellStyle name="Обычный 4 8 2 3 2" xfId="43243"/>
    <cellStyle name="Обычный 4 8 2 4" xfId="21880"/>
    <cellStyle name="Обычный 4 8 2 4 2" xfId="53923"/>
    <cellStyle name="Обычный 4 8 2 5" xfId="32563"/>
    <cellStyle name="Обычный 4 8 3" xfId="5392"/>
    <cellStyle name="Обычный 4 8 3 2" xfId="16072"/>
    <cellStyle name="Обычный 4 8 3 2 2" xfId="48116"/>
    <cellStyle name="Обычный 4 8 3 3" xfId="26753"/>
    <cellStyle name="Обычный 4 8 3 3 2" xfId="58796"/>
    <cellStyle name="Обычный 4 8 3 4" xfId="37436"/>
    <cellStyle name="Обычный 4 8 4" xfId="10732"/>
    <cellStyle name="Обычный 4 8 4 2" xfId="42776"/>
    <cellStyle name="Обычный 4 8 5" xfId="21413"/>
    <cellStyle name="Обычный 4 8 5 2" xfId="53456"/>
    <cellStyle name="Обычный 4 8 6" xfId="32096"/>
    <cellStyle name="Обычный 4 80" xfId="1561"/>
    <cellStyle name="Обычный 4 80 2" xfId="6903"/>
    <cellStyle name="Обычный 4 80 2 2" xfId="17583"/>
    <cellStyle name="Обычный 4 80 2 2 2" xfId="49627"/>
    <cellStyle name="Обычный 4 80 2 3" xfId="28264"/>
    <cellStyle name="Обычный 4 80 2 3 2" xfId="60307"/>
    <cellStyle name="Обычный 4 80 2 4" xfId="38947"/>
    <cellStyle name="Обычный 4 80 3" xfId="12243"/>
    <cellStyle name="Обычный 4 80 3 2" xfId="44287"/>
    <cellStyle name="Обычный 4 80 4" xfId="22924"/>
    <cellStyle name="Обычный 4 80 4 2" xfId="54967"/>
    <cellStyle name="Обычный 4 80 5" xfId="33607"/>
    <cellStyle name="Обычный 4 81" xfId="1587"/>
    <cellStyle name="Обычный 4 81 2" xfId="6929"/>
    <cellStyle name="Обычный 4 81 2 2" xfId="17609"/>
    <cellStyle name="Обычный 4 81 2 2 2" xfId="49653"/>
    <cellStyle name="Обычный 4 81 2 3" xfId="28290"/>
    <cellStyle name="Обычный 4 81 2 3 2" xfId="60333"/>
    <cellStyle name="Обычный 4 81 2 4" xfId="38973"/>
    <cellStyle name="Обычный 4 81 3" xfId="12269"/>
    <cellStyle name="Обычный 4 81 3 2" xfId="44313"/>
    <cellStyle name="Обычный 4 81 4" xfId="22950"/>
    <cellStyle name="Обычный 4 81 4 2" xfId="54993"/>
    <cellStyle name="Обычный 4 81 5" xfId="33633"/>
    <cellStyle name="Обычный 4 82" xfId="1613"/>
    <cellStyle name="Обычный 4 82 2" xfId="6955"/>
    <cellStyle name="Обычный 4 82 2 2" xfId="17635"/>
    <cellStyle name="Обычный 4 82 2 2 2" xfId="49679"/>
    <cellStyle name="Обычный 4 82 2 3" xfId="28316"/>
    <cellStyle name="Обычный 4 82 2 3 2" xfId="60359"/>
    <cellStyle name="Обычный 4 82 2 4" xfId="38999"/>
    <cellStyle name="Обычный 4 82 3" xfId="12295"/>
    <cellStyle name="Обычный 4 82 3 2" xfId="44339"/>
    <cellStyle name="Обычный 4 82 4" xfId="22976"/>
    <cellStyle name="Обычный 4 82 4 2" xfId="55019"/>
    <cellStyle name="Обычный 4 82 5" xfId="33659"/>
    <cellStyle name="Обычный 4 83" xfId="1639"/>
    <cellStyle name="Обычный 4 83 2" xfId="6981"/>
    <cellStyle name="Обычный 4 83 2 2" xfId="17661"/>
    <cellStyle name="Обычный 4 83 2 2 2" xfId="49705"/>
    <cellStyle name="Обычный 4 83 2 3" xfId="28342"/>
    <cellStyle name="Обычный 4 83 2 3 2" xfId="60385"/>
    <cellStyle name="Обычный 4 83 2 4" xfId="39025"/>
    <cellStyle name="Обычный 4 83 3" xfId="12321"/>
    <cellStyle name="Обычный 4 83 3 2" xfId="44365"/>
    <cellStyle name="Обычный 4 83 4" xfId="23002"/>
    <cellStyle name="Обычный 4 83 4 2" xfId="55045"/>
    <cellStyle name="Обычный 4 83 5" xfId="33685"/>
    <cellStyle name="Обычный 4 84" xfId="1665"/>
    <cellStyle name="Обычный 4 84 2" xfId="7007"/>
    <cellStyle name="Обычный 4 84 2 2" xfId="17687"/>
    <cellStyle name="Обычный 4 84 2 2 2" xfId="49731"/>
    <cellStyle name="Обычный 4 84 2 3" xfId="28368"/>
    <cellStyle name="Обычный 4 84 2 3 2" xfId="60411"/>
    <cellStyle name="Обычный 4 84 2 4" xfId="39051"/>
    <cellStyle name="Обычный 4 84 3" xfId="12347"/>
    <cellStyle name="Обычный 4 84 3 2" xfId="44391"/>
    <cellStyle name="Обычный 4 84 4" xfId="23028"/>
    <cellStyle name="Обычный 4 84 4 2" xfId="55071"/>
    <cellStyle name="Обычный 4 84 5" xfId="33711"/>
    <cellStyle name="Обычный 4 85" xfId="1691"/>
    <cellStyle name="Обычный 4 85 2" xfId="7033"/>
    <cellStyle name="Обычный 4 85 2 2" xfId="17713"/>
    <cellStyle name="Обычный 4 85 2 2 2" xfId="49757"/>
    <cellStyle name="Обычный 4 85 2 3" xfId="28394"/>
    <cellStyle name="Обычный 4 85 2 3 2" xfId="60437"/>
    <cellStyle name="Обычный 4 85 2 4" xfId="39077"/>
    <cellStyle name="Обычный 4 85 3" xfId="12373"/>
    <cellStyle name="Обычный 4 85 3 2" xfId="44417"/>
    <cellStyle name="Обычный 4 85 4" xfId="23054"/>
    <cellStyle name="Обычный 4 85 4 2" xfId="55097"/>
    <cellStyle name="Обычный 4 85 5" xfId="33737"/>
    <cellStyle name="Обычный 4 86" xfId="1717"/>
    <cellStyle name="Обычный 4 86 2" xfId="7059"/>
    <cellStyle name="Обычный 4 86 2 2" xfId="17739"/>
    <cellStyle name="Обычный 4 86 2 2 2" xfId="49783"/>
    <cellStyle name="Обычный 4 86 2 3" xfId="28420"/>
    <cellStyle name="Обычный 4 86 2 3 2" xfId="60463"/>
    <cellStyle name="Обычный 4 86 2 4" xfId="39103"/>
    <cellStyle name="Обычный 4 86 3" xfId="12399"/>
    <cellStyle name="Обычный 4 86 3 2" xfId="44443"/>
    <cellStyle name="Обычный 4 86 4" xfId="23080"/>
    <cellStyle name="Обычный 4 86 4 2" xfId="55123"/>
    <cellStyle name="Обычный 4 86 5" xfId="33763"/>
    <cellStyle name="Обычный 4 87" xfId="1743"/>
    <cellStyle name="Обычный 4 87 2" xfId="7085"/>
    <cellStyle name="Обычный 4 87 2 2" xfId="17765"/>
    <cellStyle name="Обычный 4 87 2 2 2" xfId="49809"/>
    <cellStyle name="Обычный 4 87 2 3" xfId="28446"/>
    <cellStyle name="Обычный 4 87 2 3 2" xfId="60489"/>
    <cellStyle name="Обычный 4 87 2 4" xfId="39129"/>
    <cellStyle name="Обычный 4 87 3" xfId="12425"/>
    <cellStyle name="Обычный 4 87 3 2" xfId="44469"/>
    <cellStyle name="Обычный 4 87 4" xfId="23106"/>
    <cellStyle name="Обычный 4 87 4 2" xfId="55149"/>
    <cellStyle name="Обычный 4 87 5" xfId="33789"/>
    <cellStyle name="Обычный 4 88" xfId="1769"/>
    <cellStyle name="Обычный 4 88 2" xfId="7111"/>
    <cellStyle name="Обычный 4 88 2 2" xfId="17791"/>
    <cellStyle name="Обычный 4 88 2 2 2" xfId="49835"/>
    <cellStyle name="Обычный 4 88 2 3" xfId="28472"/>
    <cellStyle name="Обычный 4 88 2 3 2" xfId="60515"/>
    <cellStyle name="Обычный 4 88 2 4" xfId="39155"/>
    <cellStyle name="Обычный 4 88 3" xfId="12451"/>
    <cellStyle name="Обычный 4 88 3 2" xfId="44495"/>
    <cellStyle name="Обычный 4 88 4" xfId="23132"/>
    <cellStyle name="Обычный 4 88 4 2" xfId="55175"/>
    <cellStyle name="Обычный 4 88 5" xfId="33815"/>
    <cellStyle name="Обычный 4 89" xfId="1795"/>
    <cellStyle name="Обычный 4 89 2" xfId="7137"/>
    <cellStyle name="Обычный 4 89 2 2" xfId="17817"/>
    <cellStyle name="Обычный 4 89 2 2 2" xfId="49861"/>
    <cellStyle name="Обычный 4 89 2 3" xfId="28498"/>
    <cellStyle name="Обычный 4 89 2 3 2" xfId="60541"/>
    <cellStyle name="Обычный 4 89 2 4" xfId="39181"/>
    <cellStyle name="Обычный 4 89 3" xfId="12477"/>
    <cellStyle name="Обычный 4 89 3 2" xfId="44521"/>
    <cellStyle name="Обычный 4 89 4" xfId="23158"/>
    <cellStyle name="Обычный 4 89 4 2" xfId="55201"/>
    <cellStyle name="Обычный 4 89 5" xfId="33841"/>
    <cellStyle name="Обычный 4 9" xfId="50"/>
    <cellStyle name="Обычный 4 9 2" xfId="518"/>
    <cellStyle name="Обычный 4 9 2 2" xfId="5861"/>
    <cellStyle name="Обычный 4 9 2 2 2" xfId="16541"/>
    <cellStyle name="Обычный 4 9 2 2 2 2" xfId="48585"/>
    <cellStyle name="Обычный 4 9 2 2 3" xfId="27222"/>
    <cellStyle name="Обычный 4 9 2 2 3 2" xfId="59265"/>
    <cellStyle name="Обычный 4 9 2 2 4" xfId="37905"/>
    <cellStyle name="Обычный 4 9 2 3" xfId="11201"/>
    <cellStyle name="Обычный 4 9 2 3 2" xfId="43245"/>
    <cellStyle name="Обычный 4 9 2 4" xfId="21882"/>
    <cellStyle name="Обычный 4 9 2 4 2" xfId="53925"/>
    <cellStyle name="Обычный 4 9 2 5" xfId="32565"/>
    <cellStyle name="Обычный 4 9 3" xfId="5394"/>
    <cellStyle name="Обычный 4 9 3 2" xfId="16074"/>
    <cellStyle name="Обычный 4 9 3 2 2" xfId="48118"/>
    <cellStyle name="Обычный 4 9 3 3" xfId="26755"/>
    <cellStyle name="Обычный 4 9 3 3 2" xfId="58798"/>
    <cellStyle name="Обычный 4 9 3 4" xfId="37438"/>
    <cellStyle name="Обычный 4 9 4" xfId="10734"/>
    <cellStyle name="Обычный 4 9 4 2" xfId="42778"/>
    <cellStyle name="Обычный 4 9 5" xfId="21415"/>
    <cellStyle name="Обычный 4 9 5 2" xfId="53458"/>
    <cellStyle name="Обычный 4 9 6" xfId="32098"/>
    <cellStyle name="Обычный 4 90" xfId="1821"/>
    <cellStyle name="Обычный 4 90 2" xfId="7163"/>
    <cellStyle name="Обычный 4 90 2 2" xfId="17843"/>
    <cellStyle name="Обычный 4 90 2 2 2" xfId="49887"/>
    <cellStyle name="Обычный 4 90 2 3" xfId="28524"/>
    <cellStyle name="Обычный 4 90 2 3 2" xfId="60567"/>
    <cellStyle name="Обычный 4 90 2 4" xfId="39207"/>
    <cellStyle name="Обычный 4 90 3" xfId="12503"/>
    <cellStyle name="Обычный 4 90 3 2" xfId="44547"/>
    <cellStyle name="Обычный 4 90 4" xfId="23184"/>
    <cellStyle name="Обычный 4 90 4 2" xfId="55227"/>
    <cellStyle name="Обычный 4 90 5" xfId="33867"/>
    <cellStyle name="Обычный 4 91" xfId="1847"/>
    <cellStyle name="Обычный 4 91 2" xfId="7189"/>
    <cellStyle name="Обычный 4 91 2 2" xfId="17869"/>
    <cellStyle name="Обычный 4 91 2 2 2" xfId="49913"/>
    <cellStyle name="Обычный 4 91 2 3" xfId="28550"/>
    <cellStyle name="Обычный 4 91 2 3 2" xfId="60593"/>
    <cellStyle name="Обычный 4 91 2 4" xfId="39233"/>
    <cellStyle name="Обычный 4 91 3" xfId="12529"/>
    <cellStyle name="Обычный 4 91 3 2" xfId="44573"/>
    <cellStyle name="Обычный 4 91 4" xfId="23210"/>
    <cellStyle name="Обычный 4 91 4 2" xfId="55253"/>
    <cellStyle name="Обычный 4 91 5" xfId="33893"/>
    <cellStyle name="Обычный 4 92" xfId="1873"/>
    <cellStyle name="Обычный 4 92 2" xfId="7215"/>
    <cellStyle name="Обычный 4 92 2 2" xfId="17895"/>
    <cellStyle name="Обычный 4 92 2 2 2" xfId="49939"/>
    <cellStyle name="Обычный 4 92 2 3" xfId="28576"/>
    <cellStyle name="Обычный 4 92 2 3 2" xfId="60619"/>
    <cellStyle name="Обычный 4 92 2 4" xfId="39259"/>
    <cellStyle name="Обычный 4 92 3" xfId="12555"/>
    <cellStyle name="Обычный 4 92 3 2" xfId="44599"/>
    <cellStyle name="Обычный 4 92 4" xfId="23236"/>
    <cellStyle name="Обычный 4 92 4 2" xfId="55279"/>
    <cellStyle name="Обычный 4 92 5" xfId="33919"/>
    <cellStyle name="Обычный 4 93" xfId="1899"/>
    <cellStyle name="Обычный 4 93 2" xfId="7241"/>
    <cellStyle name="Обычный 4 93 2 2" xfId="17921"/>
    <cellStyle name="Обычный 4 93 2 2 2" xfId="49965"/>
    <cellStyle name="Обычный 4 93 2 3" xfId="28602"/>
    <cellStyle name="Обычный 4 93 2 3 2" xfId="60645"/>
    <cellStyle name="Обычный 4 93 2 4" xfId="39285"/>
    <cellStyle name="Обычный 4 93 3" xfId="12581"/>
    <cellStyle name="Обычный 4 93 3 2" xfId="44625"/>
    <cellStyle name="Обычный 4 93 4" xfId="23262"/>
    <cellStyle name="Обычный 4 93 4 2" xfId="55305"/>
    <cellStyle name="Обычный 4 93 5" xfId="33945"/>
    <cellStyle name="Обычный 4 94" xfId="1927"/>
    <cellStyle name="Обычный 4 94 2" xfId="7269"/>
    <cellStyle name="Обычный 4 94 2 2" xfId="17949"/>
    <cellStyle name="Обычный 4 94 2 2 2" xfId="49993"/>
    <cellStyle name="Обычный 4 94 2 3" xfId="28630"/>
    <cellStyle name="Обычный 4 94 2 3 2" xfId="60673"/>
    <cellStyle name="Обычный 4 94 2 4" xfId="39313"/>
    <cellStyle name="Обычный 4 94 3" xfId="12609"/>
    <cellStyle name="Обычный 4 94 3 2" xfId="44653"/>
    <cellStyle name="Обычный 4 94 4" xfId="23290"/>
    <cellStyle name="Обычный 4 94 4 2" xfId="55333"/>
    <cellStyle name="Обычный 4 94 5" xfId="33973"/>
    <cellStyle name="Обычный 4 95" xfId="1955"/>
    <cellStyle name="Обычный 4 95 2" xfId="7297"/>
    <cellStyle name="Обычный 4 95 2 2" xfId="17977"/>
    <cellStyle name="Обычный 4 95 2 2 2" xfId="50021"/>
    <cellStyle name="Обычный 4 95 2 3" xfId="28658"/>
    <cellStyle name="Обычный 4 95 2 3 2" xfId="60701"/>
    <cellStyle name="Обычный 4 95 2 4" xfId="39341"/>
    <cellStyle name="Обычный 4 95 3" xfId="12637"/>
    <cellStyle name="Обычный 4 95 3 2" xfId="44681"/>
    <cellStyle name="Обычный 4 95 4" xfId="23318"/>
    <cellStyle name="Обычный 4 95 4 2" xfId="55361"/>
    <cellStyle name="Обычный 4 95 5" xfId="34001"/>
    <cellStyle name="Обычный 4 96" xfId="1983"/>
    <cellStyle name="Обычный 4 96 2" xfId="7325"/>
    <cellStyle name="Обычный 4 96 2 2" xfId="18005"/>
    <cellStyle name="Обычный 4 96 2 2 2" xfId="50049"/>
    <cellStyle name="Обычный 4 96 2 3" xfId="28686"/>
    <cellStyle name="Обычный 4 96 2 3 2" xfId="60729"/>
    <cellStyle name="Обычный 4 96 2 4" xfId="39369"/>
    <cellStyle name="Обычный 4 96 3" xfId="12665"/>
    <cellStyle name="Обычный 4 96 3 2" xfId="44709"/>
    <cellStyle name="Обычный 4 96 4" xfId="23346"/>
    <cellStyle name="Обычный 4 96 4 2" xfId="55389"/>
    <cellStyle name="Обычный 4 96 5" xfId="34029"/>
    <cellStyle name="Обычный 4 97" xfId="2011"/>
    <cellStyle name="Обычный 4 97 2" xfId="7353"/>
    <cellStyle name="Обычный 4 97 2 2" xfId="18033"/>
    <cellStyle name="Обычный 4 97 2 2 2" xfId="50077"/>
    <cellStyle name="Обычный 4 97 2 3" xfId="28714"/>
    <cellStyle name="Обычный 4 97 2 3 2" xfId="60757"/>
    <cellStyle name="Обычный 4 97 2 4" xfId="39397"/>
    <cellStyle name="Обычный 4 97 3" xfId="12693"/>
    <cellStyle name="Обычный 4 97 3 2" xfId="44737"/>
    <cellStyle name="Обычный 4 97 4" xfId="23374"/>
    <cellStyle name="Обычный 4 97 4 2" xfId="55417"/>
    <cellStyle name="Обычный 4 97 5" xfId="34057"/>
    <cellStyle name="Обычный 4 98" xfId="2039"/>
    <cellStyle name="Обычный 4 98 2" xfId="7381"/>
    <cellStyle name="Обычный 4 98 2 2" xfId="18061"/>
    <cellStyle name="Обычный 4 98 2 2 2" xfId="50105"/>
    <cellStyle name="Обычный 4 98 2 3" xfId="28742"/>
    <cellStyle name="Обычный 4 98 2 3 2" xfId="60785"/>
    <cellStyle name="Обычный 4 98 2 4" xfId="39425"/>
    <cellStyle name="Обычный 4 98 3" xfId="12721"/>
    <cellStyle name="Обычный 4 98 3 2" xfId="44765"/>
    <cellStyle name="Обычный 4 98 4" xfId="23402"/>
    <cellStyle name="Обычный 4 98 4 2" xfId="55445"/>
    <cellStyle name="Обычный 4 98 5" xfId="34085"/>
    <cellStyle name="Обычный 4 99" xfId="2067"/>
    <cellStyle name="Обычный 4 99 2" xfId="7409"/>
    <cellStyle name="Обычный 4 99 2 2" xfId="18089"/>
    <cellStyle name="Обычный 4 99 2 2 2" xfId="50133"/>
    <cellStyle name="Обычный 4 99 2 3" xfId="28770"/>
    <cellStyle name="Обычный 4 99 2 3 2" xfId="60813"/>
    <cellStyle name="Обычный 4 99 2 4" xfId="39453"/>
    <cellStyle name="Обычный 4 99 3" xfId="12749"/>
    <cellStyle name="Обычный 4 99 3 2" xfId="44793"/>
    <cellStyle name="Обычный 4 99 4" xfId="23430"/>
    <cellStyle name="Обычный 4 99 4 2" xfId="55473"/>
    <cellStyle name="Обычный 4 99 5" xfId="34113"/>
    <cellStyle name="Обычный 5" xfId="38"/>
    <cellStyle name="Обычный 5 10" xfId="92"/>
    <cellStyle name="Обычный 5 10 2" xfId="560"/>
    <cellStyle name="Обычный 5 10 2 2" xfId="5903"/>
    <cellStyle name="Обычный 5 10 2 2 2" xfId="16583"/>
    <cellStyle name="Обычный 5 10 2 2 2 2" xfId="48627"/>
    <cellStyle name="Обычный 5 10 2 2 3" xfId="27264"/>
    <cellStyle name="Обычный 5 10 2 2 3 2" xfId="59307"/>
    <cellStyle name="Обычный 5 10 2 2 4" xfId="37947"/>
    <cellStyle name="Обычный 5 10 2 3" xfId="11243"/>
    <cellStyle name="Обычный 5 10 2 3 2" xfId="43287"/>
    <cellStyle name="Обычный 5 10 2 4" xfId="21924"/>
    <cellStyle name="Обычный 5 10 2 4 2" xfId="53967"/>
    <cellStyle name="Обычный 5 10 2 5" xfId="32607"/>
    <cellStyle name="Обычный 5 10 3" xfId="5436"/>
    <cellStyle name="Обычный 5 10 3 2" xfId="16116"/>
    <cellStyle name="Обычный 5 10 3 2 2" xfId="48160"/>
    <cellStyle name="Обычный 5 10 3 3" xfId="26797"/>
    <cellStyle name="Обычный 5 10 3 3 2" xfId="58840"/>
    <cellStyle name="Обычный 5 10 3 4" xfId="37480"/>
    <cellStyle name="Обычный 5 10 4" xfId="10776"/>
    <cellStyle name="Обычный 5 10 4 2" xfId="42820"/>
    <cellStyle name="Обычный 5 10 5" xfId="21457"/>
    <cellStyle name="Обычный 5 10 5 2" xfId="53500"/>
    <cellStyle name="Обычный 5 10 6" xfId="32140"/>
    <cellStyle name="Обычный 5 100" xfId="2307"/>
    <cellStyle name="Обычный 5 100 2" xfId="7649"/>
    <cellStyle name="Обычный 5 100 2 2" xfId="18329"/>
    <cellStyle name="Обычный 5 100 2 2 2" xfId="50373"/>
    <cellStyle name="Обычный 5 100 2 3" xfId="29010"/>
    <cellStyle name="Обычный 5 100 2 3 2" xfId="61053"/>
    <cellStyle name="Обычный 5 100 2 4" xfId="39693"/>
    <cellStyle name="Обычный 5 100 3" xfId="12989"/>
    <cellStyle name="Обычный 5 100 3 2" xfId="45033"/>
    <cellStyle name="Обычный 5 100 4" xfId="23670"/>
    <cellStyle name="Обычный 5 100 4 2" xfId="55713"/>
    <cellStyle name="Обычный 5 100 5" xfId="34353"/>
    <cellStyle name="Обычный 5 101" xfId="2337"/>
    <cellStyle name="Обычный 5 101 2" xfId="7679"/>
    <cellStyle name="Обычный 5 101 2 2" xfId="18359"/>
    <cellStyle name="Обычный 5 101 2 2 2" xfId="50403"/>
    <cellStyle name="Обычный 5 101 2 3" xfId="29040"/>
    <cellStyle name="Обычный 5 101 2 3 2" xfId="61083"/>
    <cellStyle name="Обычный 5 101 2 4" xfId="39723"/>
    <cellStyle name="Обычный 5 101 3" xfId="13019"/>
    <cellStyle name="Обычный 5 101 3 2" xfId="45063"/>
    <cellStyle name="Обычный 5 101 4" xfId="23700"/>
    <cellStyle name="Обычный 5 101 4 2" xfId="55743"/>
    <cellStyle name="Обычный 5 101 5" xfId="34383"/>
    <cellStyle name="Обычный 5 102" xfId="2367"/>
    <cellStyle name="Обычный 5 102 2" xfId="7709"/>
    <cellStyle name="Обычный 5 102 2 2" xfId="18389"/>
    <cellStyle name="Обычный 5 102 2 2 2" xfId="50433"/>
    <cellStyle name="Обычный 5 102 2 3" xfId="29070"/>
    <cellStyle name="Обычный 5 102 2 3 2" xfId="61113"/>
    <cellStyle name="Обычный 5 102 2 4" xfId="39753"/>
    <cellStyle name="Обычный 5 102 3" xfId="13049"/>
    <cellStyle name="Обычный 5 102 3 2" xfId="45093"/>
    <cellStyle name="Обычный 5 102 4" xfId="23730"/>
    <cellStyle name="Обычный 5 102 4 2" xfId="55773"/>
    <cellStyle name="Обычный 5 102 5" xfId="34413"/>
    <cellStyle name="Обычный 5 103" xfId="2397"/>
    <cellStyle name="Обычный 5 103 2" xfId="7739"/>
    <cellStyle name="Обычный 5 103 2 2" xfId="18419"/>
    <cellStyle name="Обычный 5 103 2 2 2" xfId="50463"/>
    <cellStyle name="Обычный 5 103 2 3" xfId="29100"/>
    <cellStyle name="Обычный 5 103 2 3 2" xfId="61143"/>
    <cellStyle name="Обычный 5 103 2 4" xfId="39783"/>
    <cellStyle name="Обычный 5 103 3" xfId="13079"/>
    <cellStyle name="Обычный 5 103 3 2" xfId="45123"/>
    <cellStyle name="Обычный 5 103 4" xfId="23760"/>
    <cellStyle name="Обычный 5 103 4 2" xfId="55803"/>
    <cellStyle name="Обычный 5 103 5" xfId="34443"/>
    <cellStyle name="Обычный 5 104" xfId="2427"/>
    <cellStyle name="Обычный 5 104 2" xfId="7769"/>
    <cellStyle name="Обычный 5 104 2 2" xfId="18449"/>
    <cellStyle name="Обычный 5 104 2 2 2" xfId="50493"/>
    <cellStyle name="Обычный 5 104 2 3" xfId="29130"/>
    <cellStyle name="Обычный 5 104 2 3 2" xfId="61173"/>
    <cellStyle name="Обычный 5 104 2 4" xfId="39813"/>
    <cellStyle name="Обычный 5 104 3" xfId="13109"/>
    <cellStyle name="Обычный 5 104 3 2" xfId="45153"/>
    <cellStyle name="Обычный 5 104 4" xfId="23790"/>
    <cellStyle name="Обычный 5 104 4 2" xfId="55833"/>
    <cellStyle name="Обычный 5 104 5" xfId="34473"/>
    <cellStyle name="Обычный 5 105" xfId="2457"/>
    <cellStyle name="Обычный 5 105 2" xfId="7799"/>
    <cellStyle name="Обычный 5 105 2 2" xfId="18479"/>
    <cellStyle name="Обычный 5 105 2 2 2" xfId="50523"/>
    <cellStyle name="Обычный 5 105 2 3" xfId="29160"/>
    <cellStyle name="Обычный 5 105 2 3 2" xfId="61203"/>
    <cellStyle name="Обычный 5 105 2 4" xfId="39843"/>
    <cellStyle name="Обычный 5 105 3" xfId="13139"/>
    <cellStyle name="Обычный 5 105 3 2" xfId="45183"/>
    <cellStyle name="Обычный 5 105 4" xfId="23820"/>
    <cellStyle name="Обычный 5 105 4 2" xfId="55863"/>
    <cellStyle name="Обычный 5 105 5" xfId="34503"/>
    <cellStyle name="Обычный 5 106" xfId="2489"/>
    <cellStyle name="Обычный 5 106 2" xfId="7831"/>
    <cellStyle name="Обычный 5 106 2 2" xfId="18511"/>
    <cellStyle name="Обычный 5 106 2 2 2" xfId="50555"/>
    <cellStyle name="Обычный 5 106 2 3" xfId="29192"/>
    <cellStyle name="Обычный 5 106 2 3 2" xfId="61235"/>
    <cellStyle name="Обычный 5 106 2 4" xfId="39875"/>
    <cellStyle name="Обычный 5 106 3" xfId="13171"/>
    <cellStyle name="Обычный 5 106 3 2" xfId="45215"/>
    <cellStyle name="Обычный 5 106 4" xfId="23852"/>
    <cellStyle name="Обычный 5 106 4 2" xfId="55895"/>
    <cellStyle name="Обычный 5 106 5" xfId="34535"/>
    <cellStyle name="Обычный 5 107" xfId="2523"/>
    <cellStyle name="Обычный 5 107 2" xfId="7865"/>
    <cellStyle name="Обычный 5 107 2 2" xfId="18545"/>
    <cellStyle name="Обычный 5 107 2 2 2" xfId="50589"/>
    <cellStyle name="Обычный 5 107 2 3" xfId="29226"/>
    <cellStyle name="Обычный 5 107 2 3 2" xfId="61269"/>
    <cellStyle name="Обычный 5 107 2 4" xfId="39909"/>
    <cellStyle name="Обычный 5 107 3" xfId="13205"/>
    <cellStyle name="Обычный 5 107 3 2" xfId="45249"/>
    <cellStyle name="Обычный 5 107 4" xfId="23886"/>
    <cellStyle name="Обычный 5 107 4 2" xfId="55929"/>
    <cellStyle name="Обычный 5 107 5" xfId="34569"/>
    <cellStyle name="Обычный 5 108" xfId="2555"/>
    <cellStyle name="Обычный 5 108 2" xfId="7897"/>
    <cellStyle name="Обычный 5 108 2 2" xfId="18577"/>
    <cellStyle name="Обычный 5 108 2 2 2" xfId="50621"/>
    <cellStyle name="Обычный 5 108 2 3" xfId="29258"/>
    <cellStyle name="Обычный 5 108 2 3 2" xfId="61301"/>
    <cellStyle name="Обычный 5 108 2 4" xfId="39941"/>
    <cellStyle name="Обычный 5 108 3" xfId="13237"/>
    <cellStyle name="Обычный 5 108 3 2" xfId="45281"/>
    <cellStyle name="Обычный 5 108 4" xfId="23918"/>
    <cellStyle name="Обычный 5 108 4 2" xfId="55961"/>
    <cellStyle name="Обычный 5 108 5" xfId="34601"/>
    <cellStyle name="Обычный 5 109" xfId="2587"/>
    <cellStyle name="Обычный 5 109 2" xfId="7929"/>
    <cellStyle name="Обычный 5 109 2 2" xfId="18609"/>
    <cellStyle name="Обычный 5 109 2 2 2" xfId="50653"/>
    <cellStyle name="Обычный 5 109 2 3" xfId="29290"/>
    <cellStyle name="Обычный 5 109 2 3 2" xfId="61333"/>
    <cellStyle name="Обычный 5 109 2 4" xfId="39973"/>
    <cellStyle name="Обычный 5 109 3" xfId="13269"/>
    <cellStyle name="Обычный 5 109 3 2" xfId="45313"/>
    <cellStyle name="Обычный 5 109 4" xfId="23950"/>
    <cellStyle name="Обычный 5 109 4 2" xfId="55993"/>
    <cellStyle name="Обычный 5 109 5" xfId="34633"/>
    <cellStyle name="Обычный 5 11" xfId="102"/>
    <cellStyle name="Обычный 5 11 2" xfId="570"/>
    <cellStyle name="Обычный 5 11 2 2" xfId="5913"/>
    <cellStyle name="Обычный 5 11 2 2 2" xfId="16593"/>
    <cellStyle name="Обычный 5 11 2 2 2 2" xfId="48637"/>
    <cellStyle name="Обычный 5 11 2 2 3" xfId="27274"/>
    <cellStyle name="Обычный 5 11 2 2 3 2" xfId="59317"/>
    <cellStyle name="Обычный 5 11 2 2 4" xfId="37957"/>
    <cellStyle name="Обычный 5 11 2 3" xfId="11253"/>
    <cellStyle name="Обычный 5 11 2 3 2" xfId="43297"/>
    <cellStyle name="Обычный 5 11 2 4" xfId="21934"/>
    <cellStyle name="Обычный 5 11 2 4 2" xfId="53977"/>
    <cellStyle name="Обычный 5 11 2 5" xfId="32617"/>
    <cellStyle name="Обычный 5 11 3" xfId="5446"/>
    <cellStyle name="Обычный 5 11 3 2" xfId="16126"/>
    <cellStyle name="Обычный 5 11 3 2 2" xfId="48170"/>
    <cellStyle name="Обычный 5 11 3 3" xfId="26807"/>
    <cellStyle name="Обычный 5 11 3 3 2" xfId="58850"/>
    <cellStyle name="Обычный 5 11 3 4" xfId="37490"/>
    <cellStyle name="Обычный 5 11 4" xfId="10786"/>
    <cellStyle name="Обычный 5 11 4 2" xfId="42830"/>
    <cellStyle name="Обычный 5 11 5" xfId="21467"/>
    <cellStyle name="Обычный 5 11 5 2" xfId="53510"/>
    <cellStyle name="Обычный 5 11 6" xfId="32150"/>
    <cellStyle name="Обычный 5 110" xfId="2619"/>
    <cellStyle name="Обычный 5 110 2" xfId="7961"/>
    <cellStyle name="Обычный 5 110 2 2" xfId="18641"/>
    <cellStyle name="Обычный 5 110 2 2 2" xfId="50685"/>
    <cellStyle name="Обычный 5 110 2 3" xfId="29322"/>
    <cellStyle name="Обычный 5 110 2 3 2" xfId="61365"/>
    <cellStyle name="Обычный 5 110 2 4" xfId="40005"/>
    <cellStyle name="Обычный 5 110 3" xfId="13301"/>
    <cellStyle name="Обычный 5 110 3 2" xfId="45345"/>
    <cellStyle name="Обычный 5 110 4" xfId="23982"/>
    <cellStyle name="Обычный 5 110 4 2" xfId="56025"/>
    <cellStyle name="Обычный 5 110 5" xfId="34665"/>
    <cellStyle name="Обычный 5 111" xfId="2651"/>
    <cellStyle name="Обычный 5 111 2" xfId="7993"/>
    <cellStyle name="Обычный 5 111 2 2" xfId="18673"/>
    <cellStyle name="Обычный 5 111 2 2 2" xfId="50717"/>
    <cellStyle name="Обычный 5 111 2 3" xfId="29354"/>
    <cellStyle name="Обычный 5 111 2 3 2" xfId="61397"/>
    <cellStyle name="Обычный 5 111 2 4" xfId="40037"/>
    <cellStyle name="Обычный 5 111 3" xfId="13333"/>
    <cellStyle name="Обычный 5 111 3 2" xfId="45377"/>
    <cellStyle name="Обычный 5 111 4" xfId="24014"/>
    <cellStyle name="Обычный 5 111 4 2" xfId="56057"/>
    <cellStyle name="Обычный 5 111 5" xfId="34697"/>
    <cellStyle name="Обычный 5 112" xfId="2683"/>
    <cellStyle name="Обычный 5 112 2" xfId="8025"/>
    <cellStyle name="Обычный 5 112 2 2" xfId="18705"/>
    <cellStyle name="Обычный 5 112 2 2 2" xfId="50749"/>
    <cellStyle name="Обычный 5 112 2 3" xfId="29386"/>
    <cellStyle name="Обычный 5 112 2 3 2" xfId="61429"/>
    <cellStyle name="Обычный 5 112 2 4" xfId="40069"/>
    <cellStyle name="Обычный 5 112 3" xfId="13365"/>
    <cellStyle name="Обычный 5 112 3 2" xfId="45409"/>
    <cellStyle name="Обычный 5 112 4" xfId="24046"/>
    <cellStyle name="Обычный 5 112 4 2" xfId="56089"/>
    <cellStyle name="Обычный 5 112 5" xfId="34729"/>
    <cellStyle name="Обычный 5 113" xfId="2715"/>
    <cellStyle name="Обычный 5 113 2" xfId="8057"/>
    <cellStyle name="Обычный 5 113 2 2" xfId="18737"/>
    <cellStyle name="Обычный 5 113 2 2 2" xfId="50781"/>
    <cellStyle name="Обычный 5 113 2 3" xfId="29418"/>
    <cellStyle name="Обычный 5 113 2 3 2" xfId="61461"/>
    <cellStyle name="Обычный 5 113 2 4" xfId="40101"/>
    <cellStyle name="Обычный 5 113 3" xfId="13397"/>
    <cellStyle name="Обычный 5 113 3 2" xfId="45441"/>
    <cellStyle name="Обычный 5 113 4" xfId="24078"/>
    <cellStyle name="Обычный 5 113 4 2" xfId="56121"/>
    <cellStyle name="Обычный 5 113 5" xfId="34761"/>
    <cellStyle name="Обычный 5 114" xfId="2749"/>
    <cellStyle name="Обычный 5 114 2" xfId="8091"/>
    <cellStyle name="Обычный 5 114 2 2" xfId="18771"/>
    <cellStyle name="Обычный 5 114 2 2 2" xfId="50815"/>
    <cellStyle name="Обычный 5 114 2 3" xfId="29452"/>
    <cellStyle name="Обычный 5 114 2 3 2" xfId="61495"/>
    <cellStyle name="Обычный 5 114 2 4" xfId="40135"/>
    <cellStyle name="Обычный 5 114 3" xfId="13431"/>
    <cellStyle name="Обычный 5 114 3 2" xfId="45475"/>
    <cellStyle name="Обычный 5 114 4" xfId="24112"/>
    <cellStyle name="Обычный 5 114 4 2" xfId="56155"/>
    <cellStyle name="Обычный 5 114 5" xfId="34795"/>
    <cellStyle name="Обычный 5 115" xfId="2781"/>
    <cellStyle name="Обычный 5 115 2" xfId="8123"/>
    <cellStyle name="Обычный 5 115 2 2" xfId="18803"/>
    <cellStyle name="Обычный 5 115 2 2 2" xfId="50847"/>
    <cellStyle name="Обычный 5 115 2 3" xfId="29484"/>
    <cellStyle name="Обычный 5 115 2 3 2" xfId="61527"/>
    <cellStyle name="Обычный 5 115 2 4" xfId="40167"/>
    <cellStyle name="Обычный 5 115 3" xfId="13463"/>
    <cellStyle name="Обычный 5 115 3 2" xfId="45507"/>
    <cellStyle name="Обычный 5 115 4" xfId="24144"/>
    <cellStyle name="Обычный 5 115 4 2" xfId="56187"/>
    <cellStyle name="Обычный 5 115 5" xfId="34827"/>
    <cellStyle name="Обычный 5 116" xfId="2813"/>
    <cellStyle name="Обычный 5 116 2" xfId="8155"/>
    <cellStyle name="Обычный 5 116 2 2" xfId="18835"/>
    <cellStyle name="Обычный 5 116 2 2 2" xfId="50879"/>
    <cellStyle name="Обычный 5 116 2 3" xfId="29516"/>
    <cellStyle name="Обычный 5 116 2 3 2" xfId="61559"/>
    <cellStyle name="Обычный 5 116 2 4" xfId="40199"/>
    <cellStyle name="Обычный 5 116 3" xfId="13495"/>
    <cellStyle name="Обычный 5 116 3 2" xfId="45539"/>
    <cellStyle name="Обычный 5 116 4" xfId="24176"/>
    <cellStyle name="Обычный 5 116 4 2" xfId="56219"/>
    <cellStyle name="Обычный 5 116 5" xfId="34859"/>
    <cellStyle name="Обычный 5 117" xfId="2845"/>
    <cellStyle name="Обычный 5 117 2" xfId="8187"/>
    <cellStyle name="Обычный 5 117 2 2" xfId="18867"/>
    <cellStyle name="Обычный 5 117 2 2 2" xfId="50911"/>
    <cellStyle name="Обычный 5 117 2 3" xfId="29548"/>
    <cellStyle name="Обычный 5 117 2 3 2" xfId="61591"/>
    <cellStyle name="Обычный 5 117 2 4" xfId="40231"/>
    <cellStyle name="Обычный 5 117 3" xfId="13527"/>
    <cellStyle name="Обычный 5 117 3 2" xfId="45571"/>
    <cellStyle name="Обычный 5 117 4" xfId="24208"/>
    <cellStyle name="Обычный 5 117 4 2" xfId="56251"/>
    <cellStyle name="Обычный 5 117 5" xfId="34891"/>
    <cellStyle name="Обычный 5 118" xfId="2877"/>
    <cellStyle name="Обычный 5 118 2" xfId="8219"/>
    <cellStyle name="Обычный 5 118 2 2" xfId="18899"/>
    <cellStyle name="Обычный 5 118 2 2 2" xfId="50943"/>
    <cellStyle name="Обычный 5 118 2 3" xfId="29580"/>
    <cellStyle name="Обычный 5 118 2 3 2" xfId="61623"/>
    <cellStyle name="Обычный 5 118 2 4" xfId="40263"/>
    <cellStyle name="Обычный 5 118 3" xfId="13559"/>
    <cellStyle name="Обычный 5 118 3 2" xfId="45603"/>
    <cellStyle name="Обычный 5 118 4" xfId="24240"/>
    <cellStyle name="Обычный 5 118 4 2" xfId="56283"/>
    <cellStyle name="Обычный 5 118 5" xfId="34923"/>
    <cellStyle name="Обычный 5 119" xfId="2909"/>
    <cellStyle name="Обычный 5 119 2" xfId="8251"/>
    <cellStyle name="Обычный 5 119 2 2" xfId="18931"/>
    <cellStyle name="Обычный 5 119 2 2 2" xfId="50975"/>
    <cellStyle name="Обычный 5 119 2 3" xfId="29612"/>
    <cellStyle name="Обычный 5 119 2 3 2" xfId="61655"/>
    <cellStyle name="Обычный 5 119 2 4" xfId="40295"/>
    <cellStyle name="Обычный 5 119 3" xfId="13591"/>
    <cellStyle name="Обычный 5 119 3 2" xfId="45635"/>
    <cellStyle name="Обычный 5 119 4" xfId="24272"/>
    <cellStyle name="Обычный 5 119 4 2" xfId="56315"/>
    <cellStyle name="Обычный 5 119 5" xfId="34955"/>
    <cellStyle name="Обычный 5 12" xfId="112"/>
    <cellStyle name="Обычный 5 12 2" xfId="580"/>
    <cellStyle name="Обычный 5 12 2 2" xfId="5923"/>
    <cellStyle name="Обычный 5 12 2 2 2" xfId="16603"/>
    <cellStyle name="Обычный 5 12 2 2 2 2" xfId="48647"/>
    <cellStyle name="Обычный 5 12 2 2 3" xfId="27284"/>
    <cellStyle name="Обычный 5 12 2 2 3 2" xfId="59327"/>
    <cellStyle name="Обычный 5 12 2 2 4" xfId="37967"/>
    <cellStyle name="Обычный 5 12 2 3" xfId="11263"/>
    <cellStyle name="Обычный 5 12 2 3 2" xfId="43307"/>
    <cellStyle name="Обычный 5 12 2 4" xfId="21944"/>
    <cellStyle name="Обычный 5 12 2 4 2" xfId="53987"/>
    <cellStyle name="Обычный 5 12 2 5" xfId="32627"/>
    <cellStyle name="Обычный 5 12 3" xfId="5456"/>
    <cellStyle name="Обычный 5 12 3 2" xfId="16136"/>
    <cellStyle name="Обычный 5 12 3 2 2" xfId="48180"/>
    <cellStyle name="Обычный 5 12 3 3" xfId="26817"/>
    <cellStyle name="Обычный 5 12 3 3 2" xfId="58860"/>
    <cellStyle name="Обычный 5 12 3 4" xfId="37500"/>
    <cellStyle name="Обычный 5 12 4" xfId="10796"/>
    <cellStyle name="Обычный 5 12 4 2" xfId="42840"/>
    <cellStyle name="Обычный 5 12 5" xfId="21477"/>
    <cellStyle name="Обычный 5 12 5 2" xfId="53520"/>
    <cellStyle name="Обычный 5 12 6" xfId="32160"/>
    <cellStyle name="Обычный 5 120" xfId="2941"/>
    <cellStyle name="Обычный 5 120 2" xfId="8283"/>
    <cellStyle name="Обычный 5 120 2 2" xfId="18963"/>
    <cellStyle name="Обычный 5 120 2 2 2" xfId="51007"/>
    <cellStyle name="Обычный 5 120 2 3" xfId="29644"/>
    <cellStyle name="Обычный 5 120 2 3 2" xfId="61687"/>
    <cellStyle name="Обычный 5 120 2 4" xfId="40327"/>
    <cellStyle name="Обычный 5 120 3" xfId="13623"/>
    <cellStyle name="Обычный 5 120 3 2" xfId="45667"/>
    <cellStyle name="Обычный 5 120 4" xfId="24304"/>
    <cellStyle name="Обычный 5 120 4 2" xfId="56347"/>
    <cellStyle name="Обычный 5 120 5" xfId="34987"/>
    <cellStyle name="Обычный 5 121" xfId="2973"/>
    <cellStyle name="Обычный 5 121 2" xfId="8315"/>
    <cellStyle name="Обычный 5 121 2 2" xfId="18995"/>
    <cellStyle name="Обычный 5 121 2 2 2" xfId="51039"/>
    <cellStyle name="Обычный 5 121 2 3" xfId="29676"/>
    <cellStyle name="Обычный 5 121 2 3 2" xfId="61719"/>
    <cellStyle name="Обычный 5 121 2 4" xfId="40359"/>
    <cellStyle name="Обычный 5 121 3" xfId="13655"/>
    <cellStyle name="Обычный 5 121 3 2" xfId="45699"/>
    <cellStyle name="Обычный 5 121 4" xfId="24336"/>
    <cellStyle name="Обычный 5 121 4 2" xfId="56379"/>
    <cellStyle name="Обычный 5 121 5" xfId="35019"/>
    <cellStyle name="Обычный 5 122" xfId="3005"/>
    <cellStyle name="Обычный 5 122 2" xfId="8347"/>
    <cellStyle name="Обычный 5 122 2 2" xfId="19027"/>
    <cellStyle name="Обычный 5 122 2 2 2" xfId="51071"/>
    <cellStyle name="Обычный 5 122 2 3" xfId="29708"/>
    <cellStyle name="Обычный 5 122 2 3 2" xfId="61751"/>
    <cellStyle name="Обычный 5 122 2 4" xfId="40391"/>
    <cellStyle name="Обычный 5 122 3" xfId="13687"/>
    <cellStyle name="Обычный 5 122 3 2" xfId="45731"/>
    <cellStyle name="Обычный 5 122 4" xfId="24368"/>
    <cellStyle name="Обычный 5 122 4 2" xfId="56411"/>
    <cellStyle name="Обычный 5 122 5" xfId="35051"/>
    <cellStyle name="Обычный 5 123" xfId="3037"/>
    <cellStyle name="Обычный 5 123 2" xfId="8379"/>
    <cellStyle name="Обычный 5 123 2 2" xfId="19059"/>
    <cellStyle name="Обычный 5 123 2 2 2" xfId="51103"/>
    <cellStyle name="Обычный 5 123 2 3" xfId="29740"/>
    <cellStyle name="Обычный 5 123 2 3 2" xfId="61783"/>
    <cellStyle name="Обычный 5 123 2 4" xfId="40423"/>
    <cellStyle name="Обычный 5 123 3" xfId="13719"/>
    <cellStyle name="Обычный 5 123 3 2" xfId="45763"/>
    <cellStyle name="Обычный 5 123 4" xfId="24400"/>
    <cellStyle name="Обычный 5 123 4 2" xfId="56443"/>
    <cellStyle name="Обычный 5 123 5" xfId="35083"/>
    <cellStyle name="Обычный 5 124" xfId="3069"/>
    <cellStyle name="Обычный 5 124 2" xfId="8411"/>
    <cellStyle name="Обычный 5 124 2 2" xfId="19091"/>
    <cellStyle name="Обычный 5 124 2 2 2" xfId="51135"/>
    <cellStyle name="Обычный 5 124 2 3" xfId="29772"/>
    <cellStyle name="Обычный 5 124 2 3 2" xfId="61815"/>
    <cellStyle name="Обычный 5 124 2 4" xfId="40455"/>
    <cellStyle name="Обычный 5 124 3" xfId="13751"/>
    <cellStyle name="Обычный 5 124 3 2" xfId="45795"/>
    <cellStyle name="Обычный 5 124 4" xfId="24432"/>
    <cellStyle name="Обычный 5 124 4 2" xfId="56475"/>
    <cellStyle name="Обычный 5 124 5" xfId="35115"/>
    <cellStyle name="Обычный 5 125" xfId="3102"/>
    <cellStyle name="Обычный 5 125 2" xfId="8443"/>
    <cellStyle name="Обычный 5 125 2 2" xfId="19123"/>
    <cellStyle name="Обычный 5 125 2 2 2" xfId="51167"/>
    <cellStyle name="Обычный 5 125 2 3" xfId="29804"/>
    <cellStyle name="Обычный 5 125 2 3 2" xfId="61847"/>
    <cellStyle name="Обычный 5 125 2 4" xfId="40487"/>
    <cellStyle name="Обычный 5 125 3" xfId="13783"/>
    <cellStyle name="Обычный 5 125 3 2" xfId="45827"/>
    <cellStyle name="Обычный 5 125 4" xfId="24464"/>
    <cellStyle name="Обычный 5 125 4 2" xfId="56507"/>
    <cellStyle name="Обычный 5 125 5" xfId="35147"/>
    <cellStyle name="Обычный 5 126" xfId="3134"/>
    <cellStyle name="Обычный 5 126 2" xfId="8475"/>
    <cellStyle name="Обычный 5 126 2 2" xfId="19155"/>
    <cellStyle name="Обычный 5 126 2 2 2" xfId="51199"/>
    <cellStyle name="Обычный 5 126 2 3" xfId="29836"/>
    <cellStyle name="Обычный 5 126 2 3 2" xfId="61879"/>
    <cellStyle name="Обычный 5 126 2 4" xfId="40519"/>
    <cellStyle name="Обычный 5 126 3" xfId="13815"/>
    <cellStyle name="Обычный 5 126 3 2" xfId="45859"/>
    <cellStyle name="Обычный 5 126 4" xfId="24496"/>
    <cellStyle name="Обычный 5 126 4 2" xfId="56539"/>
    <cellStyle name="Обычный 5 126 5" xfId="35179"/>
    <cellStyle name="Обычный 5 127" xfId="3166"/>
    <cellStyle name="Обычный 5 127 2" xfId="8507"/>
    <cellStyle name="Обычный 5 127 2 2" xfId="19187"/>
    <cellStyle name="Обычный 5 127 2 2 2" xfId="51231"/>
    <cellStyle name="Обычный 5 127 2 3" xfId="29868"/>
    <cellStyle name="Обычный 5 127 2 3 2" xfId="61911"/>
    <cellStyle name="Обычный 5 127 2 4" xfId="40551"/>
    <cellStyle name="Обычный 5 127 3" xfId="13847"/>
    <cellStyle name="Обычный 5 127 3 2" xfId="45891"/>
    <cellStyle name="Обычный 5 127 4" xfId="24528"/>
    <cellStyle name="Обычный 5 127 4 2" xfId="56571"/>
    <cellStyle name="Обычный 5 127 5" xfId="35211"/>
    <cellStyle name="Обычный 5 128" xfId="3198"/>
    <cellStyle name="Обычный 5 128 2" xfId="8539"/>
    <cellStyle name="Обычный 5 128 2 2" xfId="19219"/>
    <cellStyle name="Обычный 5 128 2 2 2" xfId="51263"/>
    <cellStyle name="Обычный 5 128 2 3" xfId="29900"/>
    <cellStyle name="Обычный 5 128 2 3 2" xfId="61943"/>
    <cellStyle name="Обычный 5 128 2 4" xfId="40583"/>
    <cellStyle name="Обычный 5 128 3" xfId="13879"/>
    <cellStyle name="Обычный 5 128 3 2" xfId="45923"/>
    <cellStyle name="Обычный 5 128 4" xfId="24560"/>
    <cellStyle name="Обычный 5 128 4 2" xfId="56603"/>
    <cellStyle name="Обычный 5 128 5" xfId="35243"/>
    <cellStyle name="Обычный 5 129" xfId="3230"/>
    <cellStyle name="Обычный 5 129 2" xfId="8571"/>
    <cellStyle name="Обычный 5 129 2 2" xfId="19251"/>
    <cellStyle name="Обычный 5 129 2 2 2" xfId="51295"/>
    <cellStyle name="Обычный 5 129 2 3" xfId="29932"/>
    <cellStyle name="Обычный 5 129 2 3 2" xfId="61975"/>
    <cellStyle name="Обычный 5 129 2 4" xfId="40615"/>
    <cellStyle name="Обычный 5 129 3" xfId="13911"/>
    <cellStyle name="Обычный 5 129 3 2" xfId="45955"/>
    <cellStyle name="Обычный 5 129 4" xfId="24592"/>
    <cellStyle name="Обычный 5 129 4 2" xfId="56635"/>
    <cellStyle name="Обычный 5 129 5" xfId="35275"/>
    <cellStyle name="Обычный 5 13" xfId="122"/>
    <cellStyle name="Обычный 5 13 2" xfId="590"/>
    <cellStyle name="Обычный 5 13 2 2" xfId="5933"/>
    <cellStyle name="Обычный 5 13 2 2 2" xfId="16613"/>
    <cellStyle name="Обычный 5 13 2 2 2 2" xfId="48657"/>
    <cellStyle name="Обычный 5 13 2 2 3" xfId="27294"/>
    <cellStyle name="Обычный 5 13 2 2 3 2" xfId="59337"/>
    <cellStyle name="Обычный 5 13 2 2 4" xfId="37977"/>
    <cellStyle name="Обычный 5 13 2 3" xfId="11273"/>
    <cellStyle name="Обычный 5 13 2 3 2" xfId="43317"/>
    <cellStyle name="Обычный 5 13 2 4" xfId="21954"/>
    <cellStyle name="Обычный 5 13 2 4 2" xfId="53997"/>
    <cellStyle name="Обычный 5 13 2 5" xfId="32637"/>
    <cellStyle name="Обычный 5 13 3" xfId="5466"/>
    <cellStyle name="Обычный 5 13 3 2" xfId="16146"/>
    <cellStyle name="Обычный 5 13 3 2 2" xfId="48190"/>
    <cellStyle name="Обычный 5 13 3 3" xfId="26827"/>
    <cellStyle name="Обычный 5 13 3 3 2" xfId="58870"/>
    <cellStyle name="Обычный 5 13 3 4" xfId="37510"/>
    <cellStyle name="Обычный 5 13 4" xfId="10806"/>
    <cellStyle name="Обычный 5 13 4 2" xfId="42850"/>
    <cellStyle name="Обычный 5 13 5" xfId="21487"/>
    <cellStyle name="Обычный 5 13 5 2" xfId="53530"/>
    <cellStyle name="Обычный 5 13 6" xfId="32170"/>
    <cellStyle name="Обычный 5 130" xfId="3262"/>
    <cellStyle name="Обычный 5 130 2" xfId="8603"/>
    <cellStyle name="Обычный 5 130 2 2" xfId="19283"/>
    <cellStyle name="Обычный 5 130 2 2 2" xfId="51327"/>
    <cellStyle name="Обычный 5 130 2 3" xfId="29964"/>
    <cellStyle name="Обычный 5 130 2 3 2" xfId="62007"/>
    <cellStyle name="Обычный 5 130 2 4" xfId="40647"/>
    <cellStyle name="Обычный 5 130 3" xfId="13943"/>
    <cellStyle name="Обычный 5 130 3 2" xfId="45987"/>
    <cellStyle name="Обычный 5 130 4" xfId="24624"/>
    <cellStyle name="Обычный 5 130 4 2" xfId="56667"/>
    <cellStyle name="Обычный 5 130 5" xfId="35307"/>
    <cellStyle name="Обычный 5 131" xfId="3294"/>
    <cellStyle name="Обычный 5 131 2" xfId="8635"/>
    <cellStyle name="Обычный 5 131 2 2" xfId="19315"/>
    <cellStyle name="Обычный 5 131 2 2 2" xfId="51359"/>
    <cellStyle name="Обычный 5 131 2 3" xfId="29996"/>
    <cellStyle name="Обычный 5 131 2 3 2" xfId="62039"/>
    <cellStyle name="Обычный 5 131 2 4" xfId="40679"/>
    <cellStyle name="Обычный 5 131 3" xfId="13975"/>
    <cellStyle name="Обычный 5 131 3 2" xfId="46019"/>
    <cellStyle name="Обычный 5 131 4" xfId="24656"/>
    <cellStyle name="Обычный 5 131 4 2" xfId="56699"/>
    <cellStyle name="Обычный 5 131 5" xfId="35339"/>
    <cellStyle name="Обычный 5 132" xfId="3326"/>
    <cellStyle name="Обычный 5 132 2" xfId="8667"/>
    <cellStyle name="Обычный 5 132 2 2" xfId="19347"/>
    <cellStyle name="Обычный 5 132 2 2 2" xfId="51391"/>
    <cellStyle name="Обычный 5 132 2 3" xfId="30028"/>
    <cellStyle name="Обычный 5 132 2 3 2" xfId="62071"/>
    <cellStyle name="Обычный 5 132 2 4" xfId="40711"/>
    <cellStyle name="Обычный 5 132 3" xfId="14007"/>
    <cellStyle name="Обычный 5 132 3 2" xfId="46051"/>
    <cellStyle name="Обычный 5 132 4" xfId="24688"/>
    <cellStyle name="Обычный 5 132 4 2" xfId="56731"/>
    <cellStyle name="Обычный 5 132 5" xfId="35371"/>
    <cellStyle name="Обычный 5 133" xfId="3358"/>
    <cellStyle name="Обычный 5 133 2" xfId="8699"/>
    <cellStyle name="Обычный 5 133 2 2" xfId="19379"/>
    <cellStyle name="Обычный 5 133 2 2 2" xfId="51423"/>
    <cellStyle name="Обычный 5 133 2 3" xfId="30060"/>
    <cellStyle name="Обычный 5 133 2 3 2" xfId="62103"/>
    <cellStyle name="Обычный 5 133 2 4" xfId="40743"/>
    <cellStyle name="Обычный 5 133 3" xfId="14039"/>
    <cellStyle name="Обычный 5 133 3 2" xfId="46083"/>
    <cellStyle name="Обычный 5 133 4" xfId="24720"/>
    <cellStyle name="Обычный 5 133 4 2" xfId="56763"/>
    <cellStyle name="Обычный 5 133 5" xfId="35403"/>
    <cellStyle name="Обычный 5 134" xfId="3390"/>
    <cellStyle name="Обычный 5 134 2" xfId="8731"/>
    <cellStyle name="Обычный 5 134 2 2" xfId="19411"/>
    <cellStyle name="Обычный 5 134 2 2 2" xfId="51455"/>
    <cellStyle name="Обычный 5 134 2 3" xfId="30092"/>
    <cellStyle name="Обычный 5 134 2 3 2" xfId="62135"/>
    <cellStyle name="Обычный 5 134 2 4" xfId="40775"/>
    <cellStyle name="Обычный 5 134 3" xfId="14071"/>
    <cellStyle name="Обычный 5 134 3 2" xfId="46115"/>
    <cellStyle name="Обычный 5 134 4" xfId="24752"/>
    <cellStyle name="Обычный 5 134 4 2" xfId="56795"/>
    <cellStyle name="Обычный 5 134 5" xfId="35435"/>
    <cellStyle name="Обычный 5 135" xfId="3422"/>
    <cellStyle name="Обычный 5 135 2" xfId="8763"/>
    <cellStyle name="Обычный 5 135 2 2" xfId="19443"/>
    <cellStyle name="Обычный 5 135 2 2 2" xfId="51487"/>
    <cellStyle name="Обычный 5 135 2 3" xfId="30124"/>
    <cellStyle name="Обычный 5 135 2 3 2" xfId="62167"/>
    <cellStyle name="Обычный 5 135 2 4" xfId="40807"/>
    <cellStyle name="Обычный 5 135 3" xfId="14103"/>
    <cellStyle name="Обычный 5 135 3 2" xfId="46147"/>
    <cellStyle name="Обычный 5 135 4" xfId="24784"/>
    <cellStyle name="Обычный 5 135 4 2" xfId="56827"/>
    <cellStyle name="Обычный 5 135 5" xfId="35467"/>
    <cellStyle name="Обычный 5 136" xfId="3454"/>
    <cellStyle name="Обычный 5 136 2" xfId="8795"/>
    <cellStyle name="Обычный 5 136 2 2" xfId="19475"/>
    <cellStyle name="Обычный 5 136 2 2 2" xfId="51519"/>
    <cellStyle name="Обычный 5 136 2 3" xfId="30156"/>
    <cellStyle name="Обычный 5 136 2 3 2" xfId="62199"/>
    <cellStyle name="Обычный 5 136 2 4" xfId="40839"/>
    <cellStyle name="Обычный 5 136 3" xfId="14135"/>
    <cellStyle name="Обычный 5 136 3 2" xfId="46179"/>
    <cellStyle name="Обычный 5 136 4" xfId="24816"/>
    <cellStyle name="Обычный 5 136 4 2" xfId="56859"/>
    <cellStyle name="Обычный 5 136 5" xfId="35499"/>
    <cellStyle name="Обычный 5 137" xfId="3486"/>
    <cellStyle name="Обычный 5 137 2" xfId="8827"/>
    <cellStyle name="Обычный 5 137 2 2" xfId="19507"/>
    <cellStyle name="Обычный 5 137 2 2 2" xfId="51551"/>
    <cellStyle name="Обычный 5 137 2 3" xfId="30188"/>
    <cellStyle name="Обычный 5 137 2 3 2" xfId="62231"/>
    <cellStyle name="Обычный 5 137 2 4" xfId="40871"/>
    <cellStyle name="Обычный 5 137 3" xfId="14167"/>
    <cellStyle name="Обычный 5 137 3 2" xfId="46211"/>
    <cellStyle name="Обычный 5 137 4" xfId="24848"/>
    <cellStyle name="Обычный 5 137 4 2" xfId="56891"/>
    <cellStyle name="Обычный 5 137 5" xfId="35531"/>
    <cellStyle name="Обычный 5 138" xfId="3518"/>
    <cellStyle name="Обычный 5 138 2" xfId="8859"/>
    <cellStyle name="Обычный 5 138 2 2" xfId="19539"/>
    <cellStyle name="Обычный 5 138 2 2 2" xfId="51583"/>
    <cellStyle name="Обычный 5 138 2 3" xfId="30220"/>
    <cellStyle name="Обычный 5 138 2 3 2" xfId="62263"/>
    <cellStyle name="Обычный 5 138 2 4" xfId="40903"/>
    <cellStyle name="Обычный 5 138 3" xfId="14199"/>
    <cellStyle name="Обычный 5 138 3 2" xfId="46243"/>
    <cellStyle name="Обычный 5 138 4" xfId="24880"/>
    <cellStyle name="Обычный 5 138 4 2" xfId="56923"/>
    <cellStyle name="Обычный 5 138 5" xfId="35563"/>
    <cellStyle name="Обычный 5 139" xfId="3550"/>
    <cellStyle name="Обычный 5 139 2" xfId="8891"/>
    <cellStyle name="Обычный 5 139 2 2" xfId="19571"/>
    <cellStyle name="Обычный 5 139 2 2 2" xfId="51615"/>
    <cellStyle name="Обычный 5 139 2 3" xfId="30252"/>
    <cellStyle name="Обычный 5 139 2 3 2" xfId="62295"/>
    <cellStyle name="Обычный 5 139 2 4" xfId="40935"/>
    <cellStyle name="Обычный 5 139 3" xfId="14231"/>
    <cellStyle name="Обычный 5 139 3 2" xfId="46275"/>
    <cellStyle name="Обычный 5 139 4" xfId="24912"/>
    <cellStyle name="Обычный 5 139 4 2" xfId="56955"/>
    <cellStyle name="Обычный 5 139 5" xfId="35595"/>
    <cellStyle name="Обычный 5 14" xfId="132"/>
    <cellStyle name="Обычный 5 14 2" xfId="600"/>
    <cellStyle name="Обычный 5 14 2 2" xfId="5943"/>
    <cellStyle name="Обычный 5 14 2 2 2" xfId="16623"/>
    <cellStyle name="Обычный 5 14 2 2 2 2" xfId="48667"/>
    <cellStyle name="Обычный 5 14 2 2 3" xfId="27304"/>
    <cellStyle name="Обычный 5 14 2 2 3 2" xfId="59347"/>
    <cellStyle name="Обычный 5 14 2 2 4" xfId="37987"/>
    <cellStyle name="Обычный 5 14 2 3" xfId="11283"/>
    <cellStyle name="Обычный 5 14 2 3 2" xfId="43327"/>
    <cellStyle name="Обычный 5 14 2 4" xfId="21964"/>
    <cellStyle name="Обычный 5 14 2 4 2" xfId="54007"/>
    <cellStyle name="Обычный 5 14 2 5" xfId="32647"/>
    <cellStyle name="Обычный 5 14 3" xfId="5476"/>
    <cellStyle name="Обычный 5 14 3 2" xfId="16156"/>
    <cellStyle name="Обычный 5 14 3 2 2" xfId="48200"/>
    <cellStyle name="Обычный 5 14 3 3" xfId="26837"/>
    <cellStyle name="Обычный 5 14 3 3 2" xfId="58880"/>
    <cellStyle name="Обычный 5 14 3 4" xfId="37520"/>
    <cellStyle name="Обычный 5 14 4" xfId="10816"/>
    <cellStyle name="Обычный 5 14 4 2" xfId="42860"/>
    <cellStyle name="Обычный 5 14 5" xfId="21497"/>
    <cellStyle name="Обычный 5 14 5 2" xfId="53540"/>
    <cellStyle name="Обычный 5 14 6" xfId="32180"/>
    <cellStyle name="Обычный 5 140" xfId="3582"/>
    <cellStyle name="Обычный 5 140 2" xfId="8923"/>
    <cellStyle name="Обычный 5 140 2 2" xfId="19603"/>
    <cellStyle name="Обычный 5 140 2 2 2" xfId="51647"/>
    <cellStyle name="Обычный 5 140 2 3" xfId="30284"/>
    <cellStyle name="Обычный 5 140 2 3 2" xfId="62327"/>
    <cellStyle name="Обычный 5 140 2 4" xfId="40967"/>
    <cellStyle name="Обычный 5 140 3" xfId="14263"/>
    <cellStyle name="Обычный 5 140 3 2" xfId="46307"/>
    <cellStyle name="Обычный 5 140 4" xfId="24944"/>
    <cellStyle name="Обычный 5 140 4 2" xfId="56987"/>
    <cellStyle name="Обычный 5 140 5" xfId="35627"/>
    <cellStyle name="Обычный 5 141" xfId="3614"/>
    <cellStyle name="Обычный 5 141 2" xfId="8955"/>
    <cellStyle name="Обычный 5 141 2 2" xfId="19635"/>
    <cellStyle name="Обычный 5 141 2 2 2" xfId="51679"/>
    <cellStyle name="Обычный 5 141 2 3" xfId="30316"/>
    <cellStyle name="Обычный 5 141 2 3 2" xfId="62359"/>
    <cellStyle name="Обычный 5 141 2 4" xfId="40999"/>
    <cellStyle name="Обычный 5 141 3" xfId="14295"/>
    <cellStyle name="Обычный 5 141 3 2" xfId="46339"/>
    <cellStyle name="Обычный 5 141 4" xfId="24976"/>
    <cellStyle name="Обычный 5 141 4 2" xfId="57019"/>
    <cellStyle name="Обычный 5 141 5" xfId="35659"/>
    <cellStyle name="Обычный 5 142" xfId="3646"/>
    <cellStyle name="Обычный 5 142 2" xfId="8987"/>
    <cellStyle name="Обычный 5 142 2 2" xfId="19667"/>
    <cellStyle name="Обычный 5 142 2 2 2" xfId="51711"/>
    <cellStyle name="Обычный 5 142 2 3" xfId="30348"/>
    <cellStyle name="Обычный 5 142 2 3 2" xfId="62391"/>
    <cellStyle name="Обычный 5 142 2 4" xfId="41031"/>
    <cellStyle name="Обычный 5 142 3" xfId="14327"/>
    <cellStyle name="Обычный 5 142 3 2" xfId="46371"/>
    <cellStyle name="Обычный 5 142 4" xfId="25008"/>
    <cellStyle name="Обычный 5 142 4 2" xfId="57051"/>
    <cellStyle name="Обычный 5 142 5" xfId="35691"/>
    <cellStyle name="Обычный 5 143" xfId="3678"/>
    <cellStyle name="Обычный 5 143 2" xfId="9019"/>
    <cellStyle name="Обычный 5 143 2 2" xfId="19699"/>
    <cellStyle name="Обычный 5 143 2 2 2" xfId="51743"/>
    <cellStyle name="Обычный 5 143 2 3" xfId="30380"/>
    <cellStyle name="Обычный 5 143 2 3 2" xfId="62423"/>
    <cellStyle name="Обычный 5 143 2 4" xfId="41063"/>
    <cellStyle name="Обычный 5 143 3" xfId="14359"/>
    <cellStyle name="Обычный 5 143 3 2" xfId="46403"/>
    <cellStyle name="Обычный 5 143 4" xfId="25040"/>
    <cellStyle name="Обычный 5 143 4 2" xfId="57083"/>
    <cellStyle name="Обычный 5 143 5" xfId="35723"/>
    <cellStyle name="Обычный 5 144" xfId="3710"/>
    <cellStyle name="Обычный 5 144 2" xfId="9051"/>
    <cellStyle name="Обычный 5 144 2 2" xfId="19731"/>
    <cellStyle name="Обычный 5 144 2 2 2" xfId="51775"/>
    <cellStyle name="Обычный 5 144 2 3" xfId="30412"/>
    <cellStyle name="Обычный 5 144 2 3 2" xfId="62455"/>
    <cellStyle name="Обычный 5 144 2 4" xfId="41095"/>
    <cellStyle name="Обычный 5 144 3" xfId="14391"/>
    <cellStyle name="Обычный 5 144 3 2" xfId="46435"/>
    <cellStyle name="Обычный 5 144 4" xfId="25072"/>
    <cellStyle name="Обычный 5 144 4 2" xfId="57115"/>
    <cellStyle name="Обычный 5 144 5" xfId="35755"/>
    <cellStyle name="Обычный 5 145" xfId="3742"/>
    <cellStyle name="Обычный 5 145 2" xfId="9083"/>
    <cellStyle name="Обычный 5 145 2 2" xfId="19763"/>
    <cellStyle name="Обычный 5 145 2 2 2" xfId="51807"/>
    <cellStyle name="Обычный 5 145 2 3" xfId="30444"/>
    <cellStyle name="Обычный 5 145 2 3 2" xfId="62487"/>
    <cellStyle name="Обычный 5 145 2 4" xfId="41127"/>
    <cellStyle name="Обычный 5 145 3" xfId="14423"/>
    <cellStyle name="Обычный 5 145 3 2" xfId="46467"/>
    <cellStyle name="Обычный 5 145 4" xfId="25104"/>
    <cellStyle name="Обычный 5 145 4 2" xfId="57147"/>
    <cellStyle name="Обычный 5 145 5" xfId="35787"/>
    <cellStyle name="Обычный 5 146" xfId="3774"/>
    <cellStyle name="Обычный 5 146 2" xfId="9115"/>
    <cellStyle name="Обычный 5 146 2 2" xfId="19795"/>
    <cellStyle name="Обычный 5 146 2 2 2" xfId="51839"/>
    <cellStyle name="Обычный 5 146 2 3" xfId="30476"/>
    <cellStyle name="Обычный 5 146 2 3 2" xfId="62519"/>
    <cellStyle name="Обычный 5 146 2 4" xfId="41159"/>
    <cellStyle name="Обычный 5 146 3" xfId="14455"/>
    <cellStyle name="Обычный 5 146 3 2" xfId="46499"/>
    <cellStyle name="Обычный 5 146 4" xfId="25136"/>
    <cellStyle name="Обычный 5 146 4 2" xfId="57179"/>
    <cellStyle name="Обычный 5 146 5" xfId="35819"/>
    <cellStyle name="Обычный 5 147" xfId="3806"/>
    <cellStyle name="Обычный 5 147 2" xfId="9147"/>
    <cellStyle name="Обычный 5 147 2 2" xfId="19827"/>
    <cellStyle name="Обычный 5 147 2 2 2" xfId="51871"/>
    <cellStyle name="Обычный 5 147 2 3" xfId="30508"/>
    <cellStyle name="Обычный 5 147 2 3 2" xfId="62551"/>
    <cellStyle name="Обычный 5 147 2 4" xfId="41191"/>
    <cellStyle name="Обычный 5 147 3" xfId="14487"/>
    <cellStyle name="Обычный 5 147 3 2" xfId="46531"/>
    <cellStyle name="Обычный 5 147 4" xfId="25168"/>
    <cellStyle name="Обычный 5 147 4 2" xfId="57211"/>
    <cellStyle name="Обычный 5 147 5" xfId="35851"/>
    <cellStyle name="Обычный 5 148" xfId="3838"/>
    <cellStyle name="Обычный 5 148 2" xfId="9179"/>
    <cellStyle name="Обычный 5 148 2 2" xfId="19859"/>
    <cellStyle name="Обычный 5 148 2 2 2" xfId="51903"/>
    <cellStyle name="Обычный 5 148 2 3" xfId="30540"/>
    <cellStyle name="Обычный 5 148 2 3 2" xfId="62583"/>
    <cellStyle name="Обычный 5 148 2 4" xfId="41223"/>
    <cellStyle name="Обычный 5 148 3" xfId="14519"/>
    <cellStyle name="Обычный 5 148 3 2" xfId="46563"/>
    <cellStyle name="Обычный 5 148 4" xfId="25200"/>
    <cellStyle name="Обычный 5 148 4 2" xfId="57243"/>
    <cellStyle name="Обычный 5 148 5" xfId="35883"/>
    <cellStyle name="Обычный 5 149" xfId="3870"/>
    <cellStyle name="Обычный 5 149 2" xfId="9211"/>
    <cellStyle name="Обычный 5 149 2 2" xfId="19891"/>
    <cellStyle name="Обычный 5 149 2 2 2" xfId="51935"/>
    <cellStyle name="Обычный 5 149 2 3" xfId="30572"/>
    <cellStyle name="Обычный 5 149 2 3 2" xfId="62615"/>
    <cellStyle name="Обычный 5 149 2 4" xfId="41255"/>
    <cellStyle name="Обычный 5 149 3" xfId="14551"/>
    <cellStyle name="Обычный 5 149 3 2" xfId="46595"/>
    <cellStyle name="Обычный 5 149 4" xfId="25232"/>
    <cellStyle name="Обычный 5 149 4 2" xfId="57275"/>
    <cellStyle name="Обычный 5 149 5" xfId="35915"/>
    <cellStyle name="Обычный 5 15" xfId="142"/>
    <cellStyle name="Обычный 5 15 2" xfId="610"/>
    <cellStyle name="Обычный 5 15 2 2" xfId="5953"/>
    <cellStyle name="Обычный 5 15 2 2 2" xfId="16633"/>
    <cellStyle name="Обычный 5 15 2 2 2 2" xfId="48677"/>
    <cellStyle name="Обычный 5 15 2 2 3" xfId="27314"/>
    <cellStyle name="Обычный 5 15 2 2 3 2" xfId="59357"/>
    <cellStyle name="Обычный 5 15 2 2 4" xfId="37997"/>
    <cellStyle name="Обычный 5 15 2 3" xfId="11293"/>
    <cellStyle name="Обычный 5 15 2 3 2" xfId="43337"/>
    <cellStyle name="Обычный 5 15 2 4" xfId="21974"/>
    <cellStyle name="Обычный 5 15 2 4 2" xfId="54017"/>
    <cellStyle name="Обычный 5 15 2 5" xfId="32657"/>
    <cellStyle name="Обычный 5 15 3" xfId="5486"/>
    <cellStyle name="Обычный 5 15 3 2" xfId="16166"/>
    <cellStyle name="Обычный 5 15 3 2 2" xfId="48210"/>
    <cellStyle name="Обычный 5 15 3 3" xfId="26847"/>
    <cellStyle name="Обычный 5 15 3 3 2" xfId="58890"/>
    <cellStyle name="Обычный 5 15 3 4" xfId="37530"/>
    <cellStyle name="Обычный 5 15 4" xfId="10826"/>
    <cellStyle name="Обычный 5 15 4 2" xfId="42870"/>
    <cellStyle name="Обычный 5 15 5" xfId="21507"/>
    <cellStyle name="Обычный 5 15 5 2" xfId="53550"/>
    <cellStyle name="Обычный 5 15 6" xfId="32190"/>
    <cellStyle name="Обычный 5 150" xfId="3902"/>
    <cellStyle name="Обычный 5 150 2" xfId="9243"/>
    <cellStyle name="Обычный 5 150 2 2" xfId="19923"/>
    <cellStyle name="Обычный 5 150 2 2 2" xfId="51967"/>
    <cellStyle name="Обычный 5 150 2 3" xfId="30604"/>
    <cellStyle name="Обычный 5 150 2 3 2" xfId="62647"/>
    <cellStyle name="Обычный 5 150 2 4" xfId="41287"/>
    <cellStyle name="Обычный 5 150 3" xfId="14583"/>
    <cellStyle name="Обычный 5 150 3 2" xfId="46627"/>
    <cellStyle name="Обычный 5 150 4" xfId="25264"/>
    <cellStyle name="Обычный 5 150 4 2" xfId="57307"/>
    <cellStyle name="Обычный 5 150 5" xfId="35947"/>
    <cellStyle name="Обычный 5 151" xfId="3934"/>
    <cellStyle name="Обычный 5 151 2" xfId="9275"/>
    <cellStyle name="Обычный 5 151 2 2" xfId="19955"/>
    <cellStyle name="Обычный 5 151 2 2 2" xfId="51999"/>
    <cellStyle name="Обычный 5 151 2 3" xfId="30636"/>
    <cellStyle name="Обычный 5 151 2 3 2" xfId="62679"/>
    <cellStyle name="Обычный 5 151 2 4" xfId="41319"/>
    <cellStyle name="Обычный 5 151 3" xfId="14615"/>
    <cellStyle name="Обычный 5 151 3 2" xfId="46659"/>
    <cellStyle name="Обычный 5 151 4" xfId="25296"/>
    <cellStyle name="Обычный 5 151 4 2" xfId="57339"/>
    <cellStyle name="Обычный 5 151 5" xfId="35979"/>
    <cellStyle name="Обычный 5 152" xfId="3966"/>
    <cellStyle name="Обычный 5 152 2" xfId="9307"/>
    <cellStyle name="Обычный 5 152 2 2" xfId="19987"/>
    <cellStyle name="Обычный 5 152 2 2 2" xfId="52031"/>
    <cellStyle name="Обычный 5 152 2 3" xfId="30668"/>
    <cellStyle name="Обычный 5 152 2 3 2" xfId="62711"/>
    <cellStyle name="Обычный 5 152 2 4" xfId="41351"/>
    <cellStyle name="Обычный 5 152 3" xfId="14647"/>
    <cellStyle name="Обычный 5 152 3 2" xfId="46691"/>
    <cellStyle name="Обычный 5 152 4" xfId="25328"/>
    <cellStyle name="Обычный 5 152 4 2" xfId="57371"/>
    <cellStyle name="Обычный 5 152 5" xfId="36011"/>
    <cellStyle name="Обычный 5 153" xfId="3998"/>
    <cellStyle name="Обычный 5 153 2" xfId="9339"/>
    <cellStyle name="Обычный 5 153 2 2" xfId="20019"/>
    <cellStyle name="Обычный 5 153 2 2 2" xfId="52063"/>
    <cellStyle name="Обычный 5 153 2 3" xfId="30700"/>
    <cellStyle name="Обычный 5 153 2 3 2" xfId="62743"/>
    <cellStyle name="Обычный 5 153 2 4" xfId="41383"/>
    <cellStyle name="Обычный 5 153 3" xfId="14679"/>
    <cellStyle name="Обычный 5 153 3 2" xfId="46723"/>
    <cellStyle name="Обычный 5 153 4" xfId="25360"/>
    <cellStyle name="Обычный 5 153 4 2" xfId="57403"/>
    <cellStyle name="Обычный 5 153 5" xfId="36043"/>
    <cellStyle name="Обычный 5 154" xfId="4030"/>
    <cellStyle name="Обычный 5 154 2" xfId="9371"/>
    <cellStyle name="Обычный 5 154 2 2" xfId="20051"/>
    <cellStyle name="Обычный 5 154 2 2 2" xfId="52095"/>
    <cellStyle name="Обычный 5 154 2 3" xfId="30732"/>
    <cellStyle name="Обычный 5 154 2 3 2" xfId="62775"/>
    <cellStyle name="Обычный 5 154 2 4" xfId="41415"/>
    <cellStyle name="Обычный 5 154 3" xfId="14711"/>
    <cellStyle name="Обычный 5 154 3 2" xfId="46755"/>
    <cellStyle name="Обычный 5 154 4" xfId="25392"/>
    <cellStyle name="Обычный 5 154 4 2" xfId="57435"/>
    <cellStyle name="Обычный 5 154 5" xfId="36075"/>
    <cellStyle name="Обычный 5 155" xfId="4062"/>
    <cellStyle name="Обычный 5 155 2" xfId="9403"/>
    <cellStyle name="Обычный 5 155 2 2" xfId="20083"/>
    <cellStyle name="Обычный 5 155 2 2 2" xfId="52127"/>
    <cellStyle name="Обычный 5 155 2 3" xfId="30764"/>
    <cellStyle name="Обычный 5 155 2 3 2" xfId="62807"/>
    <cellStyle name="Обычный 5 155 2 4" xfId="41447"/>
    <cellStyle name="Обычный 5 155 3" xfId="14743"/>
    <cellStyle name="Обычный 5 155 3 2" xfId="46787"/>
    <cellStyle name="Обычный 5 155 4" xfId="25424"/>
    <cellStyle name="Обычный 5 155 4 2" xfId="57467"/>
    <cellStyle name="Обычный 5 155 5" xfId="36107"/>
    <cellStyle name="Обычный 5 156" xfId="4094"/>
    <cellStyle name="Обычный 5 156 2" xfId="9435"/>
    <cellStyle name="Обычный 5 156 2 2" xfId="20115"/>
    <cellStyle name="Обычный 5 156 2 2 2" xfId="52159"/>
    <cellStyle name="Обычный 5 156 2 3" xfId="30796"/>
    <cellStyle name="Обычный 5 156 2 3 2" xfId="62839"/>
    <cellStyle name="Обычный 5 156 2 4" xfId="41479"/>
    <cellStyle name="Обычный 5 156 3" xfId="14775"/>
    <cellStyle name="Обычный 5 156 3 2" xfId="46819"/>
    <cellStyle name="Обычный 5 156 4" xfId="25456"/>
    <cellStyle name="Обычный 5 156 4 2" xfId="57499"/>
    <cellStyle name="Обычный 5 156 5" xfId="36139"/>
    <cellStyle name="Обычный 5 157" xfId="4126"/>
    <cellStyle name="Обычный 5 157 2" xfId="9467"/>
    <cellStyle name="Обычный 5 157 2 2" xfId="20147"/>
    <cellStyle name="Обычный 5 157 2 2 2" xfId="52191"/>
    <cellStyle name="Обычный 5 157 2 3" xfId="30828"/>
    <cellStyle name="Обычный 5 157 2 3 2" xfId="62871"/>
    <cellStyle name="Обычный 5 157 2 4" xfId="41511"/>
    <cellStyle name="Обычный 5 157 3" xfId="14807"/>
    <cellStyle name="Обычный 5 157 3 2" xfId="46851"/>
    <cellStyle name="Обычный 5 157 4" xfId="25488"/>
    <cellStyle name="Обычный 5 157 4 2" xfId="57531"/>
    <cellStyle name="Обычный 5 157 5" xfId="36171"/>
    <cellStyle name="Обычный 5 158" xfId="4158"/>
    <cellStyle name="Обычный 5 158 2" xfId="9499"/>
    <cellStyle name="Обычный 5 158 2 2" xfId="20179"/>
    <cellStyle name="Обычный 5 158 2 2 2" xfId="52223"/>
    <cellStyle name="Обычный 5 158 2 3" xfId="30860"/>
    <cellStyle name="Обычный 5 158 2 3 2" xfId="62903"/>
    <cellStyle name="Обычный 5 158 2 4" xfId="41543"/>
    <cellStyle name="Обычный 5 158 3" xfId="14839"/>
    <cellStyle name="Обычный 5 158 3 2" xfId="46883"/>
    <cellStyle name="Обычный 5 158 4" xfId="25520"/>
    <cellStyle name="Обычный 5 158 4 2" xfId="57563"/>
    <cellStyle name="Обычный 5 158 5" xfId="36203"/>
    <cellStyle name="Обычный 5 159" xfId="4190"/>
    <cellStyle name="Обычный 5 159 2" xfId="9531"/>
    <cellStyle name="Обычный 5 159 2 2" xfId="20211"/>
    <cellStyle name="Обычный 5 159 2 2 2" xfId="52255"/>
    <cellStyle name="Обычный 5 159 2 3" xfId="30892"/>
    <cellStyle name="Обычный 5 159 2 3 2" xfId="62935"/>
    <cellStyle name="Обычный 5 159 2 4" xfId="41575"/>
    <cellStyle name="Обычный 5 159 3" xfId="14871"/>
    <cellStyle name="Обычный 5 159 3 2" xfId="46915"/>
    <cellStyle name="Обычный 5 159 4" xfId="25552"/>
    <cellStyle name="Обычный 5 159 4 2" xfId="57595"/>
    <cellStyle name="Обычный 5 159 5" xfId="36235"/>
    <cellStyle name="Обычный 5 16" xfId="152"/>
    <cellStyle name="Обычный 5 16 2" xfId="620"/>
    <cellStyle name="Обычный 5 16 2 2" xfId="5963"/>
    <cellStyle name="Обычный 5 16 2 2 2" xfId="16643"/>
    <cellStyle name="Обычный 5 16 2 2 2 2" xfId="48687"/>
    <cellStyle name="Обычный 5 16 2 2 3" xfId="27324"/>
    <cellStyle name="Обычный 5 16 2 2 3 2" xfId="59367"/>
    <cellStyle name="Обычный 5 16 2 2 4" xfId="38007"/>
    <cellStyle name="Обычный 5 16 2 3" xfId="11303"/>
    <cellStyle name="Обычный 5 16 2 3 2" xfId="43347"/>
    <cellStyle name="Обычный 5 16 2 4" xfId="21984"/>
    <cellStyle name="Обычный 5 16 2 4 2" xfId="54027"/>
    <cellStyle name="Обычный 5 16 2 5" xfId="32667"/>
    <cellStyle name="Обычный 5 16 3" xfId="5496"/>
    <cellStyle name="Обычный 5 16 3 2" xfId="16176"/>
    <cellStyle name="Обычный 5 16 3 2 2" xfId="48220"/>
    <cellStyle name="Обычный 5 16 3 3" xfId="26857"/>
    <cellStyle name="Обычный 5 16 3 3 2" xfId="58900"/>
    <cellStyle name="Обычный 5 16 3 4" xfId="37540"/>
    <cellStyle name="Обычный 5 16 4" xfId="10836"/>
    <cellStyle name="Обычный 5 16 4 2" xfId="42880"/>
    <cellStyle name="Обычный 5 16 5" xfId="21517"/>
    <cellStyle name="Обычный 5 16 5 2" xfId="53560"/>
    <cellStyle name="Обычный 5 16 6" xfId="32200"/>
    <cellStyle name="Обычный 5 160" xfId="4222"/>
    <cellStyle name="Обычный 5 160 2" xfId="9563"/>
    <cellStyle name="Обычный 5 160 2 2" xfId="20243"/>
    <cellStyle name="Обычный 5 160 2 2 2" xfId="52287"/>
    <cellStyle name="Обычный 5 160 2 3" xfId="30924"/>
    <cellStyle name="Обычный 5 160 2 3 2" xfId="62967"/>
    <cellStyle name="Обычный 5 160 2 4" xfId="41607"/>
    <cellStyle name="Обычный 5 160 3" xfId="14903"/>
    <cellStyle name="Обычный 5 160 3 2" xfId="46947"/>
    <cellStyle name="Обычный 5 160 4" xfId="25584"/>
    <cellStyle name="Обычный 5 160 4 2" xfId="57627"/>
    <cellStyle name="Обычный 5 160 5" xfId="36267"/>
    <cellStyle name="Обычный 5 161" xfId="4254"/>
    <cellStyle name="Обычный 5 161 2" xfId="9595"/>
    <cellStyle name="Обычный 5 161 2 2" xfId="20275"/>
    <cellStyle name="Обычный 5 161 2 2 2" xfId="52319"/>
    <cellStyle name="Обычный 5 161 2 3" xfId="30956"/>
    <cellStyle name="Обычный 5 161 2 3 2" xfId="62999"/>
    <cellStyle name="Обычный 5 161 2 4" xfId="41639"/>
    <cellStyle name="Обычный 5 161 3" xfId="14935"/>
    <cellStyle name="Обычный 5 161 3 2" xfId="46979"/>
    <cellStyle name="Обычный 5 161 4" xfId="25616"/>
    <cellStyle name="Обычный 5 161 4 2" xfId="57659"/>
    <cellStyle name="Обычный 5 161 5" xfId="36299"/>
    <cellStyle name="Обычный 5 162" xfId="4286"/>
    <cellStyle name="Обычный 5 162 2" xfId="9627"/>
    <cellStyle name="Обычный 5 162 2 2" xfId="20307"/>
    <cellStyle name="Обычный 5 162 2 2 2" xfId="52351"/>
    <cellStyle name="Обычный 5 162 2 3" xfId="30988"/>
    <cellStyle name="Обычный 5 162 2 3 2" xfId="63031"/>
    <cellStyle name="Обычный 5 162 2 4" xfId="41671"/>
    <cellStyle name="Обычный 5 162 3" xfId="14967"/>
    <cellStyle name="Обычный 5 162 3 2" xfId="47011"/>
    <cellStyle name="Обычный 5 162 4" xfId="25648"/>
    <cellStyle name="Обычный 5 162 4 2" xfId="57691"/>
    <cellStyle name="Обычный 5 162 5" xfId="36331"/>
    <cellStyle name="Обычный 5 163" xfId="4318"/>
    <cellStyle name="Обычный 5 163 2" xfId="9659"/>
    <cellStyle name="Обычный 5 163 2 2" xfId="20339"/>
    <cellStyle name="Обычный 5 163 2 2 2" xfId="52383"/>
    <cellStyle name="Обычный 5 163 2 3" xfId="31020"/>
    <cellStyle name="Обычный 5 163 2 3 2" xfId="63063"/>
    <cellStyle name="Обычный 5 163 2 4" xfId="41703"/>
    <cellStyle name="Обычный 5 163 3" xfId="14999"/>
    <cellStyle name="Обычный 5 163 3 2" xfId="47043"/>
    <cellStyle name="Обычный 5 163 4" xfId="25680"/>
    <cellStyle name="Обычный 5 163 4 2" xfId="57723"/>
    <cellStyle name="Обычный 5 163 5" xfId="36363"/>
    <cellStyle name="Обычный 5 164" xfId="4350"/>
    <cellStyle name="Обычный 5 164 2" xfId="9691"/>
    <cellStyle name="Обычный 5 164 2 2" xfId="20371"/>
    <cellStyle name="Обычный 5 164 2 2 2" xfId="52415"/>
    <cellStyle name="Обычный 5 164 2 3" xfId="31052"/>
    <cellStyle name="Обычный 5 164 2 3 2" xfId="63095"/>
    <cellStyle name="Обычный 5 164 2 4" xfId="41735"/>
    <cellStyle name="Обычный 5 164 3" xfId="15031"/>
    <cellStyle name="Обычный 5 164 3 2" xfId="47075"/>
    <cellStyle name="Обычный 5 164 4" xfId="25712"/>
    <cellStyle name="Обычный 5 164 4 2" xfId="57755"/>
    <cellStyle name="Обычный 5 164 5" xfId="36395"/>
    <cellStyle name="Обычный 5 165" xfId="4382"/>
    <cellStyle name="Обычный 5 165 2" xfId="9723"/>
    <cellStyle name="Обычный 5 165 2 2" xfId="20403"/>
    <cellStyle name="Обычный 5 165 2 2 2" xfId="52447"/>
    <cellStyle name="Обычный 5 165 2 3" xfId="31084"/>
    <cellStyle name="Обычный 5 165 2 3 2" xfId="63127"/>
    <cellStyle name="Обычный 5 165 2 4" xfId="41767"/>
    <cellStyle name="Обычный 5 165 3" xfId="15063"/>
    <cellStyle name="Обычный 5 165 3 2" xfId="47107"/>
    <cellStyle name="Обычный 5 165 4" xfId="25744"/>
    <cellStyle name="Обычный 5 165 4 2" xfId="57787"/>
    <cellStyle name="Обычный 5 165 5" xfId="36427"/>
    <cellStyle name="Обычный 5 166" xfId="4414"/>
    <cellStyle name="Обычный 5 166 2" xfId="9755"/>
    <cellStyle name="Обычный 5 166 2 2" xfId="20435"/>
    <cellStyle name="Обычный 5 166 2 2 2" xfId="52479"/>
    <cellStyle name="Обычный 5 166 2 3" xfId="31116"/>
    <cellStyle name="Обычный 5 166 2 3 2" xfId="63159"/>
    <cellStyle name="Обычный 5 166 2 4" xfId="41799"/>
    <cellStyle name="Обычный 5 166 3" xfId="15095"/>
    <cellStyle name="Обычный 5 166 3 2" xfId="47139"/>
    <cellStyle name="Обычный 5 166 4" xfId="25776"/>
    <cellStyle name="Обычный 5 166 4 2" xfId="57819"/>
    <cellStyle name="Обычный 5 166 5" xfId="36459"/>
    <cellStyle name="Обычный 5 167" xfId="4446"/>
    <cellStyle name="Обычный 5 167 2" xfId="9787"/>
    <cellStyle name="Обычный 5 167 2 2" xfId="20467"/>
    <cellStyle name="Обычный 5 167 2 2 2" xfId="52511"/>
    <cellStyle name="Обычный 5 167 2 3" xfId="31148"/>
    <cellStyle name="Обычный 5 167 2 3 2" xfId="63191"/>
    <cellStyle name="Обычный 5 167 2 4" xfId="41831"/>
    <cellStyle name="Обычный 5 167 3" xfId="15127"/>
    <cellStyle name="Обычный 5 167 3 2" xfId="47171"/>
    <cellStyle name="Обычный 5 167 4" xfId="25808"/>
    <cellStyle name="Обычный 5 167 4 2" xfId="57851"/>
    <cellStyle name="Обычный 5 167 5" xfId="36491"/>
    <cellStyle name="Обычный 5 168" xfId="4478"/>
    <cellStyle name="Обычный 5 168 2" xfId="9819"/>
    <cellStyle name="Обычный 5 168 2 2" xfId="20499"/>
    <cellStyle name="Обычный 5 168 2 2 2" xfId="52543"/>
    <cellStyle name="Обычный 5 168 2 3" xfId="31180"/>
    <cellStyle name="Обычный 5 168 2 3 2" xfId="63223"/>
    <cellStyle name="Обычный 5 168 2 4" xfId="41863"/>
    <cellStyle name="Обычный 5 168 3" xfId="15159"/>
    <cellStyle name="Обычный 5 168 3 2" xfId="47203"/>
    <cellStyle name="Обычный 5 168 4" xfId="25840"/>
    <cellStyle name="Обычный 5 168 4 2" xfId="57883"/>
    <cellStyle name="Обычный 5 168 5" xfId="36523"/>
    <cellStyle name="Обычный 5 169" xfId="4510"/>
    <cellStyle name="Обычный 5 169 2" xfId="9851"/>
    <cellStyle name="Обычный 5 169 2 2" xfId="20531"/>
    <cellStyle name="Обычный 5 169 2 2 2" xfId="52575"/>
    <cellStyle name="Обычный 5 169 2 3" xfId="31212"/>
    <cellStyle name="Обычный 5 169 2 3 2" xfId="63255"/>
    <cellStyle name="Обычный 5 169 2 4" xfId="41895"/>
    <cellStyle name="Обычный 5 169 3" xfId="15191"/>
    <cellStyle name="Обычный 5 169 3 2" xfId="47235"/>
    <cellStyle name="Обычный 5 169 4" xfId="25872"/>
    <cellStyle name="Обычный 5 169 4 2" xfId="57915"/>
    <cellStyle name="Обычный 5 169 5" xfId="36555"/>
    <cellStyle name="Обычный 5 17" xfId="162"/>
    <cellStyle name="Обычный 5 17 2" xfId="630"/>
    <cellStyle name="Обычный 5 17 2 2" xfId="5973"/>
    <cellStyle name="Обычный 5 17 2 2 2" xfId="16653"/>
    <cellStyle name="Обычный 5 17 2 2 2 2" xfId="48697"/>
    <cellStyle name="Обычный 5 17 2 2 3" xfId="27334"/>
    <cellStyle name="Обычный 5 17 2 2 3 2" xfId="59377"/>
    <cellStyle name="Обычный 5 17 2 2 4" xfId="38017"/>
    <cellStyle name="Обычный 5 17 2 3" xfId="11313"/>
    <cellStyle name="Обычный 5 17 2 3 2" xfId="43357"/>
    <cellStyle name="Обычный 5 17 2 4" xfId="21994"/>
    <cellStyle name="Обычный 5 17 2 4 2" xfId="54037"/>
    <cellStyle name="Обычный 5 17 2 5" xfId="32677"/>
    <cellStyle name="Обычный 5 17 3" xfId="5506"/>
    <cellStyle name="Обычный 5 17 3 2" xfId="16186"/>
    <cellStyle name="Обычный 5 17 3 2 2" xfId="48230"/>
    <cellStyle name="Обычный 5 17 3 3" xfId="26867"/>
    <cellStyle name="Обычный 5 17 3 3 2" xfId="58910"/>
    <cellStyle name="Обычный 5 17 3 4" xfId="37550"/>
    <cellStyle name="Обычный 5 17 4" xfId="10846"/>
    <cellStyle name="Обычный 5 17 4 2" xfId="42890"/>
    <cellStyle name="Обычный 5 17 5" xfId="21527"/>
    <cellStyle name="Обычный 5 17 5 2" xfId="53570"/>
    <cellStyle name="Обычный 5 17 6" xfId="32210"/>
    <cellStyle name="Обычный 5 170" xfId="4542"/>
    <cellStyle name="Обычный 5 170 2" xfId="9883"/>
    <cellStyle name="Обычный 5 170 2 2" xfId="20563"/>
    <cellStyle name="Обычный 5 170 2 2 2" xfId="52607"/>
    <cellStyle name="Обычный 5 170 2 3" xfId="31244"/>
    <cellStyle name="Обычный 5 170 2 3 2" xfId="63287"/>
    <cellStyle name="Обычный 5 170 2 4" xfId="41927"/>
    <cellStyle name="Обычный 5 170 3" xfId="15223"/>
    <cellStyle name="Обычный 5 170 3 2" xfId="47267"/>
    <cellStyle name="Обычный 5 170 4" xfId="25904"/>
    <cellStyle name="Обычный 5 170 4 2" xfId="57947"/>
    <cellStyle name="Обычный 5 170 5" xfId="36587"/>
    <cellStyle name="Обычный 5 171" xfId="4574"/>
    <cellStyle name="Обычный 5 171 2" xfId="9915"/>
    <cellStyle name="Обычный 5 171 2 2" xfId="20595"/>
    <cellStyle name="Обычный 5 171 2 2 2" xfId="52639"/>
    <cellStyle name="Обычный 5 171 2 3" xfId="31276"/>
    <cellStyle name="Обычный 5 171 2 3 2" xfId="63319"/>
    <cellStyle name="Обычный 5 171 2 4" xfId="41959"/>
    <cellStyle name="Обычный 5 171 3" xfId="15255"/>
    <cellStyle name="Обычный 5 171 3 2" xfId="47299"/>
    <cellStyle name="Обычный 5 171 4" xfId="25936"/>
    <cellStyle name="Обычный 5 171 4 2" xfId="57979"/>
    <cellStyle name="Обычный 5 171 5" xfId="36619"/>
    <cellStyle name="Обычный 5 172" xfId="4606"/>
    <cellStyle name="Обычный 5 172 2" xfId="9947"/>
    <cellStyle name="Обычный 5 172 2 2" xfId="20627"/>
    <cellStyle name="Обычный 5 172 2 2 2" xfId="52671"/>
    <cellStyle name="Обычный 5 172 2 3" xfId="31308"/>
    <cellStyle name="Обычный 5 172 2 3 2" xfId="63351"/>
    <cellStyle name="Обычный 5 172 2 4" xfId="41991"/>
    <cellStyle name="Обычный 5 172 3" xfId="15287"/>
    <cellStyle name="Обычный 5 172 3 2" xfId="47331"/>
    <cellStyle name="Обычный 5 172 4" xfId="25968"/>
    <cellStyle name="Обычный 5 172 4 2" xfId="58011"/>
    <cellStyle name="Обычный 5 172 5" xfId="36651"/>
    <cellStyle name="Обычный 5 173" xfId="4638"/>
    <cellStyle name="Обычный 5 173 2" xfId="9979"/>
    <cellStyle name="Обычный 5 173 2 2" xfId="20659"/>
    <cellStyle name="Обычный 5 173 2 2 2" xfId="52703"/>
    <cellStyle name="Обычный 5 173 2 3" xfId="31340"/>
    <cellStyle name="Обычный 5 173 2 3 2" xfId="63383"/>
    <cellStyle name="Обычный 5 173 2 4" xfId="42023"/>
    <cellStyle name="Обычный 5 173 3" xfId="15319"/>
    <cellStyle name="Обычный 5 173 3 2" xfId="47363"/>
    <cellStyle name="Обычный 5 173 4" xfId="26000"/>
    <cellStyle name="Обычный 5 173 4 2" xfId="58043"/>
    <cellStyle name="Обычный 5 173 5" xfId="36683"/>
    <cellStyle name="Обычный 5 174" xfId="4670"/>
    <cellStyle name="Обычный 5 174 2" xfId="10011"/>
    <cellStyle name="Обычный 5 174 2 2" xfId="20691"/>
    <cellStyle name="Обычный 5 174 2 2 2" xfId="52735"/>
    <cellStyle name="Обычный 5 174 2 3" xfId="31372"/>
    <cellStyle name="Обычный 5 174 2 3 2" xfId="63415"/>
    <cellStyle name="Обычный 5 174 2 4" xfId="42055"/>
    <cellStyle name="Обычный 5 174 3" xfId="15351"/>
    <cellStyle name="Обычный 5 174 3 2" xfId="47395"/>
    <cellStyle name="Обычный 5 174 4" xfId="26032"/>
    <cellStyle name="Обычный 5 174 4 2" xfId="58075"/>
    <cellStyle name="Обычный 5 174 5" xfId="36715"/>
    <cellStyle name="Обычный 5 175" xfId="4704"/>
    <cellStyle name="Обычный 5 175 2" xfId="10045"/>
    <cellStyle name="Обычный 5 175 2 2" xfId="20725"/>
    <cellStyle name="Обычный 5 175 2 2 2" xfId="52769"/>
    <cellStyle name="Обычный 5 175 2 3" xfId="31406"/>
    <cellStyle name="Обычный 5 175 2 3 2" xfId="63449"/>
    <cellStyle name="Обычный 5 175 2 4" xfId="42089"/>
    <cellStyle name="Обычный 5 175 3" xfId="15385"/>
    <cellStyle name="Обычный 5 175 3 2" xfId="47429"/>
    <cellStyle name="Обычный 5 175 4" xfId="26066"/>
    <cellStyle name="Обычный 5 175 4 2" xfId="58109"/>
    <cellStyle name="Обычный 5 175 5" xfId="36749"/>
    <cellStyle name="Обычный 5 176" xfId="4736"/>
    <cellStyle name="Обычный 5 176 2" xfId="10077"/>
    <cellStyle name="Обычный 5 176 2 2" xfId="20757"/>
    <cellStyle name="Обычный 5 176 2 2 2" xfId="52801"/>
    <cellStyle name="Обычный 5 176 2 3" xfId="31438"/>
    <cellStyle name="Обычный 5 176 2 3 2" xfId="63481"/>
    <cellStyle name="Обычный 5 176 2 4" xfId="42121"/>
    <cellStyle name="Обычный 5 176 3" xfId="15417"/>
    <cellStyle name="Обычный 5 176 3 2" xfId="47461"/>
    <cellStyle name="Обычный 5 176 4" xfId="26098"/>
    <cellStyle name="Обычный 5 176 4 2" xfId="58141"/>
    <cellStyle name="Обычный 5 176 5" xfId="36781"/>
    <cellStyle name="Обычный 5 177" xfId="4768"/>
    <cellStyle name="Обычный 5 177 2" xfId="10109"/>
    <cellStyle name="Обычный 5 177 2 2" xfId="20789"/>
    <cellStyle name="Обычный 5 177 2 2 2" xfId="52833"/>
    <cellStyle name="Обычный 5 177 2 3" xfId="31470"/>
    <cellStyle name="Обычный 5 177 2 3 2" xfId="63513"/>
    <cellStyle name="Обычный 5 177 2 4" xfId="42153"/>
    <cellStyle name="Обычный 5 177 3" xfId="15449"/>
    <cellStyle name="Обычный 5 177 3 2" xfId="47493"/>
    <cellStyle name="Обычный 5 177 4" xfId="26130"/>
    <cellStyle name="Обычный 5 177 4 2" xfId="58173"/>
    <cellStyle name="Обычный 5 177 5" xfId="36813"/>
    <cellStyle name="Обычный 5 178" xfId="4800"/>
    <cellStyle name="Обычный 5 178 2" xfId="10141"/>
    <cellStyle name="Обычный 5 178 2 2" xfId="20821"/>
    <cellStyle name="Обычный 5 178 2 2 2" xfId="52865"/>
    <cellStyle name="Обычный 5 178 2 3" xfId="31502"/>
    <cellStyle name="Обычный 5 178 2 3 2" xfId="63545"/>
    <cellStyle name="Обычный 5 178 2 4" xfId="42185"/>
    <cellStyle name="Обычный 5 178 3" xfId="15481"/>
    <cellStyle name="Обычный 5 178 3 2" xfId="47525"/>
    <cellStyle name="Обычный 5 178 4" xfId="26162"/>
    <cellStyle name="Обычный 5 178 4 2" xfId="58205"/>
    <cellStyle name="Обычный 5 178 5" xfId="36845"/>
    <cellStyle name="Обычный 5 179" xfId="4832"/>
    <cellStyle name="Обычный 5 179 2" xfId="10173"/>
    <cellStyle name="Обычный 5 179 2 2" xfId="20853"/>
    <cellStyle name="Обычный 5 179 2 2 2" xfId="52897"/>
    <cellStyle name="Обычный 5 179 2 3" xfId="31534"/>
    <cellStyle name="Обычный 5 179 2 3 2" xfId="63577"/>
    <cellStyle name="Обычный 5 179 2 4" xfId="42217"/>
    <cellStyle name="Обычный 5 179 3" xfId="15513"/>
    <cellStyle name="Обычный 5 179 3 2" xfId="47557"/>
    <cellStyle name="Обычный 5 179 4" xfId="26194"/>
    <cellStyle name="Обычный 5 179 4 2" xfId="58237"/>
    <cellStyle name="Обычный 5 179 5" xfId="36877"/>
    <cellStyle name="Обычный 5 18" xfId="172"/>
    <cellStyle name="Обычный 5 18 2" xfId="640"/>
    <cellStyle name="Обычный 5 18 2 2" xfId="5983"/>
    <cellStyle name="Обычный 5 18 2 2 2" xfId="16663"/>
    <cellStyle name="Обычный 5 18 2 2 2 2" xfId="48707"/>
    <cellStyle name="Обычный 5 18 2 2 3" xfId="27344"/>
    <cellStyle name="Обычный 5 18 2 2 3 2" xfId="59387"/>
    <cellStyle name="Обычный 5 18 2 2 4" xfId="38027"/>
    <cellStyle name="Обычный 5 18 2 3" xfId="11323"/>
    <cellStyle name="Обычный 5 18 2 3 2" xfId="43367"/>
    <cellStyle name="Обычный 5 18 2 4" xfId="22004"/>
    <cellStyle name="Обычный 5 18 2 4 2" xfId="54047"/>
    <cellStyle name="Обычный 5 18 2 5" xfId="32687"/>
    <cellStyle name="Обычный 5 18 3" xfId="5516"/>
    <cellStyle name="Обычный 5 18 3 2" xfId="16196"/>
    <cellStyle name="Обычный 5 18 3 2 2" xfId="48240"/>
    <cellStyle name="Обычный 5 18 3 3" xfId="26877"/>
    <cellStyle name="Обычный 5 18 3 3 2" xfId="58920"/>
    <cellStyle name="Обычный 5 18 3 4" xfId="37560"/>
    <cellStyle name="Обычный 5 18 4" xfId="10856"/>
    <cellStyle name="Обычный 5 18 4 2" xfId="42900"/>
    <cellStyle name="Обычный 5 18 5" xfId="21537"/>
    <cellStyle name="Обычный 5 18 5 2" xfId="53580"/>
    <cellStyle name="Обычный 5 18 6" xfId="32220"/>
    <cellStyle name="Обычный 5 180" xfId="4864"/>
    <cellStyle name="Обычный 5 180 2" xfId="10205"/>
    <cellStyle name="Обычный 5 180 2 2" xfId="20885"/>
    <cellStyle name="Обычный 5 180 2 2 2" xfId="52929"/>
    <cellStyle name="Обычный 5 180 2 3" xfId="31566"/>
    <cellStyle name="Обычный 5 180 2 3 2" xfId="63609"/>
    <cellStyle name="Обычный 5 180 2 4" xfId="42249"/>
    <cellStyle name="Обычный 5 180 3" xfId="15545"/>
    <cellStyle name="Обычный 5 180 3 2" xfId="47589"/>
    <cellStyle name="Обычный 5 180 4" xfId="26226"/>
    <cellStyle name="Обычный 5 180 4 2" xfId="58269"/>
    <cellStyle name="Обычный 5 180 5" xfId="36909"/>
    <cellStyle name="Обычный 5 181" xfId="4896"/>
    <cellStyle name="Обычный 5 181 2" xfId="10237"/>
    <cellStyle name="Обычный 5 181 2 2" xfId="20917"/>
    <cellStyle name="Обычный 5 181 2 2 2" xfId="52961"/>
    <cellStyle name="Обычный 5 181 2 3" xfId="31598"/>
    <cellStyle name="Обычный 5 181 2 3 2" xfId="63641"/>
    <cellStyle name="Обычный 5 181 2 4" xfId="42281"/>
    <cellStyle name="Обычный 5 181 3" xfId="15577"/>
    <cellStyle name="Обычный 5 181 3 2" xfId="47621"/>
    <cellStyle name="Обычный 5 181 4" xfId="26258"/>
    <cellStyle name="Обычный 5 181 4 2" xfId="58301"/>
    <cellStyle name="Обычный 5 181 5" xfId="36941"/>
    <cellStyle name="Обычный 5 182" xfId="4928"/>
    <cellStyle name="Обычный 5 182 2" xfId="10269"/>
    <cellStyle name="Обычный 5 182 2 2" xfId="20949"/>
    <cellStyle name="Обычный 5 182 2 2 2" xfId="52993"/>
    <cellStyle name="Обычный 5 182 2 3" xfId="31630"/>
    <cellStyle name="Обычный 5 182 2 3 2" xfId="63673"/>
    <cellStyle name="Обычный 5 182 2 4" xfId="42313"/>
    <cellStyle name="Обычный 5 182 3" xfId="15609"/>
    <cellStyle name="Обычный 5 182 3 2" xfId="47653"/>
    <cellStyle name="Обычный 5 182 4" xfId="26290"/>
    <cellStyle name="Обычный 5 182 4 2" xfId="58333"/>
    <cellStyle name="Обычный 5 182 5" xfId="36973"/>
    <cellStyle name="Обычный 5 183" xfId="4960"/>
    <cellStyle name="Обычный 5 183 2" xfId="10301"/>
    <cellStyle name="Обычный 5 183 2 2" xfId="20981"/>
    <cellStyle name="Обычный 5 183 2 2 2" xfId="53025"/>
    <cellStyle name="Обычный 5 183 2 3" xfId="31662"/>
    <cellStyle name="Обычный 5 183 2 3 2" xfId="63705"/>
    <cellStyle name="Обычный 5 183 2 4" xfId="42345"/>
    <cellStyle name="Обычный 5 183 3" xfId="15641"/>
    <cellStyle name="Обычный 5 183 3 2" xfId="47685"/>
    <cellStyle name="Обычный 5 183 4" xfId="26322"/>
    <cellStyle name="Обычный 5 183 4 2" xfId="58365"/>
    <cellStyle name="Обычный 5 183 5" xfId="37005"/>
    <cellStyle name="Обычный 5 184" xfId="4992"/>
    <cellStyle name="Обычный 5 184 2" xfId="10333"/>
    <cellStyle name="Обычный 5 184 2 2" xfId="21013"/>
    <cellStyle name="Обычный 5 184 2 2 2" xfId="53057"/>
    <cellStyle name="Обычный 5 184 2 3" xfId="31694"/>
    <cellStyle name="Обычный 5 184 2 3 2" xfId="63737"/>
    <cellStyle name="Обычный 5 184 2 4" xfId="42377"/>
    <cellStyle name="Обычный 5 184 3" xfId="15673"/>
    <cellStyle name="Обычный 5 184 3 2" xfId="47717"/>
    <cellStyle name="Обычный 5 184 4" xfId="26354"/>
    <cellStyle name="Обычный 5 184 4 2" xfId="58397"/>
    <cellStyle name="Обычный 5 184 5" xfId="37037"/>
    <cellStyle name="Обычный 5 185" xfId="5024"/>
    <cellStyle name="Обычный 5 185 2" xfId="10365"/>
    <cellStyle name="Обычный 5 185 2 2" xfId="21045"/>
    <cellStyle name="Обычный 5 185 2 2 2" xfId="53089"/>
    <cellStyle name="Обычный 5 185 2 3" xfId="31726"/>
    <cellStyle name="Обычный 5 185 2 3 2" xfId="63769"/>
    <cellStyle name="Обычный 5 185 2 4" xfId="42409"/>
    <cellStyle name="Обычный 5 185 3" xfId="15705"/>
    <cellStyle name="Обычный 5 185 3 2" xfId="47749"/>
    <cellStyle name="Обычный 5 185 4" xfId="26386"/>
    <cellStyle name="Обычный 5 185 4 2" xfId="58429"/>
    <cellStyle name="Обычный 5 185 5" xfId="37069"/>
    <cellStyle name="Обычный 5 186" xfId="5056"/>
    <cellStyle name="Обычный 5 186 2" xfId="10397"/>
    <cellStyle name="Обычный 5 186 2 2" xfId="21077"/>
    <cellStyle name="Обычный 5 186 2 2 2" xfId="53121"/>
    <cellStyle name="Обычный 5 186 2 3" xfId="31758"/>
    <cellStyle name="Обычный 5 186 2 3 2" xfId="63801"/>
    <cellStyle name="Обычный 5 186 2 4" xfId="42441"/>
    <cellStyle name="Обычный 5 186 3" xfId="15737"/>
    <cellStyle name="Обычный 5 186 3 2" xfId="47781"/>
    <cellStyle name="Обычный 5 186 4" xfId="26418"/>
    <cellStyle name="Обычный 5 186 4 2" xfId="58461"/>
    <cellStyle name="Обычный 5 186 5" xfId="37101"/>
    <cellStyle name="Обычный 5 187" xfId="5088"/>
    <cellStyle name="Обычный 5 187 2" xfId="10429"/>
    <cellStyle name="Обычный 5 187 2 2" xfId="21109"/>
    <cellStyle name="Обычный 5 187 2 2 2" xfId="53153"/>
    <cellStyle name="Обычный 5 187 2 3" xfId="31790"/>
    <cellStyle name="Обычный 5 187 2 3 2" xfId="63833"/>
    <cellStyle name="Обычный 5 187 2 4" xfId="42473"/>
    <cellStyle name="Обычный 5 187 3" xfId="15769"/>
    <cellStyle name="Обычный 5 187 3 2" xfId="47813"/>
    <cellStyle name="Обычный 5 187 4" xfId="26450"/>
    <cellStyle name="Обычный 5 187 4 2" xfId="58493"/>
    <cellStyle name="Обычный 5 187 5" xfId="37133"/>
    <cellStyle name="Обычный 5 188" xfId="5120"/>
    <cellStyle name="Обычный 5 188 2" xfId="10461"/>
    <cellStyle name="Обычный 5 188 2 2" xfId="21141"/>
    <cellStyle name="Обычный 5 188 2 2 2" xfId="53185"/>
    <cellStyle name="Обычный 5 188 2 3" xfId="31822"/>
    <cellStyle name="Обычный 5 188 2 3 2" xfId="63865"/>
    <cellStyle name="Обычный 5 188 2 4" xfId="42505"/>
    <cellStyle name="Обычный 5 188 3" xfId="15801"/>
    <cellStyle name="Обычный 5 188 3 2" xfId="47845"/>
    <cellStyle name="Обычный 5 188 4" xfId="26482"/>
    <cellStyle name="Обычный 5 188 4 2" xfId="58525"/>
    <cellStyle name="Обычный 5 188 5" xfId="37165"/>
    <cellStyle name="Обычный 5 189" xfId="5152"/>
    <cellStyle name="Обычный 5 189 2" xfId="10493"/>
    <cellStyle name="Обычный 5 189 2 2" xfId="21173"/>
    <cellStyle name="Обычный 5 189 2 2 2" xfId="53217"/>
    <cellStyle name="Обычный 5 189 2 3" xfId="31854"/>
    <cellStyle name="Обычный 5 189 2 3 2" xfId="63897"/>
    <cellStyle name="Обычный 5 189 2 4" xfId="42537"/>
    <cellStyle name="Обычный 5 189 3" xfId="15833"/>
    <cellStyle name="Обычный 5 189 3 2" xfId="47877"/>
    <cellStyle name="Обычный 5 189 4" xfId="26514"/>
    <cellStyle name="Обычный 5 189 4 2" xfId="58557"/>
    <cellStyle name="Обычный 5 189 5" xfId="37197"/>
    <cellStyle name="Обычный 5 19" xfId="182"/>
    <cellStyle name="Обычный 5 19 2" xfId="650"/>
    <cellStyle name="Обычный 5 19 2 2" xfId="5993"/>
    <cellStyle name="Обычный 5 19 2 2 2" xfId="16673"/>
    <cellStyle name="Обычный 5 19 2 2 2 2" xfId="48717"/>
    <cellStyle name="Обычный 5 19 2 2 3" xfId="27354"/>
    <cellStyle name="Обычный 5 19 2 2 3 2" xfId="59397"/>
    <cellStyle name="Обычный 5 19 2 2 4" xfId="38037"/>
    <cellStyle name="Обычный 5 19 2 3" xfId="11333"/>
    <cellStyle name="Обычный 5 19 2 3 2" xfId="43377"/>
    <cellStyle name="Обычный 5 19 2 4" xfId="22014"/>
    <cellStyle name="Обычный 5 19 2 4 2" xfId="54057"/>
    <cellStyle name="Обычный 5 19 2 5" xfId="32697"/>
    <cellStyle name="Обычный 5 19 3" xfId="5526"/>
    <cellStyle name="Обычный 5 19 3 2" xfId="16206"/>
    <cellStyle name="Обычный 5 19 3 2 2" xfId="48250"/>
    <cellStyle name="Обычный 5 19 3 3" xfId="26887"/>
    <cellStyle name="Обычный 5 19 3 3 2" xfId="58930"/>
    <cellStyle name="Обычный 5 19 3 4" xfId="37570"/>
    <cellStyle name="Обычный 5 19 4" xfId="10866"/>
    <cellStyle name="Обычный 5 19 4 2" xfId="42910"/>
    <cellStyle name="Обычный 5 19 5" xfId="21547"/>
    <cellStyle name="Обычный 5 19 5 2" xfId="53590"/>
    <cellStyle name="Обычный 5 19 6" xfId="32230"/>
    <cellStyle name="Обычный 5 190" xfId="5184"/>
    <cellStyle name="Обычный 5 190 2" xfId="10525"/>
    <cellStyle name="Обычный 5 190 2 2" xfId="21205"/>
    <cellStyle name="Обычный 5 190 2 2 2" xfId="53249"/>
    <cellStyle name="Обычный 5 190 2 3" xfId="31886"/>
    <cellStyle name="Обычный 5 190 2 3 2" xfId="63929"/>
    <cellStyle name="Обычный 5 190 2 4" xfId="42569"/>
    <cellStyle name="Обычный 5 190 3" xfId="15865"/>
    <cellStyle name="Обычный 5 190 3 2" xfId="47909"/>
    <cellStyle name="Обычный 5 190 4" xfId="26546"/>
    <cellStyle name="Обычный 5 190 4 2" xfId="58589"/>
    <cellStyle name="Обычный 5 190 5" xfId="37229"/>
    <cellStyle name="Обычный 5 191" xfId="5216"/>
    <cellStyle name="Обычный 5 191 2" xfId="10557"/>
    <cellStyle name="Обычный 5 191 2 2" xfId="21237"/>
    <cellStyle name="Обычный 5 191 2 2 2" xfId="53281"/>
    <cellStyle name="Обычный 5 191 2 3" xfId="31918"/>
    <cellStyle name="Обычный 5 191 2 3 2" xfId="63961"/>
    <cellStyle name="Обычный 5 191 2 4" xfId="42601"/>
    <cellStyle name="Обычный 5 191 3" xfId="15897"/>
    <cellStyle name="Обычный 5 191 3 2" xfId="47941"/>
    <cellStyle name="Обычный 5 191 4" xfId="26578"/>
    <cellStyle name="Обычный 5 191 4 2" xfId="58621"/>
    <cellStyle name="Обычный 5 191 5" xfId="37261"/>
    <cellStyle name="Обычный 5 192" xfId="5248"/>
    <cellStyle name="Обычный 5 192 2" xfId="10589"/>
    <cellStyle name="Обычный 5 192 2 2" xfId="21269"/>
    <cellStyle name="Обычный 5 192 2 2 2" xfId="53313"/>
    <cellStyle name="Обычный 5 192 2 3" xfId="31950"/>
    <cellStyle name="Обычный 5 192 2 3 2" xfId="63993"/>
    <cellStyle name="Обычный 5 192 2 4" xfId="42633"/>
    <cellStyle name="Обычный 5 192 3" xfId="15929"/>
    <cellStyle name="Обычный 5 192 3 2" xfId="47973"/>
    <cellStyle name="Обычный 5 192 4" xfId="26610"/>
    <cellStyle name="Обычный 5 192 4 2" xfId="58653"/>
    <cellStyle name="Обычный 5 192 5" xfId="37293"/>
    <cellStyle name="Обычный 5 193" xfId="5280"/>
    <cellStyle name="Обычный 5 193 2" xfId="10621"/>
    <cellStyle name="Обычный 5 193 2 2" xfId="21301"/>
    <cellStyle name="Обычный 5 193 2 2 2" xfId="53345"/>
    <cellStyle name="Обычный 5 193 2 3" xfId="31982"/>
    <cellStyle name="Обычный 5 193 2 3 2" xfId="64025"/>
    <cellStyle name="Обычный 5 193 2 4" xfId="42665"/>
    <cellStyle name="Обычный 5 193 3" xfId="15961"/>
    <cellStyle name="Обычный 5 193 3 2" xfId="48005"/>
    <cellStyle name="Обычный 5 193 4" xfId="26642"/>
    <cellStyle name="Обычный 5 193 4 2" xfId="58685"/>
    <cellStyle name="Обычный 5 193 5" xfId="37325"/>
    <cellStyle name="Обычный 5 194" xfId="5312"/>
    <cellStyle name="Обычный 5 194 2" xfId="10653"/>
    <cellStyle name="Обычный 5 194 2 2" xfId="21333"/>
    <cellStyle name="Обычный 5 194 2 2 2" xfId="53377"/>
    <cellStyle name="Обычный 5 194 2 3" xfId="32014"/>
    <cellStyle name="Обычный 5 194 2 3 2" xfId="64057"/>
    <cellStyle name="Обычный 5 194 2 4" xfId="42697"/>
    <cellStyle name="Обычный 5 194 3" xfId="15993"/>
    <cellStyle name="Обычный 5 194 3 2" xfId="48037"/>
    <cellStyle name="Обычный 5 194 4" xfId="26674"/>
    <cellStyle name="Обычный 5 194 4 2" xfId="58717"/>
    <cellStyle name="Обычный 5 194 5" xfId="37357"/>
    <cellStyle name="Обычный 5 195" xfId="5344"/>
    <cellStyle name="Обычный 5 195 2" xfId="10685"/>
    <cellStyle name="Обычный 5 195 2 2" xfId="21365"/>
    <cellStyle name="Обычный 5 195 2 2 2" xfId="53409"/>
    <cellStyle name="Обычный 5 195 2 3" xfId="32046"/>
    <cellStyle name="Обычный 5 195 2 3 2" xfId="64089"/>
    <cellStyle name="Обычный 5 195 2 4" xfId="42729"/>
    <cellStyle name="Обычный 5 195 3" xfId="16025"/>
    <cellStyle name="Обычный 5 195 3 2" xfId="48069"/>
    <cellStyle name="Обычный 5 195 4" xfId="26706"/>
    <cellStyle name="Обычный 5 195 4 2" xfId="58749"/>
    <cellStyle name="Обычный 5 195 5" xfId="37389"/>
    <cellStyle name="Обычный 5 196" xfId="5382"/>
    <cellStyle name="Обычный 5 196 2" xfId="16062"/>
    <cellStyle name="Обычный 5 196 2 2" xfId="48106"/>
    <cellStyle name="Обычный 5 196 3" xfId="26743"/>
    <cellStyle name="Обычный 5 196 3 2" xfId="58786"/>
    <cellStyle name="Обычный 5 196 4" xfId="37426"/>
    <cellStyle name="Обычный 5 197" xfId="10722"/>
    <cellStyle name="Обычный 5 197 2" xfId="42766"/>
    <cellStyle name="Обычный 5 198" xfId="21403"/>
    <cellStyle name="Обычный 5 198 2" xfId="53446"/>
    <cellStyle name="Обычный 5 199" xfId="32086"/>
    <cellStyle name="Обычный 5 2" xfId="52"/>
    <cellStyle name="Обычный 5 2 10" xfId="156"/>
    <cellStyle name="Обычный 5 2 10 2" xfId="624"/>
    <cellStyle name="Обычный 5 2 10 2 2" xfId="5967"/>
    <cellStyle name="Обычный 5 2 10 2 2 2" xfId="16647"/>
    <cellStyle name="Обычный 5 2 10 2 2 2 2" xfId="48691"/>
    <cellStyle name="Обычный 5 2 10 2 2 3" xfId="27328"/>
    <cellStyle name="Обычный 5 2 10 2 2 3 2" xfId="59371"/>
    <cellStyle name="Обычный 5 2 10 2 2 4" xfId="38011"/>
    <cellStyle name="Обычный 5 2 10 2 3" xfId="11307"/>
    <cellStyle name="Обычный 5 2 10 2 3 2" xfId="43351"/>
    <cellStyle name="Обычный 5 2 10 2 4" xfId="21988"/>
    <cellStyle name="Обычный 5 2 10 2 4 2" xfId="54031"/>
    <cellStyle name="Обычный 5 2 10 2 5" xfId="32671"/>
    <cellStyle name="Обычный 5 2 10 3" xfId="5500"/>
    <cellStyle name="Обычный 5 2 10 3 2" xfId="16180"/>
    <cellStyle name="Обычный 5 2 10 3 2 2" xfId="48224"/>
    <cellStyle name="Обычный 5 2 10 3 3" xfId="26861"/>
    <cellStyle name="Обычный 5 2 10 3 3 2" xfId="58904"/>
    <cellStyle name="Обычный 5 2 10 3 4" xfId="37544"/>
    <cellStyle name="Обычный 5 2 10 4" xfId="10840"/>
    <cellStyle name="Обычный 5 2 10 4 2" xfId="42884"/>
    <cellStyle name="Обычный 5 2 10 5" xfId="21521"/>
    <cellStyle name="Обычный 5 2 10 5 2" xfId="53564"/>
    <cellStyle name="Обычный 5 2 10 6" xfId="32204"/>
    <cellStyle name="Обычный 5 2 100" xfId="2493"/>
    <cellStyle name="Обычный 5 2 100 2" xfId="7835"/>
    <cellStyle name="Обычный 5 2 100 2 2" xfId="18515"/>
    <cellStyle name="Обычный 5 2 100 2 2 2" xfId="50559"/>
    <cellStyle name="Обычный 5 2 100 2 3" xfId="29196"/>
    <cellStyle name="Обычный 5 2 100 2 3 2" xfId="61239"/>
    <cellStyle name="Обычный 5 2 100 2 4" xfId="39879"/>
    <cellStyle name="Обычный 5 2 100 3" xfId="13175"/>
    <cellStyle name="Обычный 5 2 100 3 2" xfId="45219"/>
    <cellStyle name="Обычный 5 2 100 4" xfId="23856"/>
    <cellStyle name="Обычный 5 2 100 4 2" xfId="55899"/>
    <cellStyle name="Обычный 5 2 100 5" xfId="34539"/>
    <cellStyle name="Обычный 5 2 101" xfId="2527"/>
    <cellStyle name="Обычный 5 2 101 2" xfId="7869"/>
    <cellStyle name="Обычный 5 2 101 2 2" xfId="18549"/>
    <cellStyle name="Обычный 5 2 101 2 2 2" xfId="50593"/>
    <cellStyle name="Обычный 5 2 101 2 3" xfId="29230"/>
    <cellStyle name="Обычный 5 2 101 2 3 2" xfId="61273"/>
    <cellStyle name="Обычный 5 2 101 2 4" xfId="39913"/>
    <cellStyle name="Обычный 5 2 101 3" xfId="13209"/>
    <cellStyle name="Обычный 5 2 101 3 2" xfId="45253"/>
    <cellStyle name="Обычный 5 2 101 4" xfId="23890"/>
    <cellStyle name="Обычный 5 2 101 4 2" xfId="55933"/>
    <cellStyle name="Обычный 5 2 101 5" xfId="34573"/>
    <cellStyle name="Обычный 5 2 102" xfId="2559"/>
    <cellStyle name="Обычный 5 2 102 2" xfId="7901"/>
    <cellStyle name="Обычный 5 2 102 2 2" xfId="18581"/>
    <cellStyle name="Обычный 5 2 102 2 2 2" xfId="50625"/>
    <cellStyle name="Обычный 5 2 102 2 3" xfId="29262"/>
    <cellStyle name="Обычный 5 2 102 2 3 2" xfId="61305"/>
    <cellStyle name="Обычный 5 2 102 2 4" xfId="39945"/>
    <cellStyle name="Обычный 5 2 102 3" xfId="13241"/>
    <cellStyle name="Обычный 5 2 102 3 2" xfId="45285"/>
    <cellStyle name="Обычный 5 2 102 4" xfId="23922"/>
    <cellStyle name="Обычный 5 2 102 4 2" xfId="55965"/>
    <cellStyle name="Обычный 5 2 102 5" xfId="34605"/>
    <cellStyle name="Обычный 5 2 103" xfId="2591"/>
    <cellStyle name="Обычный 5 2 103 2" xfId="7933"/>
    <cellStyle name="Обычный 5 2 103 2 2" xfId="18613"/>
    <cellStyle name="Обычный 5 2 103 2 2 2" xfId="50657"/>
    <cellStyle name="Обычный 5 2 103 2 3" xfId="29294"/>
    <cellStyle name="Обычный 5 2 103 2 3 2" xfId="61337"/>
    <cellStyle name="Обычный 5 2 103 2 4" xfId="39977"/>
    <cellStyle name="Обычный 5 2 103 3" xfId="13273"/>
    <cellStyle name="Обычный 5 2 103 3 2" xfId="45317"/>
    <cellStyle name="Обычный 5 2 103 4" xfId="23954"/>
    <cellStyle name="Обычный 5 2 103 4 2" xfId="55997"/>
    <cellStyle name="Обычный 5 2 103 5" xfId="34637"/>
    <cellStyle name="Обычный 5 2 104" xfId="2623"/>
    <cellStyle name="Обычный 5 2 104 2" xfId="7965"/>
    <cellStyle name="Обычный 5 2 104 2 2" xfId="18645"/>
    <cellStyle name="Обычный 5 2 104 2 2 2" xfId="50689"/>
    <cellStyle name="Обычный 5 2 104 2 3" xfId="29326"/>
    <cellStyle name="Обычный 5 2 104 2 3 2" xfId="61369"/>
    <cellStyle name="Обычный 5 2 104 2 4" xfId="40009"/>
    <cellStyle name="Обычный 5 2 104 3" xfId="13305"/>
    <cellStyle name="Обычный 5 2 104 3 2" xfId="45349"/>
    <cellStyle name="Обычный 5 2 104 4" xfId="23986"/>
    <cellStyle name="Обычный 5 2 104 4 2" xfId="56029"/>
    <cellStyle name="Обычный 5 2 104 5" xfId="34669"/>
    <cellStyle name="Обычный 5 2 105" xfId="2655"/>
    <cellStyle name="Обычный 5 2 105 2" xfId="7997"/>
    <cellStyle name="Обычный 5 2 105 2 2" xfId="18677"/>
    <cellStyle name="Обычный 5 2 105 2 2 2" xfId="50721"/>
    <cellStyle name="Обычный 5 2 105 2 3" xfId="29358"/>
    <cellStyle name="Обычный 5 2 105 2 3 2" xfId="61401"/>
    <cellStyle name="Обычный 5 2 105 2 4" xfId="40041"/>
    <cellStyle name="Обычный 5 2 105 3" xfId="13337"/>
    <cellStyle name="Обычный 5 2 105 3 2" xfId="45381"/>
    <cellStyle name="Обычный 5 2 105 4" xfId="24018"/>
    <cellStyle name="Обычный 5 2 105 4 2" xfId="56061"/>
    <cellStyle name="Обычный 5 2 105 5" xfId="34701"/>
    <cellStyle name="Обычный 5 2 106" xfId="2687"/>
    <cellStyle name="Обычный 5 2 106 2" xfId="8029"/>
    <cellStyle name="Обычный 5 2 106 2 2" xfId="18709"/>
    <cellStyle name="Обычный 5 2 106 2 2 2" xfId="50753"/>
    <cellStyle name="Обычный 5 2 106 2 3" xfId="29390"/>
    <cellStyle name="Обычный 5 2 106 2 3 2" xfId="61433"/>
    <cellStyle name="Обычный 5 2 106 2 4" xfId="40073"/>
    <cellStyle name="Обычный 5 2 106 3" xfId="13369"/>
    <cellStyle name="Обычный 5 2 106 3 2" xfId="45413"/>
    <cellStyle name="Обычный 5 2 106 4" xfId="24050"/>
    <cellStyle name="Обычный 5 2 106 4 2" xfId="56093"/>
    <cellStyle name="Обычный 5 2 106 5" xfId="34733"/>
    <cellStyle name="Обычный 5 2 107" xfId="2719"/>
    <cellStyle name="Обычный 5 2 107 2" xfId="8061"/>
    <cellStyle name="Обычный 5 2 107 2 2" xfId="18741"/>
    <cellStyle name="Обычный 5 2 107 2 2 2" xfId="50785"/>
    <cellStyle name="Обычный 5 2 107 2 3" xfId="29422"/>
    <cellStyle name="Обычный 5 2 107 2 3 2" xfId="61465"/>
    <cellStyle name="Обычный 5 2 107 2 4" xfId="40105"/>
    <cellStyle name="Обычный 5 2 107 3" xfId="13401"/>
    <cellStyle name="Обычный 5 2 107 3 2" xfId="45445"/>
    <cellStyle name="Обычный 5 2 107 4" xfId="24082"/>
    <cellStyle name="Обычный 5 2 107 4 2" xfId="56125"/>
    <cellStyle name="Обычный 5 2 107 5" xfId="34765"/>
    <cellStyle name="Обычный 5 2 108" xfId="2753"/>
    <cellStyle name="Обычный 5 2 108 2" xfId="8095"/>
    <cellStyle name="Обычный 5 2 108 2 2" xfId="18775"/>
    <cellStyle name="Обычный 5 2 108 2 2 2" xfId="50819"/>
    <cellStyle name="Обычный 5 2 108 2 3" xfId="29456"/>
    <cellStyle name="Обычный 5 2 108 2 3 2" xfId="61499"/>
    <cellStyle name="Обычный 5 2 108 2 4" xfId="40139"/>
    <cellStyle name="Обычный 5 2 108 3" xfId="13435"/>
    <cellStyle name="Обычный 5 2 108 3 2" xfId="45479"/>
    <cellStyle name="Обычный 5 2 108 4" xfId="24116"/>
    <cellStyle name="Обычный 5 2 108 4 2" xfId="56159"/>
    <cellStyle name="Обычный 5 2 108 5" xfId="34799"/>
    <cellStyle name="Обычный 5 2 109" xfId="2785"/>
    <cellStyle name="Обычный 5 2 109 2" xfId="8127"/>
    <cellStyle name="Обычный 5 2 109 2 2" xfId="18807"/>
    <cellStyle name="Обычный 5 2 109 2 2 2" xfId="50851"/>
    <cellStyle name="Обычный 5 2 109 2 3" xfId="29488"/>
    <cellStyle name="Обычный 5 2 109 2 3 2" xfId="61531"/>
    <cellStyle name="Обычный 5 2 109 2 4" xfId="40171"/>
    <cellStyle name="Обычный 5 2 109 3" xfId="13467"/>
    <cellStyle name="Обычный 5 2 109 3 2" xfId="45511"/>
    <cellStyle name="Обычный 5 2 109 4" xfId="24148"/>
    <cellStyle name="Обычный 5 2 109 4 2" xfId="56191"/>
    <cellStyle name="Обычный 5 2 109 5" xfId="34831"/>
    <cellStyle name="Обычный 5 2 11" xfId="166"/>
    <cellStyle name="Обычный 5 2 11 2" xfId="634"/>
    <cellStyle name="Обычный 5 2 11 2 2" xfId="5977"/>
    <cellStyle name="Обычный 5 2 11 2 2 2" xfId="16657"/>
    <cellStyle name="Обычный 5 2 11 2 2 2 2" xfId="48701"/>
    <cellStyle name="Обычный 5 2 11 2 2 3" xfId="27338"/>
    <cellStyle name="Обычный 5 2 11 2 2 3 2" xfId="59381"/>
    <cellStyle name="Обычный 5 2 11 2 2 4" xfId="38021"/>
    <cellStyle name="Обычный 5 2 11 2 3" xfId="11317"/>
    <cellStyle name="Обычный 5 2 11 2 3 2" xfId="43361"/>
    <cellStyle name="Обычный 5 2 11 2 4" xfId="21998"/>
    <cellStyle name="Обычный 5 2 11 2 4 2" xfId="54041"/>
    <cellStyle name="Обычный 5 2 11 2 5" xfId="32681"/>
    <cellStyle name="Обычный 5 2 11 3" xfId="5510"/>
    <cellStyle name="Обычный 5 2 11 3 2" xfId="16190"/>
    <cellStyle name="Обычный 5 2 11 3 2 2" xfId="48234"/>
    <cellStyle name="Обычный 5 2 11 3 3" xfId="26871"/>
    <cellStyle name="Обычный 5 2 11 3 3 2" xfId="58914"/>
    <cellStyle name="Обычный 5 2 11 3 4" xfId="37554"/>
    <cellStyle name="Обычный 5 2 11 4" xfId="10850"/>
    <cellStyle name="Обычный 5 2 11 4 2" xfId="42894"/>
    <cellStyle name="Обычный 5 2 11 5" xfId="21531"/>
    <cellStyle name="Обычный 5 2 11 5 2" xfId="53574"/>
    <cellStyle name="Обычный 5 2 11 6" xfId="32214"/>
    <cellStyle name="Обычный 5 2 110" xfId="2817"/>
    <cellStyle name="Обычный 5 2 110 2" xfId="8159"/>
    <cellStyle name="Обычный 5 2 110 2 2" xfId="18839"/>
    <cellStyle name="Обычный 5 2 110 2 2 2" xfId="50883"/>
    <cellStyle name="Обычный 5 2 110 2 3" xfId="29520"/>
    <cellStyle name="Обычный 5 2 110 2 3 2" xfId="61563"/>
    <cellStyle name="Обычный 5 2 110 2 4" xfId="40203"/>
    <cellStyle name="Обычный 5 2 110 3" xfId="13499"/>
    <cellStyle name="Обычный 5 2 110 3 2" xfId="45543"/>
    <cellStyle name="Обычный 5 2 110 4" xfId="24180"/>
    <cellStyle name="Обычный 5 2 110 4 2" xfId="56223"/>
    <cellStyle name="Обычный 5 2 110 5" xfId="34863"/>
    <cellStyle name="Обычный 5 2 111" xfId="2849"/>
    <cellStyle name="Обычный 5 2 111 2" xfId="8191"/>
    <cellStyle name="Обычный 5 2 111 2 2" xfId="18871"/>
    <cellStyle name="Обычный 5 2 111 2 2 2" xfId="50915"/>
    <cellStyle name="Обычный 5 2 111 2 3" xfId="29552"/>
    <cellStyle name="Обычный 5 2 111 2 3 2" xfId="61595"/>
    <cellStyle name="Обычный 5 2 111 2 4" xfId="40235"/>
    <cellStyle name="Обычный 5 2 111 3" xfId="13531"/>
    <cellStyle name="Обычный 5 2 111 3 2" xfId="45575"/>
    <cellStyle name="Обычный 5 2 111 4" xfId="24212"/>
    <cellStyle name="Обычный 5 2 111 4 2" xfId="56255"/>
    <cellStyle name="Обычный 5 2 111 5" xfId="34895"/>
    <cellStyle name="Обычный 5 2 112" xfId="2881"/>
    <cellStyle name="Обычный 5 2 112 2" xfId="8223"/>
    <cellStyle name="Обычный 5 2 112 2 2" xfId="18903"/>
    <cellStyle name="Обычный 5 2 112 2 2 2" xfId="50947"/>
    <cellStyle name="Обычный 5 2 112 2 3" xfId="29584"/>
    <cellStyle name="Обычный 5 2 112 2 3 2" xfId="61627"/>
    <cellStyle name="Обычный 5 2 112 2 4" xfId="40267"/>
    <cellStyle name="Обычный 5 2 112 3" xfId="13563"/>
    <cellStyle name="Обычный 5 2 112 3 2" xfId="45607"/>
    <cellStyle name="Обычный 5 2 112 4" xfId="24244"/>
    <cellStyle name="Обычный 5 2 112 4 2" xfId="56287"/>
    <cellStyle name="Обычный 5 2 112 5" xfId="34927"/>
    <cellStyle name="Обычный 5 2 113" xfId="2913"/>
    <cellStyle name="Обычный 5 2 113 2" xfId="8255"/>
    <cellStyle name="Обычный 5 2 113 2 2" xfId="18935"/>
    <cellStyle name="Обычный 5 2 113 2 2 2" xfId="50979"/>
    <cellStyle name="Обычный 5 2 113 2 3" xfId="29616"/>
    <cellStyle name="Обычный 5 2 113 2 3 2" xfId="61659"/>
    <cellStyle name="Обычный 5 2 113 2 4" xfId="40299"/>
    <cellStyle name="Обычный 5 2 113 3" xfId="13595"/>
    <cellStyle name="Обычный 5 2 113 3 2" xfId="45639"/>
    <cellStyle name="Обычный 5 2 113 4" xfId="24276"/>
    <cellStyle name="Обычный 5 2 113 4 2" xfId="56319"/>
    <cellStyle name="Обычный 5 2 113 5" xfId="34959"/>
    <cellStyle name="Обычный 5 2 114" xfId="2945"/>
    <cellStyle name="Обычный 5 2 114 2" xfId="8287"/>
    <cellStyle name="Обычный 5 2 114 2 2" xfId="18967"/>
    <cellStyle name="Обычный 5 2 114 2 2 2" xfId="51011"/>
    <cellStyle name="Обычный 5 2 114 2 3" xfId="29648"/>
    <cellStyle name="Обычный 5 2 114 2 3 2" xfId="61691"/>
    <cellStyle name="Обычный 5 2 114 2 4" xfId="40331"/>
    <cellStyle name="Обычный 5 2 114 3" xfId="13627"/>
    <cellStyle name="Обычный 5 2 114 3 2" xfId="45671"/>
    <cellStyle name="Обычный 5 2 114 4" xfId="24308"/>
    <cellStyle name="Обычный 5 2 114 4 2" xfId="56351"/>
    <cellStyle name="Обычный 5 2 114 5" xfId="34991"/>
    <cellStyle name="Обычный 5 2 115" xfId="2977"/>
    <cellStyle name="Обычный 5 2 115 2" xfId="8319"/>
    <cellStyle name="Обычный 5 2 115 2 2" xfId="18999"/>
    <cellStyle name="Обычный 5 2 115 2 2 2" xfId="51043"/>
    <cellStyle name="Обычный 5 2 115 2 3" xfId="29680"/>
    <cellStyle name="Обычный 5 2 115 2 3 2" xfId="61723"/>
    <cellStyle name="Обычный 5 2 115 2 4" xfId="40363"/>
    <cellStyle name="Обычный 5 2 115 3" xfId="13659"/>
    <cellStyle name="Обычный 5 2 115 3 2" xfId="45703"/>
    <cellStyle name="Обычный 5 2 115 4" xfId="24340"/>
    <cellStyle name="Обычный 5 2 115 4 2" xfId="56383"/>
    <cellStyle name="Обычный 5 2 115 5" xfId="35023"/>
    <cellStyle name="Обычный 5 2 116" xfId="3009"/>
    <cellStyle name="Обычный 5 2 116 2" xfId="8351"/>
    <cellStyle name="Обычный 5 2 116 2 2" xfId="19031"/>
    <cellStyle name="Обычный 5 2 116 2 2 2" xfId="51075"/>
    <cellStyle name="Обычный 5 2 116 2 3" xfId="29712"/>
    <cellStyle name="Обычный 5 2 116 2 3 2" xfId="61755"/>
    <cellStyle name="Обычный 5 2 116 2 4" xfId="40395"/>
    <cellStyle name="Обычный 5 2 116 3" xfId="13691"/>
    <cellStyle name="Обычный 5 2 116 3 2" xfId="45735"/>
    <cellStyle name="Обычный 5 2 116 4" xfId="24372"/>
    <cellStyle name="Обычный 5 2 116 4 2" xfId="56415"/>
    <cellStyle name="Обычный 5 2 116 5" xfId="35055"/>
    <cellStyle name="Обычный 5 2 117" xfId="3041"/>
    <cellStyle name="Обычный 5 2 117 2" xfId="8383"/>
    <cellStyle name="Обычный 5 2 117 2 2" xfId="19063"/>
    <cellStyle name="Обычный 5 2 117 2 2 2" xfId="51107"/>
    <cellStyle name="Обычный 5 2 117 2 3" xfId="29744"/>
    <cellStyle name="Обычный 5 2 117 2 3 2" xfId="61787"/>
    <cellStyle name="Обычный 5 2 117 2 4" xfId="40427"/>
    <cellStyle name="Обычный 5 2 117 3" xfId="13723"/>
    <cellStyle name="Обычный 5 2 117 3 2" xfId="45767"/>
    <cellStyle name="Обычный 5 2 117 4" xfId="24404"/>
    <cellStyle name="Обычный 5 2 117 4 2" xfId="56447"/>
    <cellStyle name="Обычный 5 2 117 5" xfId="35087"/>
    <cellStyle name="Обычный 5 2 118" xfId="3073"/>
    <cellStyle name="Обычный 5 2 118 2" xfId="8415"/>
    <cellStyle name="Обычный 5 2 118 2 2" xfId="19095"/>
    <cellStyle name="Обычный 5 2 118 2 2 2" xfId="51139"/>
    <cellStyle name="Обычный 5 2 118 2 3" xfId="29776"/>
    <cellStyle name="Обычный 5 2 118 2 3 2" xfId="61819"/>
    <cellStyle name="Обычный 5 2 118 2 4" xfId="40459"/>
    <cellStyle name="Обычный 5 2 118 3" xfId="13755"/>
    <cellStyle name="Обычный 5 2 118 3 2" xfId="45799"/>
    <cellStyle name="Обычный 5 2 118 4" xfId="24436"/>
    <cellStyle name="Обычный 5 2 118 4 2" xfId="56479"/>
    <cellStyle name="Обычный 5 2 118 5" xfId="35119"/>
    <cellStyle name="Обычный 5 2 119" xfId="3106"/>
    <cellStyle name="Обычный 5 2 119 2" xfId="8447"/>
    <cellStyle name="Обычный 5 2 119 2 2" xfId="19127"/>
    <cellStyle name="Обычный 5 2 119 2 2 2" xfId="51171"/>
    <cellStyle name="Обычный 5 2 119 2 3" xfId="29808"/>
    <cellStyle name="Обычный 5 2 119 2 3 2" xfId="61851"/>
    <cellStyle name="Обычный 5 2 119 2 4" xfId="40491"/>
    <cellStyle name="Обычный 5 2 119 3" xfId="13787"/>
    <cellStyle name="Обычный 5 2 119 3 2" xfId="45831"/>
    <cellStyle name="Обычный 5 2 119 4" xfId="24468"/>
    <cellStyle name="Обычный 5 2 119 4 2" xfId="56511"/>
    <cellStyle name="Обычный 5 2 119 5" xfId="35151"/>
    <cellStyle name="Обычный 5 2 12" xfId="176"/>
    <cellStyle name="Обычный 5 2 12 2" xfId="644"/>
    <cellStyle name="Обычный 5 2 12 2 2" xfId="5987"/>
    <cellStyle name="Обычный 5 2 12 2 2 2" xfId="16667"/>
    <cellStyle name="Обычный 5 2 12 2 2 2 2" xfId="48711"/>
    <cellStyle name="Обычный 5 2 12 2 2 3" xfId="27348"/>
    <cellStyle name="Обычный 5 2 12 2 2 3 2" xfId="59391"/>
    <cellStyle name="Обычный 5 2 12 2 2 4" xfId="38031"/>
    <cellStyle name="Обычный 5 2 12 2 3" xfId="11327"/>
    <cellStyle name="Обычный 5 2 12 2 3 2" xfId="43371"/>
    <cellStyle name="Обычный 5 2 12 2 4" xfId="22008"/>
    <cellStyle name="Обычный 5 2 12 2 4 2" xfId="54051"/>
    <cellStyle name="Обычный 5 2 12 2 5" xfId="32691"/>
    <cellStyle name="Обычный 5 2 12 3" xfId="5520"/>
    <cellStyle name="Обычный 5 2 12 3 2" xfId="16200"/>
    <cellStyle name="Обычный 5 2 12 3 2 2" xfId="48244"/>
    <cellStyle name="Обычный 5 2 12 3 3" xfId="26881"/>
    <cellStyle name="Обычный 5 2 12 3 3 2" xfId="58924"/>
    <cellStyle name="Обычный 5 2 12 3 4" xfId="37564"/>
    <cellStyle name="Обычный 5 2 12 4" xfId="10860"/>
    <cellStyle name="Обычный 5 2 12 4 2" xfId="42904"/>
    <cellStyle name="Обычный 5 2 12 5" xfId="21541"/>
    <cellStyle name="Обычный 5 2 12 5 2" xfId="53584"/>
    <cellStyle name="Обычный 5 2 12 6" xfId="32224"/>
    <cellStyle name="Обычный 5 2 120" xfId="3138"/>
    <cellStyle name="Обычный 5 2 120 2" xfId="8479"/>
    <cellStyle name="Обычный 5 2 120 2 2" xfId="19159"/>
    <cellStyle name="Обычный 5 2 120 2 2 2" xfId="51203"/>
    <cellStyle name="Обычный 5 2 120 2 3" xfId="29840"/>
    <cellStyle name="Обычный 5 2 120 2 3 2" xfId="61883"/>
    <cellStyle name="Обычный 5 2 120 2 4" xfId="40523"/>
    <cellStyle name="Обычный 5 2 120 3" xfId="13819"/>
    <cellStyle name="Обычный 5 2 120 3 2" xfId="45863"/>
    <cellStyle name="Обычный 5 2 120 4" xfId="24500"/>
    <cellStyle name="Обычный 5 2 120 4 2" xfId="56543"/>
    <cellStyle name="Обычный 5 2 120 5" xfId="35183"/>
    <cellStyle name="Обычный 5 2 121" xfId="3170"/>
    <cellStyle name="Обычный 5 2 121 2" xfId="8511"/>
    <cellStyle name="Обычный 5 2 121 2 2" xfId="19191"/>
    <cellStyle name="Обычный 5 2 121 2 2 2" xfId="51235"/>
    <cellStyle name="Обычный 5 2 121 2 3" xfId="29872"/>
    <cellStyle name="Обычный 5 2 121 2 3 2" xfId="61915"/>
    <cellStyle name="Обычный 5 2 121 2 4" xfId="40555"/>
    <cellStyle name="Обычный 5 2 121 3" xfId="13851"/>
    <cellStyle name="Обычный 5 2 121 3 2" xfId="45895"/>
    <cellStyle name="Обычный 5 2 121 4" xfId="24532"/>
    <cellStyle name="Обычный 5 2 121 4 2" xfId="56575"/>
    <cellStyle name="Обычный 5 2 121 5" xfId="35215"/>
    <cellStyle name="Обычный 5 2 122" xfId="3202"/>
    <cellStyle name="Обычный 5 2 122 2" xfId="8543"/>
    <cellStyle name="Обычный 5 2 122 2 2" xfId="19223"/>
    <cellStyle name="Обычный 5 2 122 2 2 2" xfId="51267"/>
    <cellStyle name="Обычный 5 2 122 2 3" xfId="29904"/>
    <cellStyle name="Обычный 5 2 122 2 3 2" xfId="61947"/>
    <cellStyle name="Обычный 5 2 122 2 4" xfId="40587"/>
    <cellStyle name="Обычный 5 2 122 3" xfId="13883"/>
    <cellStyle name="Обычный 5 2 122 3 2" xfId="45927"/>
    <cellStyle name="Обычный 5 2 122 4" xfId="24564"/>
    <cellStyle name="Обычный 5 2 122 4 2" xfId="56607"/>
    <cellStyle name="Обычный 5 2 122 5" xfId="35247"/>
    <cellStyle name="Обычный 5 2 123" xfId="3234"/>
    <cellStyle name="Обычный 5 2 123 2" xfId="8575"/>
    <cellStyle name="Обычный 5 2 123 2 2" xfId="19255"/>
    <cellStyle name="Обычный 5 2 123 2 2 2" xfId="51299"/>
    <cellStyle name="Обычный 5 2 123 2 3" xfId="29936"/>
    <cellStyle name="Обычный 5 2 123 2 3 2" xfId="61979"/>
    <cellStyle name="Обычный 5 2 123 2 4" xfId="40619"/>
    <cellStyle name="Обычный 5 2 123 3" xfId="13915"/>
    <cellStyle name="Обычный 5 2 123 3 2" xfId="45959"/>
    <cellStyle name="Обычный 5 2 123 4" xfId="24596"/>
    <cellStyle name="Обычный 5 2 123 4 2" xfId="56639"/>
    <cellStyle name="Обычный 5 2 123 5" xfId="35279"/>
    <cellStyle name="Обычный 5 2 124" xfId="3266"/>
    <cellStyle name="Обычный 5 2 124 2" xfId="8607"/>
    <cellStyle name="Обычный 5 2 124 2 2" xfId="19287"/>
    <cellStyle name="Обычный 5 2 124 2 2 2" xfId="51331"/>
    <cellStyle name="Обычный 5 2 124 2 3" xfId="29968"/>
    <cellStyle name="Обычный 5 2 124 2 3 2" xfId="62011"/>
    <cellStyle name="Обычный 5 2 124 2 4" xfId="40651"/>
    <cellStyle name="Обычный 5 2 124 3" xfId="13947"/>
    <cellStyle name="Обычный 5 2 124 3 2" xfId="45991"/>
    <cellStyle name="Обычный 5 2 124 4" xfId="24628"/>
    <cellStyle name="Обычный 5 2 124 4 2" xfId="56671"/>
    <cellStyle name="Обычный 5 2 124 5" xfId="35311"/>
    <cellStyle name="Обычный 5 2 125" xfId="3298"/>
    <cellStyle name="Обычный 5 2 125 2" xfId="8639"/>
    <cellStyle name="Обычный 5 2 125 2 2" xfId="19319"/>
    <cellStyle name="Обычный 5 2 125 2 2 2" xfId="51363"/>
    <cellStyle name="Обычный 5 2 125 2 3" xfId="30000"/>
    <cellStyle name="Обычный 5 2 125 2 3 2" xfId="62043"/>
    <cellStyle name="Обычный 5 2 125 2 4" xfId="40683"/>
    <cellStyle name="Обычный 5 2 125 3" xfId="13979"/>
    <cellStyle name="Обычный 5 2 125 3 2" xfId="46023"/>
    <cellStyle name="Обычный 5 2 125 4" xfId="24660"/>
    <cellStyle name="Обычный 5 2 125 4 2" xfId="56703"/>
    <cellStyle name="Обычный 5 2 125 5" xfId="35343"/>
    <cellStyle name="Обычный 5 2 126" xfId="3330"/>
    <cellStyle name="Обычный 5 2 126 2" xfId="8671"/>
    <cellStyle name="Обычный 5 2 126 2 2" xfId="19351"/>
    <cellStyle name="Обычный 5 2 126 2 2 2" xfId="51395"/>
    <cellStyle name="Обычный 5 2 126 2 3" xfId="30032"/>
    <cellStyle name="Обычный 5 2 126 2 3 2" xfId="62075"/>
    <cellStyle name="Обычный 5 2 126 2 4" xfId="40715"/>
    <cellStyle name="Обычный 5 2 126 3" xfId="14011"/>
    <cellStyle name="Обычный 5 2 126 3 2" xfId="46055"/>
    <cellStyle name="Обычный 5 2 126 4" xfId="24692"/>
    <cellStyle name="Обычный 5 2 126 4 2" xfId="56735"/>
    <cellStyle name="Обычный 5 2 126 5" xfId="35375"/>
    <cellStyle name="Обычный 5 2 127" xfId="3362"/>
    <cellStyle name="Обычный 5 2 127 2" xfId="8703"/>
    <cellStyle name="Обычный 5 2 127 2 2" xfId="19383"/>
    <cellStyle name="Обычный 5 2 127 2 2 2" xfId="51427"/>
    <cellStyle name="Обычный 5 2 127 2 3" xfId="30064"/>
    <cellStyle name="Обычный 5 2 127 2 3 2" xfId="62107"/>
    <cellStyle name="Обычный 5 2 127 2 4" xfId="40747"/>
    <cellStyle name="Обычный 5 2 127 3" xfId="14043"/>
    <cellStyle name="Обычный 5 2 127 3 2" xfId="46087"/>
    <cellStyle name="Обычный 5 2 127 4" xfId="24724"/>
    <cellStyle name="Обычный 5 2 127 4 2" xfId="56767"/>
    <cellStyle name="Обычный 5 2 127 5" xfId="35407"/>
    <cellStyle name="Обычный 5 2 128" xfId="3394"/>
    <cellStyle name="Обычный 5 2 128 2" xfId="8735"/>
    <cellStyle name="Обычный 5 2 128 2 2" xfId="19415"/>
    <cellStyle name="Обычный 5 2 128 2 2 2" xfId="51459"/>
    <cellStyle name="Обычный 5 2 128 2 3" xfId="30096"/>
    <cellStyle name="Обычный 5 2 128 2 3 2" xfId="62139"/>
    <cellStyle name="Обычный 5 2 128 2 4" xfId="40779"/>
    <cellStyle name="Обычный 5 2 128 3" xfId="14075"/>
    <cellStyle name="Обычный 5 2 128 3 2" xfId="46119"/>
    <cellStyle name="Обычный 5 2 128 4" xfId="24756"/>
    <cellStyle name="Обычный 5 2 128 4 2" xfId="56799"/>
    <cellStyle name="Обычный 5 2 128 5" xfId="35439"/>
    <cellStyle name="Обычный 5 2 129" xfId="3426"/>
    <cellStyle name="Обычный 5 2 129 2" xfId="8767"/>
    <cellStyle name="Обычный 5 2 129 2 2" xfId="19447"/>
    <cellStyle name="Обычный 5 2 129 2 2 2" xfId="51491"/>
    <cellStyle name="Обычный 5 2 129 2 3" xfId="30128"/>
    <cellStyle name="Обычный 5 2 129 2 3 2" xfId="62171"/>
    <cellStyle name="Обычный 5 2 129 2 4" xfId="40811"/>
    <cellStyle name="Обычный 5 2 129 3" xfId="14107"/>
    <cellStyle name="Обычный 5 2 129 3 2" xfId="46151"/>
    <cellStyle name="Обычный 5 2 129 4" xfId="24788"/>
    <cellStyle name="Обычный 5 2 129 4 2" xfId="56831"/>
    <cellStyle name="Обычный 5 2 129 5" xfId="35471"/>
    <cellStyle name="Обычный 5 2 13" xfId="186"/>
    <cellStyle name="Обычный 5 2 13 2" xfId="654"/>
    <cellStyle name="Обычный 5 2 13 2 2" xfId="5997"/>
    <cellStyle name="Обычный 5 2 13 2 2 2" xfId="16677"/>
    <cellStyle name="Обычный 5 2 13 2 2 2 2" xfId="48721"/>
    <cellStyle name="Обычный 5 2 13 2 2 3" xfId="27358"/>
    <cellStyle name="Обычный 5 2 13 2 2 3 2" xfId="59401"/>
    <cellStyle name="Обычный 5 2 13 2 2 4" xfId="38041"/>
    <cellStyle name="Обычный 5 2 13 2 3" xfId="11337"/>
    <cellStyle name="Обычный 5 2 13 2 3 2" xfId="43381"/>
    <cellStyle name="Обычный 5 2 13 2 4" xfId="22018"/>
    <cellStyle name="Обычный 5 2 13 2 4 2" xfId="54061"/>
    <cellStyle name="Обычный 5 2 13 2 5" xfId="32701"/>
    <cellStyle name="Обычный 5 2 13 3" xfId="5530"/>
    <cellStyle name="Обычный 5 2 13 3 2" xfId="16210"/>
    <cellStyle name="Обычный 5 2 13 3 2 2" xfId="48254"/>
    <cellStyle name="Обычный 5 2 13 3 3" xfId="26891"/>
    <cellStyle name="Обычный 5 2 13 3 3 2" xfId="58934"/>
    <cellStyle name="Обычный 5 2 13 3 4" xfId="37574"/>
    <cellStyle name="Обычный 5 2 13 4" xfId="10870"/>
    <cellStyle name="Обычный 5 2 13 4 2" xfId="42914"/>
    <cellStyle name="Обычный 5 2 13 5" xfId="21551"/>
    <cellStyle name="Обычный 5 2 13 5 2" xfId="53594"/>
    <cellStyle name="Обычный 5 2 13 6" xfId="32234"/>
    <cellStyle name="Обычный 5 2 130" xfId="3458"/>
    <cellStyle name="Обычный 5 2 130 2" xfId="8799"/>
    <cellStyle name="Обычный 5 2 130 2 2" xfId="19479"/>
    <cellStyle name="Обычный 5 2 130 2 2 2" xfId="51523"/>
    <cellStyle name="Обычный 5 2 130 2 3" xfId="30160"/>
    <cellStyle name="Обычный 5 2 130 2 3 2" xfId="62203"/>
    <cellStyle name="Обычный 5 2 130 2 4" xfId="40843"/>
    <cellStyle name="Обычный 5 2 130 3" xfId="14139"/>
    <cellStyle name="Обычный 5 2 130 3 2" xfId="46183"/>
    <cellStyle name="Обычный 5 2 130 4" xfId="24820"/>
    <cellStyle name="Обычный 5 2 130 4 2" xfId="56863"/>
    <cellStyle name="Обычный 5 2 130 5" xfId="35503"/>
    <cellStyle name="Обычный 5 2 131" xfId="3490"/>
    <cellStyle name="Обычный 5 2 131 2" xfId="8831"/>
    <cellStyle name="Обычный 5 2 131 2 2" xfId="19511"/>
    <cellStyle name="Обычный 5 2 131 2 2 2" xfId="51555"/>
    <cellStyle name="Обычный 5 2 131 2 3" xfId="30192"/>
    <cellStyle name="Обычный 5 2 131 2 3 2" xfId="62235"/>
    <cellStyle name="Обычный 5 2 131 2 4" xfId="40875"/>
    <cellStyle name="Обычный 5 2 131 3" xfId="14171"/>
    <cellStyle name="Обычный 5 2 131 3 2" xfId="46215"/>
    <cellStyle name="Обычный 5 2 131 4" xfId="24852"/>
    <cellStyle name="Обычный 5 2 131 4 2" xfId="56895"/>
    <cellStyle name="Обычный 5 2 131 5" xfId="35535"/>
    <cellStyle name="Обычный 5 2 132" xfId="3522"/>
    <cellStyle name="Обычный 5 2 132 2" xfId="8863"/>
    <cellStyle name="Обычный 5 2 132 2 2" xfId="19543"/>
    <cellStyle name="Обычный 5 2 132 2 2 2" xfId="51587"/>
    <cellStyle name="Обычный 5 2 132 2 3" xfId="30224"/>
    <cellStyle name="Обычный 5 2 132 2 3 2" xfId="62267"/>
    <cellStyle name="Обычный 5 2 132 2 4" xfId="40907"/>
    <cellStyle name="Обычный 5 2 132 3" xfId="14203"/>
    <cellStyle name="Обычный 5 2 132 3 2" xfId="46247"/>
    <cellStyle name="Обычный 5 2 132 4" xfId="24884"/>
    <cellStyle name="Обычный 5 2 132 4 2" xfId="56927"/>
    <cellStyle name="Обычный 5 2 132 5" xfId="35567"/>
    <cellStyle name="Обычный 5 2 133" xfId="3554"/>
    <cellStyle name="Обычный 5 2 133 2" xfId="8895"/>
    <cellStyle name="Обычный 5 2 133 2 2" xfId="19575"/>
    <cellStyle name="Обычный 5 2 133 2 2 2" xfId="51619"/>
    <cellStyle name="Обычный 5 2 133 2 3" xfId="30256"/>
    <cellStyle name="Обычный 5 2 133 2 3 2" xfId="62299"/>
    <cellStyle name="Обычный 5 2 133 2 4" xfId="40939"/>
    <cellStyle name="Обычный 5 2 133 3" xfId="14235"/>
    <cellStyle name="Обычный 5 2 133 3 2" xfId="46279"/>
    <cellStyle name="Обычный 5 2 133 4" xfId="24916"/>
    <cellStyle name="Обычный 5 2 133 4 2" xfId="56959"/>
    <cellStyle name="Обычный 5 2 133 5" xfId="35599"/>
    <cellStyle name="Обычный 5 2 134" xfId="3586"/>
    <cellStyle name="Обычный 5 2 134 2" xfId="8927"/>
    <cellStyle name="Обычный 5 2 134 2 2" xfId="19607"/>
    <cellStyle name="Обычный 5 2 134 2 2 2" xfId="51651"/>
    <cellStyle name="Обычный 5 2 134 2 3" xfId="30288"/>
    <cellStyle name="Обычный 5 2 134 2 3 2" xfId="62331"/>
    <cellStyle name="Обычный 5 2 134 2 4" xfId="40971"/>
    <cellStyle name="Обычный 5 2 134 3" xfId="14267"/>
    <cellStyle name="Обычный 5 2 134 3 2" xfId="46311"/>
    <cellStyle name="Обычный 5 2 134 4" xfId="24948"/>
    <cellStyle name="Обычный 5 2 134 4 2" xfId="56991"/>
    <cellStyle name="Обычный 5 2 134 5" xfId="35631"/>
    <cellStyle name="Обычный 5 2 135" xfId="3618"/>
    <cellStyle name="Обычный 5 2 135 2" xfId="8959"/>
    <cellStyle name="Обычный 5 2 135 2 2" xfId="19639"/>
    <cellStyle name="Обычный 5 2 135 2 2 2" xfId="51683"/>
    <cellStyle name="Обычный 5 2 135 2 3" xfId="30320"/>
    <cellStyle name="Обычный 5 2 135 2 3 2" xfId="62363"/>
    <cellStyle name="Обычный 5 2 135 2 4" xfId="41003"/>
    <cellStyle name="Обычный 5 2 135 3" xfId="14299"/>
    <cellStyle name="Обычный 5 2 135 3 2" xfId="46343"/>
    <cellStyle name="Обычный 5 2 135 4" xfId="24980"/>
    <cellStyle name="Обычный 5 2 135 4 2" xfId="57023"/>
    <cellStyle name="Обычный 5 2 135 5" xfId="35663"/>
    <cellStyle name="Обычный 5 2 136" xfId="3650"/>
    <cellStyle name="Обычный 5 2 136 2" xfId="8991"/>
    <cellStyle name="Обычный 5 2 136 2 2" xfId="19671"/>
    <cellStyle name="Обычный 5 2 136 2 2 2" xfId="51715"/>
    <cellStyle name="Обычный 5 2 136 2 3" xfId="30352"/>
    <cellStyle name="Обычный 5 2 136 2 3 2" xfId="62395"/>
    <cellStyle name="Обычный 5 2 136 2 4" xfId="41035"/>
    <cellStyle name="Обычный 5 2 136 3" xfId="14331"/>
    <cellStyle name="Обычный 5 2 136 3 2" xfId="46375"/>
    <cellStyle name="Обычный 5 2 136 4" xfId="25012"/>
    <cellStyle name="Обычный 5 2 136 4 2" xfId="57055"/>
    <cellStyle name="Обычный 5 2 136 5" xfId="35695"/>
    <cellStyle name="Обычный 5 2 137" xfId="3682"/>
    <cellStyle name="Обычный 5 2 137 2" xfId="9023"/>
    <cellStyle name="Обычный 5 2 137 2 2" xfId="19703"/>
    <cellStyle name="Обычный 5 2 137 2 2 2" xfId="51747"/>
    <cellStyle name="Обычный 5 2 137 2 3" xfId="30384"/>
    <cellStyle name="Обычный 5 2 137 2 3 2" xfId="62427"/>
    <cellStyle name="Обычный 5 2 137 2 4" xfId="41067"/>
    <cellStyle name="Обычный 5 2 137 3" xfId="14363"/>
    <cellStyle name="Обычный 5 2 137 3 2" xfId="46407"/>
    <cellStyle name="Обычный 5 2 137 4" xfId="25044"/>
    <cellStyle name="Обычный 5 2 137 4 2" xfId="57087"/>
    <cellStyle name="Обычный 5 2 137 5" xfId="35727"/>
    <cellStyle name="Обычный 5 2 138" xfId="3714"/>
    <cellStyle name="Обычный 5 2 138 2" xfId="9055"/>
    <cellStyle name="Обычный 5 2 138 2 2" xfId="19735"/>
    <cellStyle name="Обычный 5 2 138 2 2 2" xfId="51779"/>
    <cellStyle name="Обычный 5 2 138 2 3" xfId="30416"/>
    <cellStyle name="Обычный 5 2 138 2 3 2" xfId="62459"/>
    <cellStyle name="Обычный 5 2 138 2 4" xfId="41099"/>
    <cellStyle name="Обычный 5 2 138 3" xfId="14395"/>
    <cellStyle name="Обычный 5 2 138 3 2" xfId="46439"/>
    <cellStyle name="Обычный 5 2 138 4" xfId="25076"/>
    <cellStyle name="Обычный 5 2 138 4 2" xfId="57119"/>
    <cellStyle name="Обычный 5 2 138 5" xfId="35759"/>
    <cellStyle name="Обычный 5 2 139" xfId="3746"/>
    <cellStyle name="Обычный 5 2 139 2" xfId="9087"/>
    <cellStyle name="Обычный 5 2 139 2 2" xfId="19767"/>
    <cellStyle name="Обычный 5 2 139 2 2 2" xfId="51811"/>
    <cellStyle name="Обычный 5 2 139 2 3" xfId="30448"/>
    <cellStyle name="Обычный 5 2 139 2 3 2" xfId="62491"/>
    <cellStyle name="Обычный 5 2 139 2 4" xfId="41131"/>
    <cellStyle name="Обычный 5 2 139 3" xfId="14427"/>
    <cellStyle name="Обычный 5 2 139 3 2" xfId="46471"/>
    <cellStyle name="Обычный 5 2 139 4" xfId="25108"/>
    <cellStyle name="Обычный 5 2 139 4 2" xfId="57151"/>
    <cellStyle name="Обычный 5 2 139 5" xfId="35791"/>
    <cellStyle name="Обычный 5 2 14" xfId="196"/>
    <cellStyle name="Обычный 5 2 14 2" xfId="664"/>
    <cellStyle name="Обычный 5 2 14 2 2" xfId="6007"/>
    <cellStyle name="Обычный 5 2 14 2 2 2" xfId="16687"/>
    <cellStyle name="Обычный 5 2 14 2 2 2 2" xfId="48731"/>
    <cellStyle name="Обычный 5 2 14 2 2 3" xfId="27368"/>
    <cellStyle name="Обычный 5 2 14 2 2 3 2" xfId="59411"/>
    <cellStyle name="Обычный 5 2 14 2 2 4" xfId="38051"/>
    <cellStyle name="Обычный 5 2 14 2 3" xfId="11347"/>
    <cellStyle name="Обычный 5 2 14 2 3 2" xfId="43391"/>
    <cellStyle name="Обычный 5 2 14 2 4" xfId="22028"/>
    <cellStyle name="Обычный 5 2 14 2 4 2" xfId="54071"/>
    <cellStyle name="Обычный 5 2 14 2 5" xfId="32711"/>
    <cellStyle name="Обычный 5 2 14 3" xfId="5540"/>
    <cellStyle name="Обычный 5 2 14 3 2" xfId="16220"/>
    <cellStyle name="Обычный 5 2 14 3 2 2" xfId="48264"/>
    <cellStyle name="Обычный 5 2 14 3 3" xfId="26901"/>
    <cellStyle name="Обычный 5 2 14 3 3 2" xfId="58944"/>
    <cellStyle name="Обычный 5 2 14 3 4" xfId="37584"/>
    <cellStyle name="Обычный 5 2 14 4" xfId="10880"/>
    <cellStyle name="Обычный 5 2 14 4 2" xfId="42924"/>
    <cellStyle name="Обычный 5 2 14 5" xfId="21561"/>
    <cellStyle name="Обычный 5 2 14 5 2" xfId="53604"/>
    <cellStyle name="Обычный 5 2 14 6" xfId="32244"/>
    <cellStyle name="Обычный 5 2 140" xfId="3778"/>
    <cellStyle name="Обычный 5 2 140 2" xfId="9119"/>
    <cellStyle name="Обычный 5 2 140 2 2" xfId="19799"/>
    <cellStyle name="Обычный 5 2 140 2 2 2" xfId="51843"/>
    <cellStyle name="Обычный 5 2 140 2 3" xfId="30480"/>
    <cellStyle name="Обычный 5 2 140 2 3 2" xfId="62523"/>
    <cellStyle name="Обычный 5 2 140 2 4" xfId="41163"/>
    <cellStyle name="Обычный 5 2 140 3" xfId="14459"/>
    <cellStyle name="Обычный 5 2 140 3 2" xfId="46503"/>
    <cellStyle name="Обычный 5 2 140 4" xfId="25140"/>
    <cellStyle name="Обычный 5 2 140 4 2" xfId="57183"/>
    <cellStyle name="Обычный 5 2 140 5" xfId="35823"/>
    <cellStyle name="Обычный 5 2 141" xfId="3810"/>
    <cellStyle name="Обычный 5 2 141 2" xfId="9151"/>
    <cellStyle name="Обычный 5 2 141 2 2" xfId="19831"/>
    <cellStyle name="Обычный 5 2 141 2 2 2" xfId="51875"/>
    <cellStyle name="Обычный 5 2 141 2 3" xfId="30512"/>
    <cellStyle name="Обычный 5 2 141 2 3 2" xfId="62555"/>
    <cellStyle name="Обычный 5 2 141 2 4" xfId="41195"/>
    <cellStyle name="Обычный 5 2 141 3" xfId="14491"/>
    <cellStyle name="Обычный 5 2 141 3 2" xfId="46535"/>
    <cellStyle name="Обычный 5 2 141 4" xfId="25172"/>
    <cellStyle name="Обычный 5 2 141 4 2" xfId="57215"/>
    <cellStyle name="Обычный 5 2 141 5" xfId="35855"/>
    <cellStyle name="Обычный 5 2 142" xfId="3842"/>
    <cellStyle name="Обычный 5 2 142 2" xfId="9183"/>
    <cellStyle name="Обычный 5 2 142 2 2" xfId="19863"/>
    <cellStyle name="Обычный 5 2 142 2 2 2" xfId="51907"/>
    <cellStyle name="Обычный 5 2 142 2 3" xfId="30544"/>
    <cellStyle name="Обычный 5 2 142 2 3 2" xfId="62587"/>
    <cellStyle name="Обычный 5 2 142 2 4" xfId="41227"/>
    <cellStyle name="Обычный 5 2 142 3" xfId="14523"/>
    <cellStyle name="Обычный 5 2 142 3 2" xfId="46567"/>
    <cellStyle name="Обычный 5 2 142 4" xfId="25204"/>
    <cellStyle name="Обычный 5 2 142 4 2" xfId="57247"/>
    <cellStyle name="Обычный 5 2 142 5" xfId="35887"/>
    <cellStyle name="Обычный 5 2 143" xfId="3874"/>
    <cellStyle name="Обычный 5 2 143 2" xfId="9215"/>
    <cellStyle name="Обычный 5 2 143 2 2" xfId="19895"/>
    <cellStyle name="Обычный 5 2 143 2 2 2" xfId="51939"/>
    <cellStyle name="Обычный 5 2 143 2 3" xfId="30576"/>
    <cellStyle name="Обычный 5 2 143 2 3 2" xfId="62619"/>
    <cellStyle name="Обычный 5 2 143 2 4" xfId="41259"/>
    <cellStyle name="Обычный 5 2 143 3" xfId="14555"/>
    <cellStyle name="Обычный 5 2 143 3 2" xfId="46599"/>
    <cellStyle name="Обычный 5 2 143 4" xfId="25236"/>
    <cellStyle name="Обычный 5 2 143 4 2" xfId="57279"/>
    <cellStyle name="Обычный 5 2 143 5" xfId="35919"/>
    <cellStyle name="Обычный 5 2 144" xfId="3906"/>
    <cellStyle name="Обычный 5 2 144 2" xfId="9247"/>
    <cellStyle name="Обычный 5 2 144 2 2" xfId="19927"/>
    <cellStyle name="Обычный 5 2 144 2 2 2" xfId="51971"/>
    <cellStyle name="Обычный 5 2 144 2 3" xfId="30608"/>
    <cellStyle name="Обычный 5 2 144 2 3 2" xfId="62651"/>
    <cellStyle name="Обычный 5 2 144 2 4" xfId="41291"/>
    <cellStyle name="Обычный 5 2 144 3" xfId="14587"/>
    <cellStyle name="Обычный 5 2 144 3 2" xfId="46631"/>
    <cellStyle name="Обычный 5 2 144 4" xfId="25268"/>
    <cellStyle name="Обычный 5 2 144 4 2" xfId="57311"/>
    <cellStyle name="Обычный 5 2 144 5" xfId="35951"/>
    <cellStyle name="Обычный 5 2 145" xfId="3938"/>
    <cellStyle name="Обычный 5 2 145 2" xfId="9279"/>
    <cellStyle name="Обычный 5 2 145 2 2" xfId="19959"/>
    <cellStyle name="Обычный 5 2 145 2 2 2" xfId="52003"/>
    <cellStyle name="Обычный 5 2 145 2 3" xfId="30640"/>
    <cellStyle name="Обычный 5 2 145 2 3 2" xfId="62683"/>
    <cellStyle name="Обычный 5 2 145 2 4" xfId="41323"/>
    <cellStyle name="Обычный 5 2 145 3" xfId="14619"/>
    <cellStyle name="Обычный 5 2 145 3 2" xfId="46663"/>
    <cellStyle name="Обычный 5 2 145 4" xfId="25300"/>
    <cellStyle name="Обычный 5 2 145 4 2" xfId="57343"/>
    <cellStyle name="Обычный 5 2 145 5" xfId="35983"/>
    <cellStyle name="Обычный 5 2 146" xfId="3970"/>
    <cellStyle name="Обычный 5 2 146 2" xfId="9311"/>
    <cellStyle name="Обычный 5 2 146 2 2" xfId="19991"/>
    <cellStyle name="Обычный 5 2 146 2 2 2" xfId="52035"/>
    <cellStyle name="Обычный 5 2 146 2 3" xfId="30672"/>
    <cellStyle name="Обычный 5 2 146 2 3 2" xfId="62715"/>
    <cellStyle name="Обычный 5 2 146 2 4" xfId="41355"/>
    <cellStyle name="Обычный 5 2 146 3" xfId="14651"/>
    <cellStyle name="Обычный 5 2 146 3 2" xfId="46695"/>
    <cellStyle name="Обычный 5 2 146 4" xfId="25332"/>
    <cellStyle name="Обычный 5 2 146 4 2" xfId="57375"/>
    <cellStyle name="Обычный 5 2 146 5" xfId="36015"/>
    <cellStyle name="Обычный 5 2 147" xfId="4002"/>
    <cellStyle name="Обычный 5 2 147 2" xfId="9343"/>
    <cellStyle name="Обычный 5 2 147 2 2" xfId="20023"/>
    <cellStyle name="Обычный 5 2 147 2 2 2" xfId="52067"/>
    <cellStyle name="Обычный 5 2 147 2 3" xfId="30704"/>
    <cellStyle name="Обычный 5 2 147 2 3 2" xfId="62747"/>
    <cellStyle name="Обычный 5 2 147 2 4" xfId="41387"/>
    <cellStyle name="Обычный 5 2 147 3" xfId="14683"/>
    <cellStyle name="Обычный 5 2 147 3 2" xfId="46727"/>
    <cellStyle name="Обычный 5 2 147 4" xfId="25364"/>
    <cellStyle name="Обычный 5 2 147 4 2" xfId="57407"/>
    <cellStyle name="Обычный 5 2 147 5" xfId="36047"/>
    <cellStyle name="Обычный 5 2 148" xfId="4034"/>
    <cellStyle name="Обычный 5 2 148 2" xfId="9375"/>
    <cellStyle name="Обычный 5 2 148 2 2" xfId="20055"/>
    <cellStyle name="Обычный 5 2 148 2 2 2" xfId="52099"/>
    <cellStyle name="Обычный 5 2 148 2 3" xfId="30736"/>
    <cellStyle name="Обычный 5 2 148 2 3 2" xfId="62779"/>
    <cellStyle name="Обычный 5 2 148 2 4" xfId="41419"/>
    <cellStyle name="Обычный 5 2 148 3" xfId="14715"/>
    <cellStyle name="Обычный 5 2 148 3 2" xfId="46759"/>
    <cellStyle name="Обычный 5 2 148 4" xfId="25396"/>
    <cellStyle name="Обычный 5 2 148 4 2" xfId="57439"/>
    <cellStyle name="Обычный 5 2 148 5" xfId="36079"/>
    <cellStyle name="Обычный 5 2 149" xfId="4066"/>
    <cellStyle name="Обычный 5 2 149 2" xfId="9407"/>
    <cellStyle name="Обычный 5 2 149 2 2" xfId="20087"/>
    <cellStyle name="Обычный 5 2 149 2 2 2" xfId="52131"/>
    <cellStyle name="Обычный 5 2 149 2 3" xfId="30768"/>
    <cellStyle name="Обычный 5 2 149 2 3 2" xfId="62811"/>
    <cellStyle name="Обычный 5 2 149 2 4" xfId="41451"/>
    <cellStyle name="Обычный 5 2 149 3" xfId="14747"/>
    <cellStyle name="Обычный 5 2 149 3 2" xfId="46791"/>
    <cellStyle name="Обычный 5 2 149 4" xfId="25428"/>
    <cellStyle name="Обычный 5 2 149 4 2" xfId="57471"/>
    <cellStyle name="Обычный 5 2 149 5" xfId="36111"/>
    <cellStyle name="Обычный 5 2 15" xfId="206"/>
    <cellStyle name="Обычный 5 2 15 2" xfId="674"/>
    <cellStyle name="Обычный 5 2 15 2 2" xfId="6017"/>
    <cellStyle name="Обычный 5 2 15 2 2 2" xfId="16697"/>
    <cellStyle name="Обычный 5 2 15 2 2 2 2" xfId="48741"/>
    <cellStyle name="Обычный 5 2 15 2 2 3" xfId="27378"/>
    <cellStyle name="Обычный 5 2 15 2 2 3 2" xfId="59421"/>
    <cellStyle name="Обычный 5 2 15 2 2 4" xfId="38061"/>
    <cellStyle name="Обычный 5 2 15 2 3" xfId="11357"/>
    <cellStyle name="Обычный 5 2 15 2 3 2" xfId="43401"/>
    <cellStyle name="Обычный 5 2 15 2 4" xfId="22038"/>
    <cellStyle name="Обычный 5 2 15 2 4 2" xfId="54081"/>
    <cellStyle name="Обычный 5 2 15 2 5" xfId="32721"/>
    <cellStyle name="Обычный 5 2 15 3" xfId="5550"/>
    <cellStyle name="Обычный 5 2 15 3 2" xfId="16230"/>
    <cellStyle name="Обычный 5 2 15 3 2 2" xfId="48274"/>
    <cellStyle name="Обычный 5 2 15 3 3" xfId="26911"/>
    <cellStyle name="Обычный 5 2 15 3 3 2" xfId="58954"/>
    <cellStyle name="Обычный 5 2 15 3 4" xfId="37594"/>
    <cellStyle name="Обычный 5 2 15 4" xfId="10890"/>
    <cellStyle name="Обычный 5 2 15 4 2" xfId="42934"/>
    <cellStyle name="Обычный 5 2 15 5" xfId="21571"/>
    <cellStyle name="Обычный 5 2 15 5 2" xfId="53614"/>
    <cellStyle name="Обычный 5 2 15 6" xfId="32254"/>
    <cellStyle name="Обычный 5 2 150" xfId="4098"/>
    <cellStyle name="Обычный 5 2 150 2" xfId="9439"/>
    <cellStyle name="Обычный 5 2 150 2 2" xfId="20119"/>
    <cellStyle name="Обычный 5 2 150 2 2 2" xfId="52163"/>
    <cellStyle name="Обычный 5 2 150 2 3" xfId="30800"/>
    <cellStyle name="Обычный 5 2 150 2 3 2" xfId="62843"/>
    <cellStyle name="Обычный 5 2 150 2 4" xfId="41483"/>
    <cellStyle name="Обычный 5 2 150 3" xfId="14779"/>
    <cellStyle name="Обычный 5 2 150 3 2" xfId="46823"/>
    <cellStyle name="Обычный 5 2 150 4" xfId="25460"/>
    <cellStyle name="Обычный 5 2 150 4 2" xfId="57503"/>
    <cellStyle name="Обычный 5 2 150 5" xfId="36143"/>
    <cellStyle name="Обычный 5 2 151" xfId="4130"/>
    <cellStyle name="Обычный 5 2 151 2" xfId="9471"/>
    <cellStyle name="Обычный 5 2 151 2 2" xfId="20151"/>
    <cellStyle name="Обычный 5 2 151 2 2 2" xfId="52195"/>
    <cellStyle name="Обычный 5 2 151 2 3" xfId="30832"/>
    <cellStyle name="Обычный 5 2 151 2 3 2" xfId="62875"/>
    <cellStyle name="Обычный 5 2 151 2 4" xfId="41515"/>
    <cellStyle name="Обычный 5 2 151 3" xfId="14811"/>
    <cellStyle name="Обычный 5 2 151 3 2" xfId="46855"/>
    <cellStyle name="Обычный 5 2 151 4" xfId="25492"/>
    <cellStyle name="Обычный 5 2 151 4 2" xfId="57535"/>
    <cellStyle name="Обычный 5 2 151 5" xfId="36175"/>
    <cellStyle name="Обычный 5 2 152" xfId="4162"/>
    <cellStyle name="Обычный 5 2 152 2" xfId="9503"/>
    <cellStyle name="Обычный 5 2 152 2 2" xfId="20183"/>
    <cellStyle name="Обычный 5 2 152 2 2 2" xfId="52227"/>
    <cellStyle name="Обычный 5 2 152 2 3" xfId="30864"/>
    <cellStyle name="Обычный 5 2 152 2 3 2" xfId="62907"/>
    <cellStyle name="Обычный 5 2 152 2 4" xfId="41547"/>
    <cellStyle name="Обычный 5 2 152 3" xfId="14843"/>
    <cellStyle name="Обычный 5 2 152 3 2" xfId="46887"/>
    <cellStyle name="Обычный 5 2 152 4" xfId="25524"/>
    <cellStyle name="Обычный 5 2 152 4 2" xfId="57567"/>
    <cellStyle name="Обычный 5 2 152 5" xfId="36207"/>
    <cellStyle name="Обычный 5 2 153" xfId="4194"/>
    <cellStyle name="Обычный 5 2 153 2" xfId="9535"/>
    <cellStyle name="Обычный 5 2 153 2 2" xfId="20215"/>
    <cellStyle name="Обычный 5 2 153 2 2 2" xfId="52259"/>
    <cellStyle name="Обычный 5 2 153 2 3" xfId="30896"/>
    <cellStyle name="Обычный 5 2 153 2 3 2" xfId="62939"/>
    <cellStyle name="Обычный 5 2 153 2 4" xfId="41579"/>
    <cellStyle name="Обычный 5 2 153 3" xfId="14875"/>
    <cellStyle name="Обычный 5 2 153 3 2" xfId="46919"/>
    <cellStyle name="Обычный 5 2 153 4" xfId="25556"/>
    <cellStyle name="Обычный 5 2 153 4 2" xfId="57599"/>
    <cellStyle name="Обычный 5 2 153 5" xfId="36239"/>
    <cellStyle name="Обычный 5 2 154" xfId="4226"/>
    <cellStyle name="Обычный 5 2 154 2" xfId="9567"/>
    <cellStyle name="Обычный 5 2 154 2 2" xfId="20247"/>
    <cellStyle name="Обычный 5 2 154 2 2 2" xfId="52291"/>
    <cellStyle name="Обычный 5 2 154 2 3" xfId="30928"/>
    <cellStyle name="Обычный 5 2 154 2 3 2" xfId="62971"/>
    <cellStyle name="Обычный 5 2 154 2 4" xfId="41611"/>
    <cellStyle name="Обычный 5 2 154 3" xfId="14907"/>
    <cellStyle name="Обычный 5 2 154 3 2" xfId="46951"/>
    <cellStyle name="Обычный 5 2 154 4" xfId="25588"/>
    <cellStyle name="Обычный 5 2 154 4 2" xfId="57631"/>
    <cellStyle name="Обычный 5 2 154 5" xfId="36271"/>
    <cellStyle name="Обычный 5 2 155" xfId="4258"/>
    <cellStyle name="Обычный 5 2 155 2" xfId="9599"/>
    <cellStyle name="Обычный 5 2 155 2 2" xfId="20279"/>
    <cellStyle name="Обычный 5 2 155 2 2 2" xfId="52323"/>
    <cellStyle name="Обычный 5 2 155 2 3" xfId="30960"/>
    <cellStyle name="Обычный 5 2 155 2 3 2" xfId="63003"/>
    <cellStyle name="Обычный 5 2 155 2 4" xfId="41643"/>
    <cellStyle name="Обычный 5 2 155 3" xfId="14939"/>
    <cellStyle name="Обычный 5 2 155 3 2" xfId="46983"/>
    <cellStyle name="Обычный 5 2 155 4" xfId="25620"/>
    <cellStyle name="Обычный 5 2 155 4 2" xfId="57663"/>
    <cellStyle name="Обычный 5 2 155 5" xfId="36303"/>
    <cellStyle name="Обычный 5 2 156" xfId="4290"/>
    <cellStyle name="Обычный 5 2 156 2" xfId="9631"/>
    <cellStyle name="Обычный 5 2 156 2 2" xfId="20311"/>
    <cellStyle name="Обычный 5 2 156 2 2 2" xfId="52355"/>
    <cellStyle name="Обычный 5 2 156 2 3" xfId="30992"/>
    <cellStyle name="Обычный 5 2 156 2 3 2" xfId="63035"/>
    <cellStyle name="Обычный 5 2 156 2 4" xfId="41675"/>
    <cellStyle name="Обычный 5 2 156 3" xfId="14971"/>
    <cellStyle name="Обычный 5 2 156 3 2" xfId="47015"/>
    <cellStyle name="Обычный 5 2 156 4" xfId="25652"/>
    <cellStyle name="Обычный 5 2 156 4 2" xfId="57695"/>
    <cellStyle name="Обычный 5 2 156 5" xfId="36335"/>
    <cellStyle name="Обычный 5 2 157" xfId="4322"/>
    <cellStyle name="Обычный 5 2 157 2" xfId="9663"/>
    <cellStyle name="Обычный 5 2 157 2 2" xfId="20343"/>
    <cellStyle name="Обычный 5 2 157 2 2 2" xfId="52387"/>
    <cellStyle name="Обычный 5 2 157 2 3" xfId="31024"/>
    <cellStyle name="Обычный 5 2 157 2 3 2" xfId="63067"/>
    <cellStyle name="Обычный 5 2 157 2 4" xfId="41707"/>
    <cellStyle name="Обычный 5 2 157 3" xfId="15003"/>
    <cellStyle name="Обычный 5 2 157 3 2" xfId="47047"/>
    <cellStyle name="Обычный 5 2 157 4" xfId="25684"/>
    <cellStyle name="Обычный 5 2 157 4 2" xfId="57727"/>
    <cellStyle name="Обычный 5 2 157 5" xfId="36367"/>
    <cellStyle name="Обычный 5 2 158" xfId="4354"/>
    <cellStyle name="Обычный 5 2 158 2" xfId="9695"/>
    <cellStyle name="Обычный 5 2 158 2 2" xfId="20375"/>
    <cellStyle name="Обычный 5 2 158 2 2 2" xfId="52419"/>
    <cellStyle name="Обычный 5 2 158 2 3" xfId="31056"/>
    <cellStyle name="Обычный 5 2 158 2 3 2" xfId="63099"/>
    <cellStyle name="Обычный 5 2 158 2 4" xfId="41739"/>
    <cellStyle name="Обычный 5 2 158 3" xfId="15035"/>
    <cellStyle name="Обычный 5 2 158 3 2" xfId="47079"/>
    <cellStyle name="Обычный 5 2 158 4" xfId="25716"/>
    <cellStyle name="Обычный 5 2 158 4 2" xfId="57759"/>
    <cellStyle name="Обычный 5 2 158 5" xfId="36399"/>
    <cellStyle name="Обычный 5 2 159" xfId="4386"/>
    <cellStyle name="Обычный 5 2 159 2" xfId="9727"/>
    <cellStyle name="Обычный 5 2 159 2 2" xfId="20407"/>
    <cellStyle name="Обычный 5 2 159 2 2 2" xfId="52451"/>
    <cellStyle name="Обычный 5 2 159 2 3" xfId="31088"/>
    <cellStyle name="Обычный 5 2 159 2 3 2" xfId="63131"/>
    <cellStyle name="Обычный 5 2 159 2 4" xfId="41771"/>
    <cellStyle name="Обычный 5 2 159 3" xfId="15067"/>
    <cellStyle name="Обычный 5 2 159 3 2" xfId="47111"/>
    <cellStyle name="Обычный 5 2 159 4" xfId="25748"/>
    <cellStyle name="Обычный 5 2 159 4 2" xfId="57791"/>
    <cellStyle name="Обычный 5 2 159 5" xfId="36431"/>
    <cellStyle name="Обычный 5 2 16" xfId="216"/>
    <cellStyle name="Обычный 5 2 16 2" xfId="684"/>
    <cellStyle name="Обычный 5 2 16 2 2" xfId="6027"/>
    <cellStyle name="Обычный 5 2 16 2 2 2" xfId="16707"/>
    <cellStyle name="Обычный 5 2 16 2 2 2 2" xfId="48751"/>
    <cellStyle name="Обычный 5 2 16 2 2 3" xfId="27388"/>
    <cellStyle name="Обычный 5 2 16 2 2 3 2" xfId="59431"/>
    <cellStyle name="Обычный 5 2 16 2 2 4" xfId="38071"/>
    <cellStyle name="Обычный 5 2 16 2 3" xfId="11367"/>
    <cellStyle name="Обычный 5 2 16 2 3 2" xfId="43411"/>
    <cellStyle name="Обычный 5 2 16 2 4" xfId="22048"/>
    <cellStyle name="Обычный 5 2 16 2 4 2" xfId="54091"/>
    <cellStyle name="Обычный 5 2 16 2 5" xfId="32731"/>
    <cellStyle name="Обычный 5 2 16 3" xfId="5560"/>
    <cellStyle name="Обычный 5 2 16 3 2" xfId="16240"/>
    <cellStyle name="Обычный 5 2 16 3 2 2" xfId="48284"/>
    <cellStyle name="Обычный 5 2 16 3 3" xfId="26921"/>
    <cellStyle name="Обычный 5 2 16 3 3 2" xfId="58964"/>
    <cellStyle name="Обычный 5 2 16 3 4" xfId="37604"/>
    <cellStyle name="Обычный 5 2 16 4" xfId="10900"/>
    <cellStyle name="Обычный 5 2 16 4 2" xfId="42944"/>
    <cellStyle name="Обычный 5 2 16 5" xfId="21581"/>
    <cellStyle name="Обычный 5 2 16 5 2" xfId="53624"/>
    <cellStyle name="Обычный 5 2 16 6" xfId="32264"/>
    <cellStyle name="Обычный 5 2 160" xfId="4418"/>
    <cellStyle name="Обычный 5 2 160 2" xfId="9759"/>
    <cellStyle name="Обычный 5 2 160 2 2" xfId="20439"/>
    <cellStyle name="Обычный 5 2 160 2 2 2" xfId="52483"/>
    <cellStyle name="Обычный 5 2 160 2 3" xfId="31120"/>
    <cellStyle name="Обычный 5 2 160 2 3 2" xfId="63163"/>
    <cellStyle name="Обычный 5 2 160 2 4" xfId="41803"/>
    <cellStyle name="Обычный 5 2 160 3" xfId="15099"/>
    <cellStyle name="Обычный 5 2 160 3 2" xfId="47143"/>
    <cellStyle name="Обычный 5 2 160 4" xfId="25780"/>
    <cellStyle name="Обычный 5 2 160 4 2" xfId="57823"/>
    <cellStyle name="Обычный 5 2 160 5" xfId="36463"/>
    <cellStyle name="Обычный 5 2 161" xfId="4450"/>
    <cellStyle name="Обычный 5 2 161 2" xfId="9791"/>
    <cellStyle name="Обычный 5 2 161 2 2" xfId="20471"/>
    <cellStyle name="Обычный 5 2 161 2 2 2" xfId="52515"/>
    <cellStyle name="Обычный 5 2 161 2 3" xfId="31152"/>
    <cellStyle name="Обычный 5 2 161 2 3 2" xfId="63195"/>
    <cellStyle name="Обычный 5 2 161 2 4" xfId="41835"/>
    <cellStyle name="Обычный 5 2 161 3" xfId="15131"/>
    <cellStyle name="Обычный 5 2 161 3 2" xfId="47175"/>
    <cellStyle name="Обычный 5 2 161 4" xfId="25812"/>
    <cellStyle name="Обычный 5 2 161 4 2" xfId="57855"/>
    <cellStyle name="Обычный 5 2 161 5" xfId="36495"/>
    <cellStyle name="Обычный 5 2 162" xfId="4482"/>
    <cellStyle name="Обычный 5 2 162 2" xfId="9823"/>
    <cellStyle name="Обычный 5 2 162 2 2" xfId="20503"/>
    <cellStyle name="Обычный 5 2 162 2 2 2" xfId="52547"/>
    <cellStyle name="Обычный 5 2 162 2 3" xfId="31184"/>
    <cellStyle name="Обычный 5 2 162 2 3 2" xfId="63227"/>
    <cellStyle name="Обычный 5 2 162 2 4" xfId="41867"/>
    <cellStyle name="Обычный 5 2 162 3" xfId="15163"/>
    <cellStyle name="Обычный 5 2 162 3 2" xfId="47207"/>
    <cellStyle name="Обычный 5 2 162 4" xfId="25844"/>
    <cellStyle name="Обычный 5 2 162 4 2" xfId="57887"/>
    <cellStyle name="Обычный 5 2 162 5" xfId="36527"/>
    <cellStyle name="Обычный 5 2 163" xfId="4514"/>
    <cellStyle name="Обычный 5 2 163 2" xfId="9855"/>
    <cellStyle name="Обычный 5 2 163 2 2" xfId="20535"/>
    <cellStyle name="Обычный 5 2 163 2 2 2" xfId="52579"/>
    <cellStyle name="Обычный 5 2 163 2 3" xfId="31216"/>
    <cellStyle name="Обычный 5 2 163 2 3 2" xfId="63259"/>
    <cellStyle name="Обычный 5 2 163 2 4" xfId="41899"/>
    <cellStyle name="Обычный 5 2 163 3" xfId="15195"/>
    <cellStyle name="Обычный 5 2 163 3 2" xfId="47239"/>
    <cellStyle name="Обычный 5 2 163 4" xfId="25876"/>
    <cellStyle name="Обычный 5 2 163 4 2" xfId="57919"/>
    <cellStyle name="Обычный 5 2 163 5" xfId="36559"/>
    <cellStyle name="Обычный 5 2 164" xfId="4546"/>
    <cellStyle name="Обычный 5 2 164 2" xfId="9887"/>
    <cellStyle name="Обычный 5 2 164 2 2" xfId="20567"/>
    <cellStyle name="Обычный 5 2 164 2 2 2" xfId="52611"/>
    <cellStyle name="Обычный 5 2 164 2 3" xfId="31248"/>
    <cellStyle name="Обычный 5 2 164 2 3 2" xfId="63291"/>
    <cellStyle name="Обычный 5 2 164 2 4" xfId="41931"/>
    <cellStyle name="Обычный 5 2 164 3" xfId="15227"/>
    <cellStyle name="Обычный 5 2 164 3 2" xfId="47271"/>
    <cellStyle name="Обычный 5 2 164 4" xfId="25908"/>
    <cellStyle name="Обычный 5 2 164 4 2" xfId="57951"/>
    <cellStyle name="Обычный 5 2 164 5" xfId="36591"/>
    <cellStyle name="Обычный 5 2 165" xfId="4578"/>
    <cellStyle name="Обычный 5 2 165 2" xfId="9919"/>
    <cellStyle name="Обычный 5 2 165 2 2" xfId="20599"/>
    <cellStyle name="Обычный 5 2 165 2 2 2" xfId="52643"/>
    <cellStyle name="Обычный 5 2 165 2 3" xfId="31280"/>
    <cellStyle name="Обычный 5 2 165 2 3 2" xfId="63323"/>
    <cellStyle name="Обычный 5 2 165 2 4" xfId="41963"/>
    <cellStyle name="Обычный 5 2 165 3" xfId="15259"/>
    <cellStyle name="Обычный 5 2 165 3 2" xfId="47303"/>
    <cellStyle name="Обычный 5 2 165 4" xfId="25940"/>
    <cellStyle name="Обычный 5 2 165 4 2" xfId="57983"/>
    <cellStyle name="Обычный 5 2 165 5" xfId="36623"/>
    <cellStyle name="Обычный 5 2 166" xfId="4610"/>
    <cellStyle name="Обычный 5 2 166 2" xfId="9951"/>
    <cellStyle name="Обычный 5 2 166 2 2" xfId="20631"/>
    <cellStyle name="Обычный 5 2 166 2 2 2" xfId="52675"/>
    <cellStyle name="Обычный 5 2 166 2 3" xfId="31312"/>
    <cellStyle name="Обычный 5 2 166 2 3 2" xfId="63355"/>
    <cellStyle name="Обычный 5 2 166 2 4" xfId="41995"/>
    <cellStyle name="Обычный 5 2 166 3" xfId="15291"/>
    <cellStyle name="Обычный 5 2 166 3 2" xfId="47335"/>
    <cellStyle name="Обычный 5 2 166 4" xfId="25972"/>
    <cellStyle name="Обычный 5 2 166 4 2" xfId="58015"/>
    <cellStyle name="Обычный 5 2 166 5" xfId="36655"/>
    <cellStyle name="Обычный 5 2 167" xfId="4642"/>
    <cellStyle name="Обычный 5 2 167 2" xfId="9983"/>
    <cellStyle name="Обычный 5 2 167 2 2" xfId="20663"/>
    <cellStyle name="Обычный 5 2 167 2 2 2" xfId="52707"/>
    <cellStyle name="Обычный 5 2 167 2 3" xfId="31344"/>
    <cellStyle name="Обычный 5 2 167 2 3 2" xfId="63387"/>
    <cellStyle name="Обычный 5 2 167 2 4" xfId="42027"/>
    <cellStyle name="Обычный 5 2 167 3" xfId="15323"/>
    <cellStyle name="Обычный 5 2 167 3 2" xfId="47367"/>
    <cellStyle name="Обычный 5 2 167 4" xfId="26004"/>
    <cellStyle name="Обычный 5 2 167 4 2" xfId="58047"/>
    <cellStyle name="Обычный 5 2 167 5" xfId="36687"/>
    <cellStyle name="Обычный 5 2 168" xfId="4674"/>
    <cellStyle name="Обычный 5 2 168 2" xfId="10015"/>
    <cellStyle name="Обычный 5 2 168 2 2" xfId="20695"/>
    <cellStyle name="Обычный 5 2 168 2 2 2" xfId="52739"/>
    <cellStyle name="Обычный 5 2 168 2 3" xfId="31376"/>
    <cellStyle name="Обычный 5 2 168 2 3 2" xfId="63419"/>
    <cellStyle name="Обычный 5 2 168 2 4" xfId="42059"/>
    <cellStyle name="Обычный 5 2 168 3" xfId="15355"/>
    <cellStyle name="Обычный 5 2 168 3 2" xfId="47399"/>
    <cellStyle name="Обычный 5 2 168 4" xfId="26036"/>
    <cellStyle name="Обычный 5 2 168 4 2" xfId="58079"/>
    <cellStyle name="Обычный 5 2 168 5" xfId="36719"/>
    <cellStyle name="Обычный 5 2 169" xfId="4708"/>
    <cellStyle name="Обычный 5 2 169 2" xfId="10049"/>
    <cellStyle name="Обычный 5 2 169 2 2" xfId="20729"/>
    <cellStyle name="Обычный 5 2 169 2 2 2" xfId="52773"/>
    <cellStyle name="Обычный 5 2 169 2 3" xfId="31410"/>
    <cellStyle name="Обычный 5 2 169 2 3 2" xfId="63453"/>
    <cellStyle name="Обычный 5 2 169 2 4" xfId="42093"/>
    <cellStyle name="Обычный 5 2 169 3" xfId="15389"/>
    <cellStyle name="Обычный 5 2 169 3 2" xfId="47433"/>
    <cellStyle name="Обычный 5 2 169 4" xfId="26070"/>
    <cellStyle name="Обычный 5 2 169 4 2" xfId="58113"/>
    <cellStyle name="Обычный 5 2 169 5" xfId="36753"/>
    <cellStyle name="Обычный 5 2 17" xfId="226"/>
    <cellStyle name="Обычный 5 2 17 2" xfId="694"/>
    <cellStyle name="Обычный 5 2 17 2 2" xfId="6037"/>
    <cellStyle name="Обычный 5 2 17 2 2 2" xfId="16717"/>
    <cellStyle name="Обычный 5 2 17 2 2 2 2" xfId="48761"/>
    <cellStyle name="Обычный 5 2 17 2 2 3" xfId="27398"/>
    <cellStyle name="Обычный 5 2 17 2 2 3 2" xfId="59441"/>
    <cellStyle name="Обычный 5 2 17 2 2 4" xfId="38081"/>
    <cellStyle name="Обычный 5 2 17 2 3" xfId="11377"/>
    <cellStyle name="Обычный 5 2 17 2 3 2" xfId="43421"/>
    <cellStyle name="Обычный 5 2 17 2 4" xfId="22058"/>
    <cellStyle name="Обычный 5 2 17 2 4 2" xfId="54101"/>
    <cellStyle name="Обычный 5 2 17 2 5" xfId="32741"/>
    <cellStyle name="Обычный 5 2 17 3" xfId="5570"/>
    <cellStyle name="Обычный 5 2 17 3 2" xfId="16250"/>
    <cellStyle name="Обычный 5 2 17 3 2 2" xfId="48294"/>
    <cellStyle name="Обычный 5 2 17 3 3" xfId="26931"/>
    <cellStyle name="Обычный 5 2 17 3 3 2" xfId="58974"/>
    <cellStyle name="Обычный 5 2 17 3 4" xfId="37614"/>
    <cellStyle name="Обычный 5 2 17 4" xfId="10910"/>
    <cellStyle name="Обычный 5 2 17 4 2" xfId="42954"/>
    <cellStyle name="Обычный 5 2 17 5" xfId="21591"/>
    <cellStyle name="Обычный 5 2 17 5 2" xfId="53634"/>
    <cellStyle name="Обычный 5 2 17 6" xfId="32274"/>
    <cellStyle name="Обычный 5 2 170" xfId="4740"/>
    <cellStyle name="Обычный 5 2 170 2" xfId="10081"/>
    <cellStyle name="Обычный 5 2 170 2 2" xfId="20761"/>
    <cellStyle name="Обычный 5 2 170 2 2 2" xfId="52805"/>
    <cellStyle name="Обычный 5 2 170 2 3" xfId="31442"/>
    <cellStyle name="Обычный 5 2 170 2 3 2" xfId="63485"/>
    <cellStyle name="Обычный 5 2 170 2 4" xfId="42125"/>
    <cellStyle name="Обычный 5 2 170 3" xfId="15421"/>
    <cellStyle name="Обычный 5 2 170 3 2" xfId="47465"/>
    <cellStyle name="Обычный 5 2 170 4" xfId="26102"/>
    <cellStyle name="Обычный 5 2 170 4 2" xfId="58145"/>
    <cellStyle name="Обычный 5 2 170 5" xfId="36785"/>
    <cellStyle name="Обычный 5 2 171" xfId="4772"/>
    <cellStyle name="Обычный 5 2 171 2" xfId="10113"/>
    <cellStyle name="Обычный 5 2 171 2 2" xfId="20793"/>
    <cellStyle name="Обычный 5 2 171 2 2 2" xfId="52837"/>
    <cellStyle name="Обычный 5 2 171 2 3" xfId="31474"/>
    <cellStyle name="Обычный 5 2 171 2 3 2" xfId="63517"/>
    <cellStyle name="Обычный 5 2 171 2 4" xfId="42157"/>
    <cellStyle name="Обычный 5 2 171 3" xfId="15453"/>
    <cellStyle name="Обычный 5 2 171 3 2" xfId="47497"/>
    <cellStyle name="Обычный 5 2 171 4" xfId="26134"/>
    <cellStyle name="Обычный 5 2 171 4 2" xfId="58177"/>
    <cellStyle name="Обычный 5 2 171 5" xfId="36817"/>
    <cellStyle name="Обычный 5 2 172" xfId="4804"/>
    <cellStyle name="Обычный 5 2 172 2" xfId="10145"/>
    <cellStyle name="Обычный 5 2 172 2 2" xfId="20825"/>
    <cellStyle name="Обычный 5 2 172 2 2 2" xfId="52869"/>
    <cellStyle name="Обычный 5 2 172 2 3" xfId="31506"/>
    <cellStyle name="Обычный 5 2 172 2 3 2" xfId="63549"/>
    <cellStyle name="Обычный 5 2 172 2 4" xfId="42189"/>
    <cellStyle name="Обычный 5 2 172 3" xfId="15485"/>
    <cellStyle name="Обычный 5 2 172 3 2" xfId="47529"/>
    <cellStyle name="Обычный 5 2 172 4" xfId="26166"/>
    <cellStyle name="Обычный 5 2 172 4 2" xfId="58209"/>
    <cellStyle name="Обычный 5 2 172 5" xfId="36849"/>
    <cellStyle name="Обычный 5 2 173" xfId="4836"/>
    <cellStyle name="Обычный 5 2 173 2" xfId="10177"/>
    <cellStyle name="Обычный 5 2 173 2 2" xfId="20857"/>
    <cellStyle name="Обычный 5 2 173 2 2 2" xfId="52901"/>
    <cellStyle name="Обычный 5 2 173 2 3" xfId="31538"/>
    <cellStyle name="Обычный 5 2 173 2 3 2" xfId="63581"/>
    <cellStyle name="Обычный 5 2 173 2 4" xfId="42221"/>
    <cellStyle name="Обычный 5 2 173 3" xfId="15517"/>
    <cellStyle name="Обычный 5 2 173 3 2" xfId="47561"/>
    <cellStyle name="Обычный 5 2 173 4" xfId="26198"/>
    <cellStyle name="Обычный 5 2 173 4 2" xfId="58241"/>
    <cellStyle name="Обычный 5 2 173 5" xfId="36881"/>
    <cellStyle name="Обычный 5 2 174" xfId="4868"/>
    <cellStyle name="Обычный 5 2 174 2" xfId="10209"/>
    <cellStyle name="Обычный 5 2 174 2 2" xfId="20889"/>
    <cellStyle name="Обычный 5 2 174 2 2 2" xfId="52933"/>
    <cellStyle name="Обычный 5 2 174 2 3" xfId="31570"/>
    <cellStyle name="Обычный 5 2 174 2 3 2" xfId="63613"/>
    <cellStyle name="Обычный 5 2 174 2 4" xfId="42253"/>
    <cellStyle name="Обычный 5 2 174 3" xfId="15549"/>
    <cellStyle name="Обычный 5 2 174 3 2" xfId="47593"/>
    <cellStyle name="Обычный 5 2 174 4" xfId="26230"/>
    <cellStyle name="Обычный 5 2 174 4 2" xfId="58273"/>
    <cellStyle name="Обычный 5 2 174 5" xfId="36913"/>
    <cellStyle name="Обычный 5 2 175" xfId="4900"/>
    <cellStyle name="Обычный 5 2 175 2" xfId="10241"/>
    <cellStyle name="Обычный 5 2 175 2 2" xfId="20921"/>
    <cellStyle name="Обычный 5 2 175 2 2 2" xfId="52965"/>
    <cellStyle name="Обычный 5 2 175 2 3" xfId="31602"/>
    <cellStyle name="Обычный 5 2 175 2 3 2" xfId="63645"/>
    <cellStyle name="Обычный 5 2 175 2 4" xfId="42285"/>
    <cellStyle name="Обычный 5 2 175 3" xfId="15581"/>
    <cellStyle name="Обычный 5 2 175 3 2" xfId="47625"/>
    <cellStyle name="Обычный 5 2 175 4" xfId="26262"/>
    <cellStyle name="Обычный 5 2 175 4 2" xfId="58305"/>
    <cellStyle name="Обычный 5 2 175 5" xfId="36945"/>
    <cellStyle name="Обычный 5 2 176" xfId="4932"/>
    <cellStyle name="Обычный 5 2 176 2" xfId="10273"/>
    <cellStyle name="Обычный 5 2 176 2 2" xfId="20953"/>
    <cellStyle name="Обычный 5 2 176 2 2 2" xfId="52997"/>
    <cellStyle name="Обычный 5 2 176 2 3" xfId="31634"/>
    <cellStyle name="Обычный 5 2 176 2 3 2" xfId="63677"/>
    <cellStyle name="Обычный 5 2 176 2 4" xfId="42317"/>
    <cellStyle name="Обычный 5 2 176 3" xfId="15613"/>
    <cellStyle name="Обычный 5 2 176 3 2" xfId="47657"/>
    <cellStyle name="Обычный 5 2 176 4" xfId="26294"/>
    <cellStyle name="Обычный 5 2 176 4 2" xfId="58337"/>
    <cellStyle name="Обычный 5 2 176 5" xfId="36977"/>
    <cellStyle name="Обычный 5 2 177" xfId="4964"/>
    <cellStyle name="Обычный 5 2 177 2" xfId="10305"/>
    <cellStyle name="Обычный 5 2 177 2 2" xfId="20985"/>
    <cellStyle name="Обычный 5 2 177 2 2 2" xfId="53029"/>
    <cellStyle name="Обычный 5 2 177 2 3" xfId="31666"/>
    <cellStyle name="Обычный 5 2 177 2 3 2" xfId="63709"/>
    <cellStyle name="Обычный 5 2 177 2 4" xfId="42349"/>
    <cellStyle name="Обычный 5 2 177 3" xfId="15645"/>
    <cellStyle name="Обычный 5 2 177 3 2" xfId="47689"/>
    <cellStyle name="Обычный 5 2 177 4" xfId="26326"/>
    <cellStyle name="Обычный 5 2 177 4 2" xfId="58369"/>
    <cellStyle name="Обычный 5 2 177 5" xfId="37009"/>
    <cellStyle name="Обычный 5 2 178" xfId="4996"/>
    <cellStyle name="Обычный 5 2 178 2" xfId="10337"/>
    <cellStyle name="Обычный 5 2 178 2 2" xfId="21017"/>
    <cellStyle name="Обычный 5 2 178 2 2 2" xfId="53061"/>
    <cellStyle name="Обычный 5 2 178 2 3" xfId="31698"/>
    <cellStyle name="Обычный 5 2 178 2 3 2" xfId="63741"/>
    <cellStyle name="Обычный 5 2 178 2 4" xfId="42381"/>
    <cellStyle name="Обычный 5 2 178 3" xfId="15677"/>
    <cellStyle name="Обычный 5 2 178 3 2" xfId="47721"/>
    <cellStyle name="Обычный 5 2 178 4" xfId="26358"/>
    <cellStyle name="Обычный 5 2 178 4 2" xfId="58401"/>
    <cellStyle name="Обычный 5 2 178 5" xfId="37041"/>
    <cellStyle name="Обычный 5 2 179" xfId="5028"/>
    <cellStyle name="Обычный 5 2 179 2" xfId="10369"/>
    <cellStyle name="Обычный 5 2 179 2 2" xfId="21049"/>
    <cellStyle name="Обычный 5 2 179 2 2 2" xfId="53093"/>
    <cellStyle name="Обычный 5 2 179 2 3" xfId="31730"/>
    <cellStyle name="Обычный 5 2 179 2 3 2" xfId="63773"/>
    <cellStyle name="Обычный 5 2 179 2 4" xfId="42413"/>
    <cellStyle name="Обычный 5 2 179 3" xfId="15709"/>
    <cellStyle name="Обычный 5 2 179 3 2" xfId="47753"/>
    <cellStyle name="Обычный 5 2 179 4" xfId="26390"/>
    <cellStyle name="Обычный 5 2 179 4 2" xfId="58433"/>
    <cellStyle name="Обычный 5 2 179 5" xfId="37073"/>
    <cellStyle name="Обычный 5 2 18" xfId="236"/>
    <cellStyle name="Обычный 5 2 18 2" xfId="704"/>
    <cellStyle name="Обычный 5 2 18 2 2" xfId="6047"/>
    <cellStyle name="Обычный 5 2 18 2 2 2" xfId="16727"/>
    <cellStyle name="Обычный 5 2 18 2 2 2 2" xfId="48771"/>
    <cellStyle name="Обычный 5 2 18 2 2 3" xfId="27408"/>
    <cellStyle name="Обычный 5 2 18 2 2 3 2" xfId="59451"/>
    <cellStyle name="Обычный 5 2 18 2 2 4" xfId="38091"/>
    <cellStyle name="Обычный 5 2 18 2 3" xfId="11387"/>
    <cellStyle name="Обычный 5 2 18 2 3 2" xfId="43431"/>
    <cellStyle name="Обычный 5 2 18 2 4" xfId="22068"/>
    <cellStyle name="Обычный 5 2 18 2 4 2" xfId="54111"/>
    <cellStyle name="Обычный 5 2 18 2 5" xfId="32751"/>
    <cellStyle name="Обычный 5 2 18 3" xfId="5580"/>
    <cellStyle name="Обычный 5 2 18 3 2" xfId="16260"/>
    <cellStyle name="Обычный 5 2 18 3 2 2" xfId="48304"/>
    <cellStyle name="Обычный 5 2 18 3 3" xfId="26941"/>
    <cellStyle name="Обычный 5 2 18 3 3 2" xfId="58984"/>
    <cellStyle name="Обычный 5 2 18 3 4" xfId="37624"/>
    <cellStyle name="Обычный 5 2 18 4" xfId="10920"/>
    <cellStyle name="Обычный 5 2 18 4 2" xfId="42964"/>
    <cellStyle name="Обычный 5 2 18 5" xfId="21601"/>
    <cellStyle name="Обычный 5 2 18 5 2" xfId="53644"/>
    <cellStyle name="Обычный 5 2 18 6" xfId="32284"/>
    <cellStyle name="Обычный 5 2 180" xfId="5060"/>
    <cellStyle name="Обычный 5 2 180 2" xfId="10401"/>
    <cellStyle name="Обычный 5 2 180 2 2" xfId="21081"/>
    <cellStyle name="Обычный 5 2 180 2 2 2" xfId="53125"/>
    <cellStyle name="Обычный 5 2 180 2 3" xfId="31762"/>
    <cellStyle name="Обычный 5 2 180 2 3 2" xfId="63805"/>
    <cellStyle name="Обычный 5 2 180 2 4" xfId="42445"/>
    <cellStyle name="Обычный 5 2 180 3" xfId="15741"/>
    <cellStyle name="Обычный 5 2 180 3 2" xfId="47785"/>
    <cellStyle name="Обычный 5 2 180 4" xfId="26422"/>
    <cellStyle name="Обычный 5 2 180 4 2" xfId="58465"/>
    <cellStyle name="Обычный 5 2 180 5" xfId="37105"/>
    <cellStyle name="Обычный 5 2 181" xfId="5092"/>
    <cellStyle name="Обычный 5 2 181 2" xfId="10433"/>
    <cellStyle name="Обычный 5 2 181 2 2" xfId="21113"/>
    <cellStyle name="Обычный 5 2 181 2 2 2" xfId="53157"/>
    <cellStyle name="Обычный 5 2 181 2 3" xfId="31794"/>
    <cellStyle name="Обычный 5 2 181 2 3 2" xfId="63837"/>
    <cellStyle name="Обычный 5 2 181 2 4" xfId="42477"/>
    <cellStyle name="Обычный 5 2 181 3" xfId="15773"/>
    <cellStyle name="Обычный 5 2 181 3 2" xfId="47817"/>
    <cellStyle name="Обычный 5 2 181 4" xfId="26454"/>
    <cellStyle name="Обычный 5 2 181 4 2" xfId="58497"/>
    <cellStyle name="Обычный 5 2 181 5" xfId="37137"/>
    <cellStyle name="Обычный 5 2 182" xfId="5124"/>
    <cellStyle name="Обычный 5 2 182 2" xfId="10465"/>
    <cellStyle name="Обычный 5 2 182 2 2" xfId="21145"/>
    <cellStyle name="Обычный 5 2 182 2 2 2" xfId="53189"/>
    <cellStyle name="Обычный 5 2 182 2 3" xfId="31826"/>
    <cellStyle name="Обычный 5 2 182 2 3 2" xfId="63869"/>
    <cellStyle name="Обычный 5 2 182 2 4" xfId="42509"/>
    <cellStyle name="Обычный 5 2 182 3" xfId="15805"/>
    <cellStyle name="Обычный 5 2 182 3 2" xfId="47849"/>
    <cellStyle name="Обычный 5 2 182 4" xfId="26486"/>
    <cellStyle name="Обычный 5 2 182 4 2" xfId="58529"/>
    <cellStyle name="Обычный 5 2 182 5" xfId="37169"/>
    <cellStyle name="Обычный 5 2 183" xfId="5156"/>
    <cellStyle name="Обычный 5 2 183 2" xfId="10497"/>
    <cellStyle name="Обычный 5 2 183 2 2" xfId="21177"/>
    <cellStyle name="Обычный 5 2 183 2 2 2" xfId="53221"/>
    <cellStyle name="Обычный 5 2 183 2 3" xfId="31858"/>
    <cellStyle name="Обычный 5 2 183 2 3 2" xfId="63901"/>
    <cellStyle name="Обычный 5 2 183 2 4" xfId="42541"/>
    <cellStyle name="Обычный 5 2 183 3" xfId="15837"/>
    <cellStyle name="Обычный 5 2 183 3 2" xfId="47881"/>
    <cellStyle name="Обычный 5 2 183 4" xfId="26518"/>
    <cellStyle name="Обычный 5 2 183 4 2" xfId="58561"/>
    <cellStyle name="Обычный 5 2 183 5" xfId="37201"/>
    <cellStyle name="Обычный 5 2 184" xfId="5188"/>
    <cellStyle name="Обычный 5 2 184 2" xfId="10529"/>
    <cellStyle name="Обычный 5 2 184 2 2" xfId="21209"/>
    <cellStyle name="Обычный 5 2 184 2 2 2" xfId="53253"/>
    <cellStyle name="Обычный 5 2 184 2 3" xfId="31890"/>
    <cellStyle name="Обычный 5 2 184 2 3 2" xfId="63933"/>
    <cellStyle name="Обычный 5 2 184 2 4" xfId="42573"/>
    <cellStyle name="Обычный 5 2 184 3" xfId="15869"/>
    <cellStyle name="Обычный 5 2 184 3 2" xfId="47913"/>
    <cellStyle name="Обычный 5 2 184 4" xfId="26550"/>
    <cellStyle name="Обычный 5 2 184 4 2" xfId="58593"/>
    <cellStyle name="Обычный 5 2 184 5" xfId="37233"/>
    <cellStyle name="Обычный 5 2 185" xfId="5220"/>
    <cellStyle name="Обычный 5 2 185 2" xfId="10561"/>
    <cellStyle name="Обычный 5 2 185 2 2" xfId="21241"/>
    <cellStyle name="Обычный 5 2 185 2 2 2" xfId="53285"/>
    <cellStyle name="Обычный 5 2 185 2 3" xfId="31922"/>
    <cellStyle name="Обычный 5 2 185 2 3 2" xfId="63965"/>
    <cellStyle name="Обычный 5 2 185 2 4" xfId="42605"/>
    <cellStyle name="Обычный 5 2 185 3" xfId="15901"/>
    <cellStyle name="Обычный 5 2 185 3 2" xfId="47945"/>
    <cellStyle name="Обычный 5 2 185 4" xfId="26582"/>
    <cellStyle name="Обычный 5 2 185 4 2" xfId="58625"/>
    <cellStyle name="Обычный 5 2 185 5" xfId="37265"/>
    <cellStyle name="Обычный 5 2 186" xfId="5252"/>
    <cellStyle name="Обычный 5 2 186 2" xfId="10593"/>
    <cellStyle name="Обычный 5 2 186 2 2" xfId="21273"/>
    <cellStyle name="Обычный 5 2 186 2 2 2" xfId="53317"/>
    <cellStyle name="Обычный 5 2 186 2 3" xfId="31954"/>
    <cellStyle name="Обычный 5 2 186 2 3 2" xfId="63997"/>
    <cellStyle name="Обычный 5 2 186 2 4" xfId="42637"/>
    <cellStyle name="Обычный 5 2 186 3" xfId="15933"/>
    <cellStyle name="Обычный 5 2 186 3 2" xfId="47977"/>
    <cellStyle name="Обычный 5 2 186 4" xfId="26614"/>
    <cellStyle name="Обычный 5 2 186 4 2" xfId="58657"/>
    <cellStyle name="Обычный 5 2 186 5" xfId="37297"/>
    <cellStyle name="Обычный 5 2 187" xfId="5284"/>
    <cellStyle name="Обычный 5 2 187 2" xfId="10625"/>
    <cellStyle name="Обычный 5 2 187 2 2" xfId="21305"/>
    <cellStyle name="Обычный 5 2 187 2 2 2" xfId="53349"/>
    <cellStyle name="Обычный 5 2 187 2 3" xfId="31986"/>
    <cellStyle name="Обычный 5 2 187 2 3 2" xfId="64029"/>
    <cellStyle name="Обычный 5 2 187 2 4" xfId="42669"/>
    <cellStyle name="Обычный 5 2 187 3" xfId="15965"/>
    <cellStyle name="Обычный 5 2 187 3 2" xfId="48009"/>
    <cellStyle name="Обычный 5 2 187 4" xfId="26646"/>
    <cellStyle name="Обычный 5 2 187 4 2" xfId="58689"/>
    <cellStyle name="Обычный 5 2 187 5" xfId="37329"/>
    <cellStyle name="Обычный 5 2 188" xfId="5316"/>
    <cellStyle name="Обычный 5 2 188 2" xfId="10657"/>
    <cellStyle name="Обычный 5 2 188 2 2" xfId="21337"/>
    <cellStyle name="Обычный 5 2 188 2 2 2" xfId="53381"/>
    <cellStyle name="Обычный 5 2 188 2 3" xfId="32018"/>
    <cellStyle name="Обычный 5 2 188 2 3 2" xfId="64061"/>
    <cellStyle name="Обычный 5 2 188 2 4" xfId="42701"/>
    <cellStyle name="Обычный 5 2 188 3" xfId="15997"/>
    <cellStyle name="Обычный 5 2 188 3 2" xfId="48041"/>
    <cellStyle name="Обычный 5 2 188 4" xfId="26678"/>
    <cellStyle name="Обычный 5 2 188 4 2" xfId="58721"/>
    <cellStyle name="Обычный 5 2 188 5" xfId="37361"/>
    <cellStyle name="Обычный 5 2 189" xfId="5348"/>
    <cellStyle name="Обычный 5 2 189 2" xfId="10689"/>
    <cellStyle name="Обычный 5 2 189 2 2" xfId="21369"/>
    <cellStyle name="Обычный 5 2 189 2 2 2" xfId="53413"/>
    <cellStyle name="Обычный 5 2 189 2 3" xfId="32050"/>
    <cellStyle name="Обычный 5 2 189 2 3 2" xfId="64093"/>
    <cellStyle name="Обычный 5 2 189 2 4" xfId="42733"/>
    <cellStyle name="Обычный 5 2 189 3" xfId="16029"/>
    <cellStyle name="Обычный 5 2 189 3 2" xfId="48073"/>
    <cellStyle name="Обычный 5 2 189 4" xfId="26710"/>
    <cellStyle name="Обычный 5 2 189 4 2" xfId="58753"/>
    <cellStyle name="Обычный 5 2 189 5" xfId="37393"/>
    <cellStyle name="Обычный 5 2 19" xfId="246"/>
    <cellStyle name="Обычный 5 2 19 2" xfId="714"/>
    <cellStyle name="Обычный 5 2 19 2 2" xfId="6057"/>
    <cellStyle name="Обычный 5 2 19 2 2 2" xfId="16737"/>
    <cellStyle name="Обычный 5 2 19 2 2 2 2" xfId="48781"/>
    <cellStyle name="Обычный 5 2 19 2 2 3" xfId="27418"/>
    <cellStyle name="Обычный 5 2 19 2 2 3 2" xfId="59461"/>
    <cellStyle name="Обычный 5 2 19 2 2 4" xfId="38101"/>
    <cellStyle name="Обычный 5 2 19 2 3" xfId="11397"/>
    <cellStyle name="Обычный 5 2 19 2 3 2" xfId="43441"/>
    <cellStyle name="Обычный 5 2 19 2 4" xfId="22078"/>
    <cellStyle name="Обычный 5 2 19 2 4 2" xfId="54121"/>
    <cellStyle name="Обычный 5 2 19 2 5" xfId="32761"/>
    <cellStyle name="Обычный 5 2 19 3" xfId="5590"/>
    <cellStyle name="Обычный 5 2 19 3 2" xfId="16270"/>
    <cellStyle name="Обычный 5 2 19 3 2 2" xfId="48314"/>
    <cellStyle name="Обычный 5 2 19 3 3" xfId="26951"/>
    <cellStyle name="Обычный 5 2 19 3 3 2" xfId="58994"/>
    <cellStyle name="Обычный 5 2 19 3 4" xfId="37634"/>
    <cellStyle name="Обычный 5 2 19 4" xfId="10930"/>
    <cellStyle name="Обычный 5 2 19 4 2" xfId="42974"/>
    <cellStyle name="Обычный 5 2 19 5" xfId="21611"/>
    <cellStyle name="Обычный 5 2 19 5 2" xfId="53654"/>
    <cellStyle name="Обычный 5 2 19 6" xfId="32294"/>
    <cellStyle name="Обычный 5 2 190" xfId="5396"/>
    <cellStyle name="Обычный 5 2 190 2" xfId="16076"/>
    <cellStyle name="Обычный 5 2 190 2 2" xfId="48120"/>
    <cellStyle name="Обычный 5 2 190 3" xfId="26757"/>
    <cellStyle name="Обычный 5 2 190 3 2" xfId="58800"/>
    <cellStyle name="Обычный 5 2 190 4" xfId="37440"/>
    <cellStyle name="Обычный 5 2 191" xfId="10736"/>
    <cellStyle name="Обычный 5 2 191 2" xfId="42780"/>
    <cellStyle name="Обычный 5 2 192" xfId="21417"/>
    <cellStyle name="Обычный 5 2 192 2" xfId="53460"/>
    <cellStyle name="Обычный 5 2 193" xfId="32100"/>
    <cellStyle name="Обычный 5 2 2" xfId="80"/>
    <cellStyle name="Обычный 5 2 2 10" xfId="1162"/>
    <cellStyle name="Обычный 5 2 2 10 2" xfId="6505"/>
    <cellStyle name="Обычный 5 2 2 10 2 2" xfId="17185"/>
    <cellStyle name="Обычный 5 2 2 10 2 2 2" xfId="49229"/>
    <cellStyle name="Обычный 5 2 2 10 2 3" xfId="27866"/>
    <cellStyle name="Обычный 5 2 2 10 2 3 2" xfId="59909"/>
    <cellStyle name="Обычный 5 2 2 10 2 4" xfId="38549"/>
    <cellStyle name="Обычный 5 2 2 10 3" xfId="11845"/>
    <cellStyle name="Обычный 5 2 2 10 3 2" xfId="43889"/>
    <cellStyle name="Обычный 5 2 2 10 4" xfId="22526"/>
    <cellStyle name="Обычный 5 2 2 10 4 2" xfId="54569"/>
    <cellStyle name="Обычный 5 2 2 10 5" xfId="33209"/>
    <cellStyle name="Обычный 5 2 2 100" xfId="3822"/>
    <cellStyle name="Обычный 5 2 2 100 2" xfId="9163"/>
    <cellStyle name="Обычный 5 2 2 100 2 2" xfId="19843"/>
    <cellStyle name="Обычный 5 2 2 100 2 2 2" xfId="51887"/>
    <cellStyle name="Обычный 5 2 2 100 2 3" xfId="30524"/>
    <cellStyle name="Обычный 5 2 2 100 2 3 2" xfId="62567"/>
    <cellStyle name="Обычный 5 2 2 100 2 4" xfId="41207"/>
    <cellStyle name="Обычный 5 2 2 100 3" xfId="14503"/>
    <cellStyle name="Обычный 5 2 2 100 3 2" xfId="46547"/>
    <cellStyle name="Обычный 5 2 2 100 4" xfId="25184"/>
    <cellStyle name="Обычный 5 2 2 100 4 2" xfId="57227"/>
    <cellStyle name="Обычный 5 2 2 100 5" xfId="35867"/>
    <cellStyle name="Обычный 5 2 2 101" xfId="3854"/>
    <cellStyle name="Обычный 5 2 2 101 2" xfId="9195"/>
    <cellStyle name="Обычный 5 2 2 101 2 2" xfId="19875"/>
    <cellStyle name="Обычный 5 2 2 101 2 2 2" xfId="51919"/>
    <cellStyle name="Обычный 5 2 2 101 2 3" xfId="30556"/>
    <cellStyle name="Обычный 5 2 2 101 2 3 2" xfId="62599"/>
    <cellStyle name="Обычный 5 2 2 101 2 4" xfId="41239"/>
    <cellStyle name="Обычный 5 2 2 101 3" xfId="14535"/>
    <cellStyle name="Обычный 5 2 2 101 3 2" xfId="46579"/>
    <cellStyle name="Обычный 5 2 2 101 4" xfId="25216"/>
    <cellStyle name="Обычный 5 2 2 101 4 2" xfId="57259"/>
    <cellStyle name="Обычный 5 2 2 101 5" xfId="35899"/>
    <cellStyle name="Обычный 5 2 2 102" xfId="3886"/>
    <cellStyle name="Обычный 5 2 2 102 2" xfId="9227"/>
    <cellStyle name="Обычный 5 2 2 102 2 2" xfId="19907"/>
    <cellStyle name="Обычный 5 2 2 102 2 2 2" xfId="51951"/>
    <cellStyle name="Обычный 5 2 2 102 2 3" xfId="30588"/>
    <cellStyle name="Обычный 5 2 2 102 2 3 2" xfId="62631"/>
    <cellStyle name="Обычный 5 2 2 102 2 4" xfId="41271"/>
    <cellStyle name="Обычный 5 2 2 102 3" xfId="14567"/>
    <cellStyle name="Обычный 5 2 2 102 3 2" xfId="46611"/>
    <cellStyle name="Обычный 5 2 2 102 4" xfId="25248"/>
    <cellStyle name="Обычный 5 2 2 102 4 2" xfId="57291"/>
    <cellStyle name="Обычный 5 2 2 102 5" xfId="35931"/>
    <cellStyle name="Обычный 5 2 2 103" xfId="3918"/>
    <cellStyle name="Обычный 5 2 2 103 2" xfId="9259"/>
    <cellStyle name="Обычный 5 2 2 103 2 2" xfId="19939"/>
    <cellStyle name="Обычный 5 2 2 103 2 2 2" xfId="51983"/>
    <cellStyle name="Обычный 5 2 2 103 2 3" xfId="30620"/>
    <cellStyle name="Обычный 5 2 2 103 2 3 2" xfId="62663"/>
    <cellStyle name="Обычный 5 2 2 103 2 4" xfId="41303"/>
    <cellStyle name="Обычный 5 2 2 103 3" xfId="14599"/>
    <cellStyle name="Обычный 5 2 2 103 3 2" xfId="46643"/>
    <cellStyle name="Обычный 5 2 2 103 4" xfId="25280"/>
    <cellStyle name="Обычный 5 2 2 103 4 2" xfId="57323"/>
    <cellStyle name="Обычный 5 2 2 103 5" xfId="35963"/>
    <cellStyle name="Обычный 5 2 2 104" xfId="3950"/>
    <cellStyle name="Обычный 5 2 2 104 2" xfId="9291"/>
    <cellStyle name="Обычный 5 2 2 104 2 2" xfId="19971"/>
    <cellStyle name="Обычный 5 2 2 104 2 2 2" xfId="52015"/>
    <cellStyle name="Обычный 5 2 2 104 2 3" xfId="30652"/>
    <cellStyle name="Обычный 5 2 2 104 2 3 2" xfId="62695"/>
    <cellStyle name="Обычный 5 2 2 104 2 4" xfId="41335"/>
    <cellStyle name="Обычный 5 2 2 104 3" xfId="14631"/>
    <cellStyle name="Обычный 5 2 2 104 3 2" xfId="46675"/>
    <cellStyle name="Обычный 5 2 2 104 4" xfId="25312"/>
    <cellStyle name="Обычный 5 2 2 104 4 2" xfId="57355"/>
    <cellStyle name="Обычный 5 2 2 104 5" xfId="35995"/>
    <cellStyle name="Обычный 5 2 2 105" xfId="3982"/>
    <cellStyle name="Обычный 5 2 2 105 2" xfId="9323"/>
    <cellStyle name="Обычный 5 2 2 105 2 2" xfId="20003"/>
    <cellStyle name="Обычный 5 2 2 105 2 2 2" xfId="52047"/>
    <cellStyle name="Обычный 5 2 2 105 2 3" xfId="30684"/>
    <cellStyle name="Обычный 5 2 2 105 2 3 2" xfId="62727"/>
    <cellStyle name="Обычный 5 2 2 105 2 4" xfId="41367"/>
    <cellStyle name="Обычный 5 2 2 105 3" xfId="14663"/>
    <cellStyle name="Обычный 5 2 2 105 3 2" xfId="46707"/>
    <cellStyle name="Обычный 5 2 2 105 4" xfId="25344"/>
    <cellStyle name="Обычный 5 2 2 105 4 2" xfId="57387"/>
    <cellStyle name="Обычный 5 2 2 105 5" xfId="36027"/>
    <cellStyle name="Обычный 5 2 2 106" xfId="4014"/>
    <cellStyle name="Обычный 5 2 2 106 2" xfId="9355"/>
    <cellStyle name="Обычный 5 2 2 106 2 2" xfId="20035"/>
    <cellStyle name="Обычный 5 2 2 106 2 2 2" xfId="52079"/>
    <cellStyle name="Обычный 5 2 2 106 2 3" xfId="30716"/>
    <cellStyle name="Обычный 5 2 2 106 2 3 2" xfId="62759"/>
    <cellStyle name="Обычный 5 2 2 106 2 4" xfId="41399"/>
    <cellStyle name="Обычный 5 2 2 106 3" xfId="14695"/>
    <cellStyle name="Обычный 5 2 2 106 3 2" xfId="46739"/>
    <cellStyle name="Обычный 5 2 2 106 4" xfId="25376"/>
    <cellStyle name="Обычный 5 2 2 106 4 2" xfId="57419"/>
    <cellStyle name="Обычный 5 2 2 106 5" xfId="36059"/>
    <cellStyle name="Обычный 5 2 2 107" xfId="4046"/>
    <cellStyle name="Обычный 5 2 2 107 2" xfId="9387"/>
    <cellStyle name="Обычный 5 2 2 107 2 2" xfId="20067"/>
    <cellStyle name="Обычный 5 2 2 107 2 2 2" xfId="52111"/>
    <cellStyle name="Обычный 5 2 2 107 2 3" xfId="30748"/>
    <cellStyle name="Обычный 5 2 2 107 2 3 2" xfId="62791"/>
    <cellStyle name="Обычный 5 2 2 107 2 4" xfId="41431"/>
    <cellStyle name="Обычный 5 2 2 107 3" xfId="14727"/>
    <cellStyle name="Обычный 5 2 2 107 3 2" xfId="46771"/>
    <cellStyle name="Обычный 5 2 2 107 4" xfId="25408"/>
    <cellStyle name="Обычный 5 2 2 107 4 2" xfId="57451"/>
    <cellStyle name="Обычный 5 2 2 107 5" xfId="36091"/>
    <cellStyle name="Обычный 5 2 2 108" xfId="4078"/>
    <cellStyle name="Обычный 5 2 2 108 2" xfId="9419"/>
    <cellStyle name="Обычный 5 2 2 108 2 2" xfId="20099"/>
    <cellStyle name="Обычный 5 2 2 108 2 2 2" xfId="52143"/>
    <cellStyle name="Обычный 5 2 2 108 2 3" xfId="30780"/>
    <cellStyle name="Обычный 5 2 2 108 2 3 2" xfId="62823"/>
    <cellStyle name="Обычный 5 2 2 108 2 4" xfId="41463"/>
    <cellStyle name="Обычный 5 2 2 108 3" xfId="14759"/>
    <cellStyle name="Обычный 5 2 2 108 3 2" xfId="46803"/>
    <cellStyle name="Обычный 5 2 2 108 4" xfId="25440"/>
    <cellStyle name="Обычный 5 2 2 108 4 2" xfId="57483"/>
    <cellStyle name="Обычный 5 2 2 108 5" xfId="36123"/>
    <cellStyle name="Обычный 5 2 2 109" xfId="4110"/>
    <cellStyle name="Обычный 5 2 2 109 2" xfId="9451"/>
    <cellStyle name="Обычный 5 2 2 109 2 2" xfId="20131"/>
    <cellStyle name="Обычный 5 2 2 109 2 2 2" xfId="52175"/>
    <cellStyle name="Обычный 5 2 2 109 2 3" xfId="30812"/>
    <cellStyle name="Обычный 5 2 2 109 2 3 2" xfId="62855"/>
    <cellStyle name="Обычный 5 2 2 109 2 4" xfId="41495"/>
    <cellStyle name="Обычный 5 2 2 109 3" xfId="14791"/>
    <cellStyle name="Обычный 5 2 2 109 3 2" xfId="46835"/>
    <cellStyle name="Обычный 5 2 2 109 4" xfId="25472"/>
    <cellStyle name="Обычный 5 2 2 109 4 2" xfId="57515"/>
    <cellStyle name="Обычный 5 2 2 109 5" xfId="36155"/>
    <cellStyle name="Обычный 5 2 2 11" xfId="1188"/>
    <cellStyle name="Обычный 5 2 2 11 2" xfId="6531"/>
    <cellStyle name="Обычный 5 2 2 11 2 2" xfId="17211"/>
    <cellStyle name="Обычный 5 2 2 11 2 2 2" xfId="49255"/>
    <cellStyle name="Обычный 5 2 2 11 2 3" xfId="27892"/>
    <cellStyle name="Обычный 5 2 2 11 2 3 2" xfId="59935"/>
    <cellStyle name="Обычный 5 2 2 11 2 4" xfId="38575"/>
    <cellStyle name="Обычный 5 2 2 11 3" xfId="11871"/>
    <cellStyle name="Обычный 5 2 2 11 3 2" xfId="43915"/>
    <cellStyle name="Обычный 5 2 2 11 4" xfId="22552"/>
    <cellStyle name="Обычный 5 2 2 11 4 2" xfId="54595"/>
    <cellStyle name="Обычный 5 2 2 11 5" xfId="33235"/>
    <cellStyle name="Обычный 5 2 2 110" xfId="4142"/>
    <cellStyle name="Обычный 5 2 2 110 2" xfId="9483"/>
    <cellStyle name="Обычный 5 2 2 110 2 2" xfId="20163"/>
    <cellStyle name="Обычный 5 2 2 110 2 2 2" xfId="52207"/>
    <cellStyle name="Обычный 5 2 2 110 2 3" xfId="30844"/>
    <cellStyle name="Обычный 5 2 2 110 2 3 2" xfId="62887"/>
    <cellStyle name="Обычный 5 2 2 110 2 4" xfId="41527"/>
    <cellStyle name="Обычный 5 2 2 110 3" xfId="14823"/>
    <cellStyle name="Обычный 5 2 2 110 3 2" xfId="46867"/>
    <cellStyle name="Обычный 5 2 2 110 4" xfId="25504"/>
    <cellStyle name="Обычный 5 2 2 110 4 2" xfId="57547"/>
    <cellStyle name="Обычный 5 2 2 110 5" xfId="36187"/>
    <cellStyle name="Обычный 5 2 2 111" xfId="4174"/>
    <cellStyle name="Обычный 5 2 2 111 2" xfId="9515"/>
    <cellStyle name="Обычный 5 2 2 111 2 2" xfId="20195"/>
    <cellStyle name="Обычный 5 2 2 111 2 2 2" xfId="52239"/>
    <cellStyle name="Обычный 5 2 2 111 2 3" xfId="30876"/>
    <cellStyle name="Обычный 5 2 2 111 2 3 2" xfId="62919"/>
    <cellStyle name="Обычный 5 2 2 111 2 4" xfId="41559"/>
    <cellStyle name="Обычный 5 2 2 111 3" xfId="14855"/>
    <cellStyle name="Обычный 5 2 2 111 3 2" xfId="46899"/>
    <cellStyle name="Обычный 5 2 2 111 4" xfId="25536"/>
    <cellStyle name="Обычный 5 2 2 111 4 2" xfId="57579"/>
    <cellStyle name="Обычный 5 2 2 111 5" xfId="36219"/>
    <cellStyle name="Обычный 5 2 2 112" xfId="4206"/>
    <cellStyle name="Обычный 5 2 2 112 2" xfId="9547"/>
    <cellStyle name="Обычный 5 2 2 112 2 2" xfId="20227"/>
    <cellStyle name="Обычный 5 2 2 112 2 2 2" xfId="52271"/>
    <cellStyle name="Обычный 5 2 2 112 2 3" xfId="30908"/>
    <cellStyle name="Обычный 5 2 2 112 2 3 2" xfId="62951"/>
    <cellStyle name="Обычный 5 2 2 112 2 4" xfId="41591"/>
    <cellStyle name="Обычный 5 2 2 112 3" xfId="14887"/>
    <cellStyle name="Обычный 5 2 2 112 3 2" xfId="46931"/>
    <cellStyle name="Обычный 5 2 2 112 4" xfId="25568"/>
    <cellStyle name="Обычный 5 2 2 112 4 2" xfId="57611"/>
    <cellStyle name="Обычный 5 2 2 112 5" xfId="36251"/>
    <cellStyle name="Обычный 5 2 2 113" xfId="4238"/>
    <cellStyle name="Обычный 5 2 2 113 2" xfId="9579"/>
    <cellStyle name="Обычный 5 2 2 113 2 2" xfId="20259"/>
    <cellStyle name="Обычный 5 2 2 113 2 2 2" xfId="52303"/>
    <cellStyle name="Обычный 5 2 2 113 2 3" xfId="30940"/>
    <cellStyle name="Обычный 5 2 2 113 2 3 2" xfId="62983"/>
    <cellStyle name="Обычный 5 2 2 113 2 4" xfId="41623"/>
    <cellStyle name="Обычный 5 2 2 113 3" xfId="14919"/>
    <cellStyle name="Обычный 5 2 2 113 3 2" xfId="46963"/>
    <cellStyle name="Обычный 5 2 2 113 4" xfId="25600"/>
    <cellStyle name="Обычный 5 2 2 113 4 2" xfId="57643"/>
    <cellStyle name="Обычный 5 2 2 113 5" xfId="36283"/>
    <cellStyle name="Обычный 5 2 2 114" xfId="4270"/>
    <cellStyle name="Обычный 5 2 2 114 2" xfId="9611"/>
    <cellStyle name="Обычный 5 2 2 114 2 2" xfId="20291"/>
    <cellStyle name="Обычный 5 2 2 114 2 2 2" xfId="52335"/>
    <cellStyle name="Обычный 5 2 2 114 2 3" xfId="30972"/>
    <cellStyle name="Обычный 5 2 2 114 2 3 2" xfId="63015"/>
    <cellStyle name="Обычный 5 2 2 114 2 4" xfId="41655"/>
    <cellStyle name="Обычный 5 2 2 114 3" xfId="14951"/>
    <cellStyle name="Обычный 5 2 2 114 3 2" xfId="46995"/>
    <cellStyle name="Обычный 5 2 2 114 4" xfId="25632"/>
    <cellStyle name="Обычный 5 2 2 114 4 2" xfId="57675"/>
    <cellStyle name="Обычный 5 2 2 114 5" xfId="36315"/>
    <cellStyle name="Обычный 5 2 2 115" xfId="4302"/>
    <cellStyle name="Обычный 5 2 2 115 2" xfId="9643"/>
    <cellStyle name="Обычный 5 2 2 115 2 2" xfId="20323"/>
    <cellStyle name="Обычный 5 2 2 115 2 2 2" xfId="52367"/>
    <cellStyle name="Обычный 5 2 2 115 2 3" xfId="31004"/>
    <cellStyle name="Обычный 5 2 2 115 2 3 2" xfId="63047"/>
    <cellStyle name="Обычный 5 2 2 115 2 4" xfId="41687"/>
    <cellStyle name="Обычный 5 2 2 115 3" xfId="14983"/>
    <cellStyle name="Обычный 5 2 2 115 3 2" xfId="47027"/>
    <cellStyle name="Обычный 5 2 2 115 4" xfId="25664"/>
    <cellStyle name="Обычный 5 2 2 115 4 2" xfId="57707"/>
    <cellStyle name="Обычный 5 2 2 115 5" xfId="36347"/>
    <cellStyle name="Обычный 5 2 2 116" xfId="4334"/>
    <cellStyle name="Обычный 5 2 2 116 2" xfId="9675"/>
    <cellStyle name="Обычный 5 2 2 116 2 2" xfId="20355"/>
    <cellStyle name="Обычный 5 2 2 116 2 2 2" xfId="52399"/>
    <cellStyle name="Обычный 5 2 2 116 2 3" xfId="31036"/>
    <cellStyle name="Обычный 5 2 2 116 2 3 2" xfId="63079"/>
    <cellStyle name="Обычный 5 2 2 116 2 4" xfId="41719"/>
    <cellStyle name="Обычный 5 2 2 116 3" xfId="15015"/>
    <cellStyle name="Обычный 5 2 2 116 3 2" xfId="47059"/>
    <cellStyle name="Обычный 5 2 2 116 4" xfId="25696"/>
    <cellStyle name="Обычный 5 2 2 116 4 2" xfId="57739"/>
    <cellStyle name="Обычный 5 2 2 116 5" xfId="36379"/>
    <cellStyle name="Обычный 5 2 2 117" xfId="4366"/>
    <cellStyle name="Обычный 5 2 2 117 2" xfId="9707"/>
    <cellStyle name="Обычный 5 2 2 117 2 2" xfId="20387"/>
    <cellStyle name="Обычный 5 2 2 117 2 2 2" xfId="52431"/>
    <cellStyle name="Обычный 5 2 2 117 2 3" xfId="31068"/>
    <cellStyle name="Обычный 5 2 2 117 2 3 2" xfId="63111"/>
    <cellStyle name="Обычный 5 2 2 117 2 4" xfId="41751"/>
    <cellStyle name="Обычный 5 2 2 117 3" xfId="15047"/>
    <cellStyle name="Обычный 5 2 2 117 3 2" xfId="47091"/>
    <cellStyle name="Обычный 5 2 2 117 4" xfId="25728"/>
    <cellStyle name="Обычный 5 2 2 117 4 2" xfId="57771"/>
    <cellStyle name="Обычный 5 2 2 117 5" xfId="36411"/>
    <cellStyle name="Обычный 5 2 2 118" xfId="4398"/>
    <cellStyle name="Обычный 5 2 2 118 2" xfId="9739"/>
    <cellStyle name="Обычный 5 2 2 118 2 2" xfId="20419"/>
    <cellStyle name="Обычный 5 2 2 118 2 2 2" xfId="52463"/>
    <cellStyle name="Обычный 5 2 2 118 2 3" xfId="31100"/>
    <cellStyle name="Обычный 5 2 2 118 2 3 2" xfId="63143"/>
    <cellStyle name="Обычный 5 2 2 118 2 4" xfId="41783"/>
    <cellStyle name="Обычный 5 2 2 118 3" xfId="15079"/>
    <cellStyle name="Обычный 5 2 2 118 3 2" xfId="47123"/>
    <cellStyle name="Обычный 5 2 2 118 4" xfId="25760"/>
    <cellStyle name="Обычный 5 2 2 118 4 2" xfId="57803"/>
    <cellStyle name="Обычный 5 2 2 118 5" xfId="36443"/>
    <cellStyle name="Обычный 5 2 2 119" xfId="4430"/>
    <cellStyle name="Обычный 5 2 2 119 2" xfId="9771"/>
    <cellStyle name="Обычный 5 2 2 119 2 2" xfId="20451"/>
    <cellStyle name="Обычный 5 2 2 119 2 2 2" xfId="52495"/>
    <cellStyle name="Обычный 5 2 2 119 2 3" xfId="31132"/>
    <cellStyle name="Обычный 5 2 2 119 2 3 2" xfId="63175"/>
    <cellStyle name="Обычный 5 2 2 119 2 4" xfId="41815"/>
    <cellStyle name="Обычный 5 2 2 119 3" xfId="15111"/>
    <cellStyle name="Обычный 5 2 2 119 3 2" xfId="47155"/>
    <cellStyle name="Обычный 5 2 2 119 4" xfId="25792"/>
    <cellStyle name="Обычный 5 2 2 119 4 2" xfId="57835"/>
    <cellStyle name="Обычный 5 2 2 119 5" xfId="36475"/>
    <cellStyle name="Обычный 5 2 2 12" xfId="1214"/>
    <cellStyle name="Обычный 5 2 2 12 2" xfId="6557"/>
    <cellStyle name="Обычный 5 2 2 12 2 2" xfId="17237"/>
    <cellStyle name="Обычный 5 2 2 12 2 2 2" xfId="49281"/>
    <cellStyle name="Обычный 5 2 2 12 2 3" xfId="27918"/>
    <cellStyle name="Обычный 5 2 2 12 2 3 2" xfId="59961"/>
    <cellStyle name="Обычный 5 2 2 12 2 4" xfId="38601"/>
    <cellStyle name="Обычный 5 2 2 12 3" xfId="11897"/>
    <cellStyle name="Обычный 5 2 2 12 3 2" xfId="43941"/>
    <cellStyle name="Обычный 5 2 2 12 4" xfId="22578"/>
    <cellStyle name="Обычный 5 2 2 12 4 2" xfId="54621"/>
    <cellStyle name="Обычный 5 2 2 12 5" xfId="33261"/>
    <cellStyle name="Обычный 5 2 2 120" xfId="4462"/>
    <cellStyle name="Обычный 5 2 2 120 2" xfId="9803"/>
    <cellStyle name="Обычный 5 2 2 120 2 2" xfId="20483"/>
    <cellStyle name="Обычный 5 2 2 120 2 2 2" xfId="52527"/>
    <cellStyle name="Обычный 5 2 2 120 2 3" xfId="31164"/>
    <cellStyle name="Обычный 5 2 2 120 2 3 2" xfId="63207"/>
    <cellStyle name="Обычный 5 2 2 120 2 4" xfId="41847"/>
    <cellStyle name="Обычный 5 2 2 120 3" xfId="15143"/>
    <cellStyle name="Обычный 5 2 2 120 3 2" xfId="47187"/>
    <cellStyle name="Обычный 5 2 2 120 4" xfId="25824"/>
    <cellStyle name="Обычный 5 2 2 120 4 2" xfId="57867"/>
    <cellStyle name="Обычный 5 2 2 120 5" xfId="36507"/>
    <cellStyle name="Обычный 5 2 2 121" xfId="4494"/>
    <cellStyle name="Обычный 5 2 2 121 2" xfId="9835"/>
    <cellStyle name="Обычный 5 2 2 121 2 2" xfId="20515"/>
    <cellStyle name="Обычный 5 2 2 121 2 2 2" xfId="52559"/>
    <cellStyle name="Обычный 5 2 2 121 2 3" xfId="31196"/>
    <cellStyle name="Обычный 5 2 2 121 2 3 2" xfId="63239"/>
    <cellStyle name="Обычный 5 2 2 121 2 4" xfId="41879"/>
    <cellStyle name="Обычный 5 2 2 121 3" xfId="15175"/>
    <cellStyle name="Обычный 5 2 2 121 3 2" xfId="47219"/>
    <cellStyle name="Обычный 5 2 2 121 4" xfId="25856"/>
    <cellStyle name="Обычный 5 2 2 121 4 2" xfId="57899"/>
    <cellStyle name="Обычный 5 2 2 121 5" xfId="36539"/>
    <cellStyle name="Обычный 5 2 2 122" xfId="4526"/>
    <cellStyle name="Обычный 5 2 2 122 2" xfId="9867"/>
    <cellStyle name="Обычный 5 2 2 122 2 2" xfId="20547"/>
    <cellStyle name="Обычный 5 2 2 122 2 2 2" xfId="52591"/>
    <cellStyle name="Обычный 5 2 2 122 2 3" xfId="31228"/>
    <cellStyle name="Обычный 5 2 2 122 2 3 2" xfId="63271"/>
    <cellStyle name="Обычный 5 2 2 122 2 4" xfId="41911"/>
    <cellStyle name="Обычный 5 2 2 122 3" xfId="15207"/>
    <cellStyle name="Обычный 5 2 2 122 3 2" xfId="47251"/>
    <cellStyle name="Обычный 5 2 2 122 4" xfId="25888"/>
    <cellStyle name="Обычный 5 2 2 122 4 2" xfId="57931"/>
    <cellStyle name="Обычный 5 2 2 122 5" xfId="36571"/>
    <cellStyle name="Обычный 5 2 2 123" xfId="4558"/>
    <cellStyle name="Обычный 5 2 2 123 2" xfId="9899"/>
    <cellStyle name="Обычный 5 2 2 123 2 2" xfId="20579"/>
    <cellStyle name="Обычный 5 2 2 123 2 2 2" xfId="52623"/>
    <cellStyle name="Обычный 5 2 2 123 2 3" xfId="31260"/>
    <cellStyle name="Обычный 5 2 2 123 2 3 2" xfId="63303"/>
    <cellStyle name="Обычный 5 2 2 123 2 4" xfId="41943"/>
    <cellStyle name="Обычный 5 2 2 123 3" xfId="15239"/>
    <cellStyle name="Обычный 5 2 2 123 3 2" xfId="47283"/>
    <cellStyle name="Обычный 5 2 2 123 4" xfId="25920"/>
    <cellStyle name="Обычный 5 2 2 123 4 2" xfId="57963"/>
    <cellStyle name="Обычный 5 2 2 123 5" xfId="36603"/>
    <cellStyle name="Обычный 5 2 2 124" xfId="4590"/>
    <cellStyle name="Обычный 5 2 2 124 2" xfId="9931"/>
    <cellStyle name="Обычный 5 2 2 124 2 2" xfId="20611"/>
    <cellStyle name="Обычный 5 2 2 124 2 2 2" xfId="52655"/>
    <cellStyle name="Обычный 5 2 2 124 2 3" xfId="31292"/>
    <cellStyle name="Обычный 5 2 2 124 2 3 2" xfId="63335"/>
    <cellStyle name="Обычный 5 2 2 124 2 4" xfId="41975"/>
    <cellStyle name="Обычный 5 2 2 124 3" xfId="15271"/>
    <cellStyle name="Обычный 5 2 2 124 3 2" xfId="47315"/>
    <cellStyle name="Обычный 5 2 2 124 4" xfId="25952"/>
    <cellStyle name="Обычный 5 2 2 124 4 2" xfId="57995"/>
    <cellStyle name="Обычный 5 2 2 124 5" xfId="36635"/>
    <cellStyle name="Обычный 5 2 2 125" xfId="4622"/>
    <cellStyle name="Обычный 5 2 2 125 2" xfId="9963"/>
    <cellStyle name="Обычный 5 2 2 125 2 2" xfId="20643"/>
    <cellStyle name="Обычный 5 2 2 125 2 2 2" xfId="52687"/>
    <cellStyle name="Обычный 5 2 2 125 2 3" xfId="31324"/>
    <cellStyle name="Обычный 5 2 2 125 2 3 2" xfId="63367"/>
    <cellStyle name="Обычный 5 2 2 125 2 4" xfId="42007"/>
    <cellStyle name="Обычный 5 2 2 125 3" xfId="15303"/>
    <cellStyle name="Обычный 5 2 2 125 3 2" xfId="47347"/>
    <cellStyle name="Обычный 5 2 2 125 4" xfId="25984"/>
    <cellStyle name="Обычный 5 2 2 125 4 2" xfId="58027"/>
    <cellStyle name="Обычный 5 2 2 125 5" xfId="36667"/>
    <cellStyle name="Обычный 5 2 2 126" xfId="4654"/>
    <cellStyle name="Обычный 5 2 2 126 2" xfId="9995"/>
    <cellStyle name="Обычный 5 2 2 126 2 2" xfId="20675"/>
    <cellStyle name="Обычный 5 2 2 126 2 2 2" xfId="52719"/>
    <cellStyle name="Обычный 5 2 2 126 2 3" xfId="31356"/>
    <cellStyle name="Обычный 5 2 2 126 2 3 2" xfId="63399"/>
    <cellStyle name="Обычный 5 2 2 126 2 4" xfId="42039"/>
    <cellStyle name="Обычный 5 2 2 126 3" xfId="15335"/>
    <cellStyle name="Обычный 5 2 2 126 3 2" xfId="47379"/>
    <cellStyle name="Обычный 5 2 2 126 4" xfId="26016"/>
    <cellStyle name="Обычный 5 2 2 126 4 2" xfId="58059"/>
    <cellStyle name="Обычный 5 2 2 126 5" xfId="36699"/>
    <cellStyle name="Обычный 5 2 2 127" xfId="4686"/>
    <cellStyle name="Обычный 5 2 2 127 2" xfId="10027"/>
    <cellStyle name="Обычный 5 2 2 127 2 2" xfId="20707"/>
    <cellStyle name="Обычный 5 2 2 127 2 2 2" xfId="52751"/>
    <cellStyle name="Обычный 5 2 2 127 2 3" xfId="31388"/>
    <cellStyle name="Обычный 5 2 2 127 2 3 2" xfId="63431"/>
    <cellStyle name="Обычный 5 2 2 127 2 4" xfId="42071"/>
    <cellStyle name="Обычный 5 2 2 127 3" xfId="15367"/>
    <cellStyle name="Обычный 5 2 2 127 3 2" xfId="47411"/>
    <cellStyle name="Обычный 5 2 2 127 4" xfId="26048"/>
    <cellStyle name="Обычный 5 2 2 127 4 2" xfId="58091"/>
    <cellStyle name="Обычный 5 2 2 127 5" xfId="36731"/>
    <cellStyle name="Обычный 5 2 2 128" xfId="4720"/>
    <cellStyle name="Обычный 5 2 2 128 2" xfId="10061"/>
    <cellStyle name="Обычный 5 2 2 128 2 2" xfId="20741"/>
    <cellStyle name="Обычный 5 2 2 128 2 2 2" xfId="52785"/>
    <cellStyle name="Обычный 5 2 2 128 2 3" xfId="31422"/>
    <cellStyle name="Обычный 5 2 2 128 2 3 2" xfId="63465"/>
    <cellStyle name="Обычный 5 2 2 128 2 4" xfId="42105"/>
    <cellStyle name="Обычный 5 2 2 128 3" xfId="15401"/>
    <cellStyle name="Обычный 5 2 2 128 3 2" xfId="47445"/>
    <cellStyle name="Обычный 5 2 2 128 4" xfId="26082"/>
    <cellStyle name="Обычный 5 2 2 128 4 2" xfId="58125"/>
    <cellStyle name="Обычный 5 2 2 128 5" xfId="36765"/>
    <cellStyle name="Обычный 5 2 2 129" xfId="4752"/>
    <cellStyle name="Обычный 5 2 2 129 2" xfId="10093"/>
    <cellStyle name="Обычный 5 2 2 129 2 2" xfId="20773"/>
    <cellStyle name="Обычный 5 2 2 129 2 2 2" xfId="52817"/>
    <cellStyle name="Обычный 5 2 2 129 2 3" xfId="31454"/>
    <cellStyle name="Обычный 5 2 2 129 2 3 2" xfId="63497"/>
    <cellStyle name="Обычный 5 2 2 129 2 4" xfId="42137"/>
    <cellStyle name="Обычный 5 2 2 129 3" xfId="15433"/>
    <cellStyle name="Обычный 5 2 2 129 3 2" xfId="47477"/>
    <cellStyle name="Обычный 5 2 2 129 4" xfId="26114"/>
    <cellStyle name="Обычный 5 2 2 129 4 2" xfId="58157"/>
    <cellStyle name="Обычный 5 2 2 129 5" xfId="36797"/>
    <cellStyle name="Обычный 5 2 2 13" xfId="1240"/>
    <cellStyle name="Обычный 5 2 2 13 2" xfId="6583"/>
    <cellStyle name="Обычный 5 2 2 13 2 2" xfId="17263"/>
    <cellStyle name="Обычный 5 2 2 13 2 2 2" xfId="49307"/>
    <cellStyle name="Обычный 5 2 2 13 2 3" xfId="27944"/>
    <cellStyle name="Обычный 5 2 2 13 2 3 2" xfId="59987"/>
    <cellStyle name="Обычный 5 2 2 13 2 4" xfId="38627"/>
    <cellStyle name="Обычный 5 2 2 13 3" xfId="11923"/>
    <cellStyle name="Обычный 5 2 2 13 3 2" xfId="43967"/>
    <cellStyle name="Обычный 5 2 2 13 4" xfId="22604"/>
    <cellStyle name="Обычный 5 2 2 13 4 2" xfId="54647"/>
    <cellStyle name="Обычный 5 2 2 13 5" xfId="33287"/>
    <cellStyle name="Обычный 5 2 2 130" xfId="4784"/>
    <cellStyle name="Обычный 5 2 2 130 2" xfId="10125"/>
    <cellStyle name="Обычный 5 2 2 130 2 2" xfId="20805"/>
    <cellStyle name="Обычный 5 2 2 130 2 2 2" xfId="52849"/>
    <cellStyle name="Обычный 5 2 2 130 2 3" xfId="31486"/>
    <cellStyle name="Обычный 5 2 2 130 2 3 2" xfId="63529"/>
    <cellStyle name="Обычный 5 2 2 130 2 4" xfId="42169"/>
    <cellStyle name="Обычный 5 2 2 130 3" xfId="15465"/>
    <cellStyle name="Обычный 5 2 2 130 3 2" xfId="47509"/>
    <cellStyle name="Обычный 5 2 2 130 4" xfId="26146"/>
    <cellStyle name="Обычный 5 2 2 130 4 2" xfId="58189"/>
    <cellStyle name="Обычный 5 2 2 130 5" xfId="36829"/>
    <cellStyle name="Обычный 5 2 2 131" xfId="4816"/>
    <cellStyle name="Обычный 5 2 2 131 2" xfId="10157"/>
    <cellStyle name="Обычный 5 2 2 131 2 2" xfId="20837"/>
    <cellStyle name="Обычный 5 2 2 131 2 2 2" xfId="52881"/>
    <cellStyle name="Обычный 5 2 2 131 2 3" xfId="31518"/>
    <cellStyle name="Обычный 5 2 2 131 2 3 2" xfId="63561"/>
    <cellStyle name="Обычный 5 2 2 131 2 4" xfId="42201"/>
    <cellStyle name="Обычный 5 2 2 131 3" xfId="15497"/>
    <cellStyle name="Обычный 5 2 2 131 3 2" xfId="47541"/>
    <cellStyle name="Обычный 5 2 2 131 4" xfId="26178"/>
    <cellStyle name="Обычный 5 2 2 131 4 2" xfId="58221"/>
    <cellStyle name="Обычный 5 2 2 131 5" xfId="36861"/>
    <cellStyle name="Обычный 5 2 2 132" xfId="4848"/>
    <cellStyle name="Обычный 5 2 2 132 2" xfId="10189"/>
    <cellStyle name="Обычный 5 2 2 132 2 2" xfId="20869"/>
    <cellStyle name="Обычный 5 2 2 132 2 2 2" xfId="52913"/>
    <cellStyle name="Обычный 5 2 2 132 2 3" xfId="31550"/>
    <cellStyle name="Обычный 5 2 2 132 2 3 2" xfId="63593"/>
    <cellStyle name="Обычный 5 2 2 132 2 4" xfId="42233"/>
    <cellStyle name="Обычный 5 2 2 132 3" xfId="15529"/>
    <cellStyle name="Обычный 5 2 2 132 3 2" xfId="47573"/>
    <cellStyle name="Обычный 5 2 2 132 4" xfId="26210"/>
    <cellStyle name="Обычный 5 2 2 132 4 2" xfId="58253"/>
    <cellStyle name="Обычный 5 2 2 132 5" xfId="36893"/>
    <cellStyle name="Обычный 5 2 2 133" xfId="4880"/>
    <cellStyle name="Обычный 5 2 2 133 2" xfId="10221"/>
    <cellStyle name="Обычный 5 2 2 133 2 2" xfId="20901"/>
    <cellStyle name="Обычный 5 2 2 133 2 2 2" xfId="52945"/>
    <cellStyle name="Обычный 5 2 2 133 2 3" xfId="31582"/>
    <cellStyle name="Обычный 5 2 2 133 2 3 2" xfId="63625"/>
    <cellStyle name="Обычный 5 2 2 133 2 4" xfId="42265"/>
    <cellStyle name="Обычный 5 2 2 133 3" xfId="15561"/>
    <cellStyle name="Обычный 5 2 2 133 3 2" xfId="47605"/>
    <cellStyle name="Обычный 5 2 2 133 4" xfId="26242"/>
    <cellStyle name="Обычный 5 2 2 133 4 2" xfId="58285"/>
    <cellStyle name="Обычный 5 2 2 133 5" xfId="36925"/>
    <cellStyle name="Обычный 5 2 2 134" xfId="4912"/>
    <cellStyle name="Обычный 5 2 2 134 2" xfId="10253"/>
    <cellStyle name="Обычный 5 2 2 134 2 2" xfId="20933"/>
    <cellStyle name="Обычный 5 2 2 134 2 2 2" xfId="52977"/>
    <cellStyle name="Обычный 5 2 2 134 2 3" xfId="31614"/>
    <cellStyle name="Обычный 5 2 2 134 2 3 2" xfId="63657"/>
    <cellStyle name="Обычный 5 2 2 134 2 4" xfId="42297"/>
    <cellStyle name="Обычный 5 2 2 134 3" xfId="15593"/>
    <cellStyle name="Обычный 5 2 2 134 3 2" xfId="47637"/>
    <cellStyle name="Обычный 5 2 2 134 4" xfId="26274"/>
    <cellStyle name="Обычный 5 2 2 134 4 2" xfId="58317"/>
    <cellStyle name="Обычный 5 2 2 134 5" xfId="36957"/>
    <cellStyle name="Обычный 5 2 2 135" xfId="4944"/>
    <cellStyle name="Обычный 5 2 2 135 2" xfId="10285"/>
    <cellStyle name="Обычный 5 2 2 135 2 2" xfId="20965"/>
    <cellStyle name="Обычный 5 2 2 135 2 2 2" xfId="53009"/>
    <cellStyle name="Обычный 5 2 2 135 2 3" xfId="31646"/>
    <cellStyle name="Обычный 5 2 2 135 2 3 2" xfId="63689"/>
    <cellStyle name="Обычный 5 2 2 135 2 4" xfId="42329"/>
    <cellStyle name="Обычный 5 2 2 135 3" xfId="15625"/>
    <cellStyle name="Обычный 5 2 2 135 3 2" xfId="47669"/>
    <cellStyle name="Обычный 5 2 2 135 4" xfId="26306"/>
    <cellStyle name="Обычный 5 2 2 135 4 2" xfId="58349"/>
    <cellStyle name="Обычный 5 2 2 135 5" xfId="36989"/>
    <cellStyle name="Обычный 5 2 2 136" xfId="4976"/>
    <cellStyle name="Обычный 5 2 2 136 2" xfId="10317"/>
    <cellStyle name="Обычный 5 2 2 136 2 2" xfId="20997"/>
    <cellStyle name="Обычный 5 2 2 136 2 2 2" xfId="53041"/>
    <cellStyle name="Обычный 5 2 2 136 2 3" xfId="31678"/>
    <cellStyle name="Обычный 5 2 2 136 2 3 2" xfId="63721"/>
    <cellStyle name="Обычный 5 2 2 136 2 4" xfId="42361"/>
    <cellStyle name="Обычный 5 2 2 136 3" xfId="15657"/>
    <cellStyle name="Обычный 5 2 2 136 3 2" xfId="47701"/>
    <cellStyle name="Обычный 5 2 2 136 4" xfId="26338"/>
    <cellStyle name="Обычный 5 2 2 136 4 2" xfId="58381"/>
    <cellStyle name="Обычный 5 2 2 136 5" xfId="37021"/>
    <cellStyle name="Обычный 5 2 2 137" xfId="5008"/>
    <cellStyle name="Обычный 5 2 2 137 2" xfId="10349"/>
    <cellStyle name="Обычный 5 2 2 137 2 2" xfId="21029"/>
    <cellStyle name="Обычный 5 2 2 137 2 2 2" xfId="53073"/>
    <cellStyle name="Обычный 5 2 2 137 2 3" xfId="31710"/>
    <cellStyle name="Обычный 5 2 2 137 2 3 2" xfId="63753"/>
    <cellStyle name="Обычный 5 2 2 137 2 4" xfId="42393"/>
    <cellStyle name="Обычный 5 2 2 137 3" xfId="15689"/>
    <cellStyle name="Обычный 5 2 2 137 3 2" xfId="47733"/>
    <cellStyle name="Обычный 5 2 2 137 4" xfId="26370"/>
    <cellStyle name="Обычный 5 2 2 137 4 2" xfId="58413"/>
    <cellStyle name="Обычный 5 2 2 137 5" xfId="37053"/>
    <cellStyle name="Обычный 5 2 2 138" xfId="5040"/>
    <cellStyle name="Обычный 5 2 2 138 2" xfId="10381"/>
    <cellStyle name="Обычный 5 2 2 138 2 2" xfId="21061"/>
    <cellStyle name="Обычный 5 2 2 138 2 2 2" xfId="53105"/>
    <cellStyle name="Обычный 5 2 2 138 2 3" xfId="31742"/>
    <cellStyle name="Обычный 5 2 2 138 2 3 2" xfId="63785"/>
    <cellStyle name="Обычный 5 2 2 138 2 4" xfId="42425"/>
    <cellStyle name="Обычный 5 2 2 138 3" xfId="15721"/>
    <cellStyle name="Обычный 5 2 2 138 3 2" xfId="47765"/>
    <cellStyle name="Обычный 5 2 2 138 4" xfId="26402"/>
    <cellStyle name="Обычный 5 2 2 138 4 2" xfId="58445"/>
    <cellStyle name="Обычный 5 2 2 138 5" xfId="37085"/>
    <cellStyle name="Обычный 5 2 2 139" xfId="5072"/>
    <cellStyle name="Обычный 5 2 2 139 2" xfId="10413"/>
    <cellStyle name="Обычный 5 2 2 139 2 2" xfId="21093"/>
    <cellStyle name="Обычный 5 2 2 139 2 2 2" xfId="53137"/>
    <cellStyle name="Обычный 5 2 2 139 2 3" xfId="31774"/>
    <cellStyle name="Обычный 5 2 2 139 2 3 2" xfId="63817"/>
    <cellStyle name="Обычный 5 2 2 139 2 4" xfId="42457"/>
    <cellStyle name="Обычный 5 2 2 139 3" xfId="15753"/>
    <cellStyle name="Обычный 5 2 2 139 3 2" xfId="47797"/>
    <cellStyle name="Обычный 5 2 2 139 4" xfId="26434"/>
    <cellStyle name="Обычный 5 2 2 139 4 2" xfId="58477"/>
    <cellStyle name="Обычный 5 2 2 139 5" xfId="37117"/>
    <cellStyle name="Обычный 5 2 2 14" xfId="1266"/>
    <cellStyle name="Обычный 5 2 2 14 2" xfId="6609"/>
    <cellStyle name="Обычный 5 2 2 14 2 2" xfId="17289"/>
    <cellStyle name="Обычный 5 2 2 14 2 2 2" xfId="49333"/>
    <cellStyle name="Обычный 5 2 2 14 2 3" xfId="27970"/>
    <cellStyle name="Обычный 5 2 2 14 2 3 2" xfId="60013"/>
    <cellStyle name="Обычный 5 2 2 14 2 4" xfId="38653"/>
    <cellStyle name="Обычный 5 2 2 14 3" xfId="11949"/>
    <cellStyle name="Обычный 5 2 2 14 3 2" xfId="43993"/>
    <cellStyle name="Обычный 5 2 2 14 4" xfId="22630"/>
    <cellStyle name="Обычный 5 2 2 14 4 2" xfId="54673"/>
    <cellStyle name="Обычный 5 2 2 14 5" xfId="33313"/>
    <cellStyle name="Обычный 5 2 2 140" xfId="5104"/>
    <cellStyle name="Обычный 5 2 2 140 2" xfId="10445"/>
    <cellStyle name="Обычный 5 2 2 140 2 2" xfId="21125"/>
    <cellStyle name="Обычный 5 2 2 140 2 2 2" xfId="53169"/>
    <cellStyle name="Обычный 5 2 2 140 2 3" xfId="31806"/>
    <cellStyle name="Обычный 5 2 2 140 2 3 2" xfId="63849"/>
    <cellStyle name="Обычный 5 2 2 140 2 4" xfId="42489"/>
    <cellStyle name="Обычный 5 2 2 140 3" xfId="15785"/>
    <cellStyle name="Обычный 5 2 2 140 3 2" xfId="47829"/>
    <cellStyle name="Обычный 5 2 2 140 4" xfId="26466"/>
    <cellStyle name="Обычный 5 2 2 140 4 2" xfId="58509"/>
    <cellStyle name="Обычный 5 2 2 140 5" xfId="37149"/>
    <cellStyle name="Обычный 5 2 2 141" xfId="5136"/>
    <cellStyle name="Обычный 5 2 2 141 2" xfId="10477"/>
    <cellStyle name="Обычный 5 2 2 141 2 2" xfId="21157"/>
    <cellStyle name="Обычный 5 2 2 141 2 2 2" xfId="53201"/>
    <cellStyle name="Обычный 5 2 2 141 2 3" xfId="31838"/>
    <cellStyle name="Обычный 5 2 2 141 2 3 2" xfId="63881"/>
    <cellStyle name="Обычный 5 2 2 141 2 4" xfId="42521"/>
    <cellStyle name="Обычный 5 2 2 141 3" xfId="15817"/>
    <cellStyle name="Обычный 5 2 2 141 3 2" xfId="47861"/>
    <cellStyle name="Обычный 5 2 2 141 4" xfId="26498"/>
    <cellStyle name="Обычный 5 2 2 141 4 2" xfId="58541"/>
    <cellStyle name="Обычный 5 2 2 141 5" xfId="37181"/>
    <cellStyle name="Обычный 5 2 2 142" xfId="5168"/>
    <cellStyle name="Обычный 5 2 2 142 2" xfId="10509"/>
    <cellStyle name="Обычный 5 2 2 142 2 2" xfId="21189"/>
    <cellStyle name="Обычный 5 2 2 142 2 2 2" xfId="53233"/>
    <cellStyle name="Обычный 5 2 2 142 2 3" xfId="31870"/>
    <cellStyle name="Обычный 5 2 2 142 2 3 2" xfId="63913"/>
    <cellStyle name="Обычный 5 2 2 142 2 4" xfId="42553"/>
    <cellStyle name="Обычный 5 2 2 142 3" xfId="15849"/>
    <cellStyle name="Обычный 5 2 2 142 3 2" xfId="47893"/>
    <cellStyle name="Обычный 5 2 2 142 4" xfId="26530"/>
    <cellStyle name="Обычный 5 2 2 142 4 2" xfId="58573"/>
    <cellStyle name="Обычный 5 2 2 142 5" xfId="37213"/>
    <cellStyle name="Обычный 5 2 2 143" xfId="5200"/>
    <cellStyle name="Обычный 5 2 2 143 2" xfId="10541"/>
    <cellStyle name="Обычный 5 2 2 143 2 2" xfId="21221"/>
    <cellStyle name="Обычный 5 2 2 143 2 2 2" xfId="53265"/>
    <cellStyle name="Обычный 5 2 2 143 2 3" xfId="31902"/>
    <cellStyle name="Обычный 5 2 2 143 2 3 2" xfId="63945"/>
    <cellStyle name="Обычный 5 2 2 143 2 4" xfId="42585"/>
    <cellStyle name="Обычный 5 2 2 143 3" xfId="15881"/>
    <cellStyle name="Обычный 5 2 2 143 3 2" xfId="47925"/>
    <cellStyle name="Обычный 5 2 2 143 4" xfId="26562"/>
    <cellStyle name="Обычный 5 2 2 143 4 2" xfId="58605"/>
    <cellStyle name="Обычный 5 2 2 143 5" xfId="37245"/>
    <cellStyle name="Обычный 5 2 2 144" xfId="5232"/>
    <cellStyle name="Обычный 5 2 2 144 2" xfId="10573"/>
    <cellStyle name="Обычный 5 2 2 144 2 2" xfId="21253"/>
    <cellStyle name="Обычный 5 2 2 144 2 2 2" xfId="53297"/>
    <cellStyle name="Обычный 5 2 2 144 2 3" xfId="31934"/>
    <cellStyle name="Обычный 5 2 2 144 2 3 2" xfId="63977"/>
    <cellStyle name="Обычный 5 2 2 144 2 4" xfId="42617"/>
    <cellStyle name="Обычный 5 2 2 144 3" xfId="15913"/>
    <cellStyle name="Обычный 5 2 2 144 3 2" xfId="47957"/>
    <cellStyle name="Обычный 5 2 2 144 4" xfId="26594"/>
    <cellStyle name="Обычный 5 2 2 144 4 2" xfId="58637"/>
    <cellStyle name="Обычный 5 2 2 144 5" xfId="37277"/>
    <cellStyle name="Обычный 5 2 2 145" xfId="5264"/>
    <cellStyle name="Обычный 5 2 2 145 2" xfId="10605"/>
    <cellStyle name="Обычный 5 2 2 145 2 2" xfId="21285"/>
    <cellStyle name="Обычный 5 2 2 145 2 2 2" xfId="53329"/>
    <cellStyle name="Обычный 5 2 2 145 2 3" xfId="31966"/>
    <cellStyle name="Обычный 5 2 2 145 2 3 2" xfId="64009"/>
    <cellStyle name="Обычный 5 2 2 145 2 4" xfId="42649"/>
    <cellStyle name="Обычный 5 2 2 145 3" xfId="15945"/>
    <cellStyle name="Обычный 5 2 2 145 3 2" xfId="47989"/>
    <cellStyle name="Обычный 5 2 2 145 4" xfId="26626"/>
    <cellStyle name="Обычный 5 2 2 145 4 2" xfId="58669"/>
    <cellStyle name="Обычный 5 2 2 145 5" xfId="37309"/>
    <cellStyle name="Обычный 5 2 2 146" xfId="5296"/>
    <cellStyle name="Обычный 5 2 2 146 2" xfId="10637"/>
    <cellStyle name="Обычный 5 2 2 146 2 2" xfId="21317"/>
    <cellStyle name="Обычный 5 2 2 146 2 2 2" xfId="53361"/>
    <cellStyle name="Обычный 5 2 2 146 2 3" xfId="31998"/>
    <cellStyle name="Обычный 5 2 2 146 2 3 2" xfId="64041"/>
    <cellStyle name="Обычный 5 2 2 146 2 4" xfId="42681"/>
    <cellStyle name="Обычный 5 2 2 146 3" xfId="15977"/>
    <cellStyle name="Обычный 5 2 2 146 3 2" xfId="48021"/>
    <cellStyle name="Обычный 5 2 2 146 4" xfId="26658"/>
    <cellStyle name="Обычный 5 2 2 146 4 2" xfId="58701"/>
    <cellStyle name="Обычный 5 2 2 146 5" xfId="37341"/>
    <cellStyle name="Обычный 5 2 2 147" xfId="5328"/>
    <cellStyle name="Обычный 5 2 2 147 2" xfId="10669"/>
    <cellStyle name="Обычный 5 2 2 147 2 2" xfId="21349"/>
    <cellStyle name="Обычный 5 2 2 147 2 2 2" xfId="53393"/>
    <cellStyle name="Обычный 5 2 2 147 2 3" xfId="32030"/>
    <cellStyle name="Обычный 5 2 2 147 2 3 2" xfId="64073"/>
    <cellStyle name="Обычный 5 2 2 147 2 4" xfId="42713"/>
    <cellStyle name="Обычный 5 2 2 147 3" xfId="16009"/>
    <cellStyle name="Обычный 5 2 2 147 3 2" xfId="48053"/>
    <cellStyle name="Обычный 5 2 2 147 4" xfId="26690"/>
    <cellStyle name="Обычный 5 2 2 147 4 2" xfId="58733"/>
    <cellStyle name="Обычный 5 2 2 147 5" xfId="37373"/>
    <cellStyle name="Обычный 5 2 2 148" xfId="5360"/>
    <cellStyle name="Обычный 5 2 2 148 2" xfId="10701"/>
    <cellStyle name="Обычный 5 2 2 148 2 2" xfId="21381"/>
    <cellStyle name="Обычный 5 2 2 148 2 2 2" xfId="53425"/>
    <cellStyle name="Обычный 5 2 2 148 2 3" xfId="32062"/>
    <cellStyle name="Обычный 5 2 2 148 2 3 2" xfId="64105"/>
    <cellStyle name="Обычный 5 2 2 148 2 4" xfId="42745"/>
    <cellStyle name="Обычный 5 2 2 148 3" xfId="16041"/>
    <cellStyle name="Обычный 5 2 2 148 3 2" xfId="48085"/>
    <cellStyle name="Обычный 5 2 2 148 4" xfId="26722"/>
    <cellStyle name="Обычный 5 2 2 148 4 2" xfId="58765"/>
    <cellStyle name="Обычный 5 2 2 148 5" xfId="37405"/>
    <cellStyle name="Обычный 5 2 2 149" xfId="5424"/>
    <cellStyle name="Обычный 5 2 2 149 2" xfId="16104"/>
    <cellStyle name="Обычный 5 2 2 149 2 2" xfId="48148"/>
    <cellStyle name="Обычный 5 2 2 149 3" xfId="26785"/>
    <cellStyle name="Обычный 5 2 2 149 3 2" xfId="58828"/>
    <cellStyle name="Обычный 5 2 2 149 4" xfId="37468"/>
    <cellStyle name="Обычный 5 2 2 15" xfId="1292"/>
    <cellStyle name="Обычный 5 2 2 15 2" xfId="6635"/>
    <cellStyle name="Обычный 5 2 2 15 2 2" xfId="17315"/>
    <cellStyle name="Обычный 5 2 2 15 2 2 2" xfId="49359"/>
    <cellStyle name="Обычный 5 2 2 15 2 3" xfId="27996"/>
    <cellStyle name="Обычный 5 2 2 15 2 3 2" xfId="60039"/>
    <cellStyle name="Обычный 5 2 2 15 2 4" xfId="38679"/>
    <cellStyle name="Обычный 5 2 2 15 3" xfId="11975"/>
    <cellStyle name="Обычный 5 2 2 15 3 2" xfId="44019"/>
    <cellStyle name="Обычный 5 2 2 15 4" xfId="22656"/>
    <cellStyle name="Обычный 5 2 2 15 4 2" xfId="54699"/>
    <cellStyle name="Обычный 5 2 2 15 5" xfId="33339"/>
    <cellStyle name="Обычный 5 2 2 150" xfId="10764"/>
    <cellStyle name="Обычный 5 2 2 150 2" xfId="42808"/>
    <cellStyle name="Обычный 5 2 2 151" xfId="21445"/>
    <cellStyle name="Обычный 5 2 2 151 2" xfId="53488"/>
    <cellStyle name="Обычный 5 2 2 152" xfId="32128"/>
    <cellStyle name="Обычный 5 2 2 16" xfId="1319"/>
    <cellStyle name="Обычный 5 2 2 16 2" xfId="6661"/>
    <cellStyle name="Обычный 5 2 2 16 2 2" xfId="17341"/>
    <cellStyle name="Обычный 5 2 2 16 2 2 2" xfId="49385"/>
    <cellStyle name="Обычный 5 2 2 16 2 3" xfId="28022"/>
    <cellStyle name="Обычный 5 2 2 16 2 3 2" xfId="60065"/>
    <cellStyle name="Обычный 5 2 2 16 2 4" xfId="38705"/>
    <cellStyle name="Обычный 5 2 2 16 3" xfId="12001"/>
    <cellStyle name="Обычный 5 2 2 16 3 2" xfId="44045"/>
    <cellStyle name="Обычный 5 2 2 16 4" xfId="22682"/>
    <cellStyle name="Обычный 5 2 2 16 4 2" xfId="54725"/>
    <cellStyle name="Обычный 5 2 2 16 5" xfId="33365"/>
    <cellStyle name="Обычный 5 2 2 17" xfId="1345"/>
    <cellStyle name="Обычный 5 2 2 17 2" xfId="6687"/>
    <cellStyle name="Обычный 5 2 2 17 2 2" xfId="17367"/>
    <cellStyle name="Обычный 5 2 2 17 2 2 2" xfId="49411"/>
    <cellStyle name="Обычный 5 2 2 17 2 3" xfId="28048"/>
    <cellStyle name="Обычный 5 2 2 17 2 3 2" xfId="60091"/>
    <cellStyle name="Обычный 5 2 2 17 2 4" xfId="38731"/>
    <cellStyle name="Обычный 5 2 2 17 3" xfId="12027"/>
    <cellStyle name="Обычный 5 2 2 17 3 2" xfId="44071"/>
    <cellStyle name="Обычный 5 2 2 17 4" xfId="22708"/>
    <cellStyle name="Обычный 5 2 2 17 4 2" xfId="54751"/>
    <cellStyle name="Обычный 5 2 2 17 5" xfId="33391"/>
    <cellStyle name="Обычный 5 2 2 18" xfId="1371"/>
    <cellStyle name="Обычный 5 2 2 18 2" xfId="6713"/>
    <cellStyle name="Обычный 5 2 2 18 2 2" xfId="17393"/>
    <cellStyle name="Обычный 5 2 2 18 2 2 2" xfId="49437"/>
    <cellStyle name="Обычный 5 2 2 18 2 3" xfId="28074"/>
    <cellStyle name="Обычный 5 2 2 18 2 3 2" xfId="60117"/>
    <cellStyle name="Обычный 5 2 2 18 2 4" xfId="38757"/>
    <cellStyle name="Обычный 5 2 2 18 3" xfId="12053"/>
    <cellStyle name="Обычный 5 2 2 18 3 2" xfId="44097"/>
    <cellStyle name="Обычный 5 2 2 18 4" xfId="22734"/>
    <cellStyle name="Обычный 5 2 2 18 4 2" xfId="54777"/>
    <cellStyle name="Обычный 5 2 2 18 5" xfId="33417"/>
    <cellStyle name="Обычный 5 2 2 19" xfId="1397"/>
    <cellStyle name="Обычный 5 2 2 19 2" xfId="6739"/>
    <cellStyle name="Обычный 5 2 2 19 2 2" xfId="17419"/>
    <cellStyle name="Обычный 5 2 2 19 2 2 2" xfId="49463"/>
    <cellStyle name="Обычный 5 2 2 19 2 3" xfId="28100"/>
    <cellStyle name="Обычный 5 2 2 19 2 3 2" xfId="60143"/>
    <cellStyle name="Обычный 5 2 2 19 2 4" xfId="38783"/>
    <cellStyle name="Обычный 5 2 2 19 3" xfId="12079"/>
    <cellStyle name="Обычный 5 2 2 19 3 2" xfId="44123"/>
    <cellStyle name="Обычный 5 2 2 19 4" xfId="22760"/>
    <cellStyle name="Обычный 5 2 2 19 4 2" xfId="54803"/>
    <cellStyle name="Обычный 5 2 2 19 5" xfId="33443"/>
    <cellStyle name="Обычный 5 2 2 2" xfId="548"/>
    <cellStyle name="Обычный 5 2 2 2 2" xfId="5891"/>
    <cellStyle name="Обычный 5 2 2 2 2 2" xfId="16571"/>
    <cellStyle name="Обычный 5 2 2 2 2 2 2" xfId="48615"/>
    <cellStyle name="Обычный 5 2 2 2 2 3" xfId="27252"/>
    <cellStyle name="Обычный 5 2 2 2 2 3 2" xfId="59295"/>
    <cellStyle name="Обычный 5 2 2 2 2 4" xfId="37935"/>
    <cellStyle name="Обычный 5 2 2 2 3" xfId="11231"/>
    <cellStyle name="Обычный 5 2 2 2 3 2" xfId="43275"/>
    <cellStyle name="Обычный 5 2 2 2 4" xfId="21912"/>
    <cellStyle name="Обычный 5 2 2 2 4 2" xfId="53955"/>
    <cellStyle name="Обычный 5 2 2 2 5" xfId="32595"/>
    <cellStyle name="Обычный 5 2 2 20" xfId="1423"/>
    <cellStyle name="Обычный 5 2 2 20 2" xfId="6765"/>
    <cellStyle name="Обычный 5 2 2 20 2 2" xfId="17445"/>
    <cellStyle name="Обычный 5 2 2 20 2 2 2" xfId="49489"/>
    <cellStyle name="Обычный 5 2 2 20 2 3" xfId="28126"/>
    <cellStyle name="Обычный 5 2 2 20 2 3 2" xfId="60169"/>
    <cellStyle name="Обычный 5 2 2 20 2 4" xfId="38809"/>
    <cellStyle name="Обычный 5 2 2 20 3" xfId="12105"/>
    <cellStyle name="Обычный 5 2 2 20 3 2" xfId="44149"/>
    <cellStyle name="Обычный 5 2 2 20 4" xfId="22786"/>
    <cellStyle name="Обычный 5 2 2 20 4 2" xfId="54829"/>
    <cellStyle name="Обычный 5 2 2 20 5" xfId="33469"/>
    <cellStyle name="Обычный 5 2 2 21" xfId="1449"/>
    <cellStyle name="Обычный 5 2 2 21 2" xfId="6791"/>
    <cellStyle name="Обычный 5 2 2 21 2 2" xfId="17471"/>
    <cellStyle name="Обычный 5 2 2 21 2 2 2" xfId="49515"/>
    <cellStyle name="Обычный 5 2 2 21 2 3" xfId="28152"/>
    <cellStyle name="Обычный 5 2 2 21 2 3 2" xfId="60195"/>
    <cellStyle name="Обычный 5 2 2 21 2 4" xfId="38835"/>
    <cellStyle name="Обычный 5 2 2 21 3" xfId="12131"/>
    <cellStyle name="Обычный 5 2 2 21 3 2" xfId="44175"/>
    <cellStyle name="Обычный 5 2 2 21 4" xfId="22812"/>
    <cellStyle name="Обычный 5 2 2 21 4 2" xfId="54855"/>
    <cellStyle name="Обычный 5 2 2 21 5" xfId="33495"/>
    <cellStyle name="Обычный 5 2 2 22" xfId="1475"/>
    <cellStyle name="Обычный 5 2 2 22 2" xfId="6817"/>
    <cellStyle name="Обычный 5 2 2 22 2 2" xfId="17497"/>
    <cellStyle name="Обычный 5 2 2 22 2 2 2" xfId="49541"/>
    <cellStyle name="Обычный 5 2 2 22 2 3" xfId="28178"/>
    <cellStyle name="Обычный 5 2 2 22 2 3 2" xfId="60221"/>
    <cellStyle name="Обычный 5 2 2 22 2 4" xfId="38861"/>
    <cellStyle name="Обычный 5 2 2 22 3" xfId="12157"/>
    <cellStyle name="Обычный 5 2 2 22 3 2" xfId="44201"/>
    <cellStyle name="Обычный 5 2 2 22 4" xfId="22838"/>
    <cellStyle name="Обычный 5 2 2 22 4 2" xfId="54881"/>
    <cellStyle name="Обычный 5 2 2 22 5" xfId="33521"/>
    <cellStyle name="Обычный 5 2 2 23" xfId="1501"/>
    <cellStyle name="Обычный 5 2 2 23 2" xfId="6843"/>
    <cellStyle name="Обычный 5 2 2 23 2 2" xfId="17523"/>
    <cellStyle name="Обычный 5 2 2 23 2 2 2" xfId="49567"/>
    <cellStyle name="Обычный 5 2 2 23 2 3" xfId="28204"/>
    <cellStyle name="Обычный 5 2 2 23 2 3 2" xfId="60247"/>
    <cellStyle name="Обычный 5 2 2 23 2 4" xfId="38887"/>
    <cellStyle name="Обычный 5 2 2 23 3" xfId="12183"/>
    <cellStyle name="Обычный 5 2 2 23 3 2" xfId="44227"/>
    <cellStyle name="Обычный 5 2 2 23 4" xfId="22864"/>
    <cellStyle name="Обычный 5 2 2 23 4 2" xfId="54907"/>
    <cellStyle name="Обычный 5 2 2 23 5" xfId="33547"/>
    <cellStyle name="Обычный 5 2 2 24" xfId="1527"/>
    <cellStyle name="Обычный 5 2 2 24 2" xfId="6869"/>
    <cellStyle name="Обычный 5 2 2 24 2 2" xfId="17549"/>
    <cellStyle name="Обычный 5 2 2 24 2 2 2" xfId="49593"/>
    <cellStyle name="Обычный 5 2 2 24 2 3" xfId="28230"/>
    <cellStyle name="Обычный 5 2 2 24 2 3 2" xfId="60273"/>
    <cellStyle name="Обычный 5 2 2 24 2 4" xfId="38913"/>
    <cellStyle name="Обычный 5 2 2 24 3" xfId="12209"/>
    <cellStyle name="Обычный 5 2 2 24 3 2" xfId="44253"/>
    <cellStyle name="Обычный 5 2 2 24 4" xfId="22890"/>
    <cellStyle name="Обычный 5 2 2 24 4 2" xfId="54933"/>
    <cellStyle name="Обычный 5 2 2 24 5" xfId="33573"/>
    <cellStyle name="Обычный 5 2 2 25" xfId="1553"/>
    <cellStyle name="Обычный 5 2 2 25 2" xfId="6895"/>
    <cellStyle name="Обычный 5 2 2 25 2 2" xfId="17575"/>
    <cellStyle name="Обычный 5 2 2 25 2 2 2" xfId="49619"/>
    <cellStyle name="Обычный 5 2 2 25 2 3" xfId="28256"/>
    <cellStyle name="Обычный 5 2 2 25 2 3 2" xfId="60299"/>
    <cellStyle name="Обычный 5 2 2 25 2 4" xfId="38939"/>
    <cellStyle name="Обычный 5 2 2 25 3" xfId="12235"/>
    <cellStyle name="Обычный 5 2 2 25 3 2" xfId="44279"/>
    <cellStyle name="Обычный 5 2 2 25 4" xfId="22916"/>
    <cellStyle name="Обычный 5 2 2 25 4 2" xfId="54959"/>
    <cellStyle name="Обычный 5 2 2 25 5" xfId="33599"/>
    <cellStyle name="Обычный 5 2 2 26" xfId="1579"/>
    <cellStyle name="Обычный 5 2 2 26 2" xfId="6921"/>
    <cellStyle name="Обычный 5 2 2 26 2 2" xfId="17601"/>
    <cellStyle name="Обычный 5 2 2 26 2 2 2" xfId="49645"/>
    <cellStyle name="Обычный 5 2 2 26 2 3" xfId="28282"/>
    <cellStyle name="Обычный 5 2 2 26 2 3 2" xfId="60325"/>
    <cellStyle name="Обычный 5 2 2 26 2 4" xfId="38965"/>
    <cellStyle name="Обычный 5 2 2 26 3" xfId="12261"/>
    <cellStyle name="Обычный 5 2 2 26 3 2" xfId="44305"/>
    <cellStyle name="Обычный 5 2 2 26 4" xfId="22942"/>
    <cellStyle name="Обычный 5 2 2 26 4 2" xfId="54985"/>
    <cellStyle name="Обычный 5 2 2 26 5" xfId="33625"/>
    <cellStyle name="Обычный 5 2 2 27" xfId="1605"/>
    <cellStyle name="Обычный 5 2 2 27 2" xfId="6947"/>
    <cellStyle name="Обычный 5 2 2 27 2 2" xfId="17627"/>
    <cellStyle name="Обычный 5 2 2 27 2 2 2" xfId="49671"/>
    <cellStyle name="Обычный 5 2 2 27 2 3" xfId="28308"/>
    <cellStyle name="Обычный 5 2 2 27 2 3 2" xfId="60351"/>
    <cellStyle name="Обычный 5 2 2 27 2 4" xfId="38991"/>
    <cellStyle name="Обычный 5 2 2 27 3" xfId="12287"/>
    <cellStyle name="Обычный 5 2 2 27 3 2" xfId="44331"/>
    <cellStyle name="Обычный 5 2 2 27 4" xfId="22968"/>
    <cellStyle name="Обычный 5 2 2 27 4 2" xfId="55011"/>
    <cellStyle name="Обычный 5 2 2 27 5" xfId="33651"/>
    <cellStyle name="Обычный 5 2 2 28" xfId="1631"/>
    <cellStyle name="Обычный 5 2 2 28 2" xfId="6973"/>
    <cellStyle name="Обычный 5 2 2 28 2 2" xfId="17653"/>
    <cellStyle name="Обычный 5 2 2 28 2 2 2" xfId="49697"/>
    <cellStyle name="Обычный 5 2 2 28 2 3" xfId="28334"/>
    <cellStyle name="Обычный 5 2 2 28 2 3 2" xfId="60377"/>
    <cellStyle name="Обычный 5 2 2 28 2 4" xfId="39017"/>
    <cellStyle name="Обычный 5 2 2 28 3" xfId="12313"/>
    <cellStyle name="Обычный 5 2 2 28 3 2" xfId="44357"/>
    <cellStyle name="Обычный 5 2 2 28 4" xfId="22994"/>
    <cellStyle name="Обычный 5 2 2 28 4 2" xfId="55037"/>
    <cellStyle name="Обычный 5 2 2 28 5" xfId="33677"/>
    <cellStyle name="Обычный 5 2 2 29" xfId="1657"/>
    <cellStyle name="Обычный 5 2 2 29 2" xfId="6999"/>
    <cellStyle name="Обычный 5 2 2 29 2 2" xfId="17679"/>
    <cellStyle name="Обычный 5 2 2 29 2 2 2" xfId="49723"/>
    <cellStyle name="Обычный 5 2 2 29 2 3" xfId="28360"/>
    <cellStyle name="Обычный 5 2 2 29 2 3 2" xfId="60403"/>
    <cellStyle name="Обычный 5 2 2 29 2 4" xfId="39043"/>
    <cellStyle name="Обычный 5 2 2 29 3" xfId="12339"/>
    <cellStyle name="Обычный 5 2 2 29 3 2" xfId="44383"/>
    <cellStyle name="Обычный 5 2 2 29 4" xfId="23020"/>
    <cellStyle name="Обычный 5 2 2 29 4 2" xfId="55063"/>
    <cellStyle name="Обычный 5 2 2 29 5" xfId="33703"/>
    <cellStyle name="Обычный 5 2 2 3" xfId="984"/>
    <cellStyle name="Обычный 5 2 2 3 2" xfId="6327"/>
    <cellStyle name="Обычный 5 2 2 3 2 2" xfId="17007"/>
    <cellStyle name="Обычный 5 2 2 3 2 2 2" xfId="49051"/>
    <cellStyle name="Обычный 5 2 2 3 2 3" xfId="27688"/>
    <cellStyle name="Обычный 5 2 2 3 2 3 2" xfId="59731"/>
    <cellStyle name="Обычный 5 2 2 3 2 4" xfId="38371"/>
    <cellStyle name="Обычный 5 2 2 3 3" xfId="11667"/>
    <cellStyle name="Обычный 5 2 2 3 3 2" xfId="43711"/>
    <cellStyle name="Обычный 5 2 2 3 4" xfId="22348"/>
    <cellStyle name="Обычный 5 2 2 3 4 2" xfId="54391"/>
    <cellStyle name="Обычный 5 2 2 3 5" xfId="33031"/>
    <cellStyle name="Обычный 5 2 2 30" xfId="1683"/>
    <cellStyle name="Обычный 5 2 2 30 2" xfId="7025"/>
    <cellStyle name="Обычный 5 2 2 30 2 2" xfId="17705"/>
    <cellStyle name="Обычный 5 2 2 30 2 2 2" xfId="49749"/>
    <cellStyle name="Обычный 5 2 2 30 2 3" xfId="28386"/>
    <cellStyle name="Обычный 5 2 2 30 2 3 2" xfId="60429"/>
    <cellStyle name="Обычный 5 2 2 30 2 4" xfId="39069"/>
    <cellStyle name="Обычный 5 2 2 30 3" xfId="12365"/>
    <cellStyle name="Обычный 5 2 2 30 3 2" xfId="44409"/>
    <cellStyle name="Обычный 5 2 2 30 4" xfId="23046"/>
    <cellStyle name="Обычный 5 2 2 30 4 2" xfId="55089"/>
    <cellStyle name="Обычный 5 2 2 30 5" xfId="33729"/>
    <cellStyle name="Обычный 5 2 2 31" xfId="1709"/>
    <cellStyle name="Обычный 5 2 2 31 2" xfId="7051"/>
    <cellStyle name="Обычный 5 2 2 31 2 2" xfId="17731"/>
    <cellStyle name="Обычный 5 2 2 31 2 2 2" xfId="49775"/>
    <cellStyle name="Обычный 5 2 2 31 2 3" xfId="28412"/>
    <cellStyle name="Обычный 5 2 2 31 2 3 2" xfId="60455"/>
    <cellStyle name="Обычный 5 2 2 31 2 4" xfId="39095"/>
    <cellStyle name="Обычный 5 2 2 31 3" xfId="12391"/>
    <cellStyle name="Обычный 5 2 2 31 3 2" xfId="44435"/>
    <cellStyle name="Обычный 5 2 2 31 4" xfId="23072"/>
    <cellStyle name="Обычный 5 2 2 31 4 2" xfId="55115"/>
    <cellStyle name="Обычный 5 2 2 31 5" xfId="33755"/>
    <cellStyle name="Обычный 5 2 2 32" xfId="1735"/>
    <cellStyle name="Обычный 5 2 2 32 2" xfId="7077"/>
    <cellStyle name="Обычный 5 2 2 32 2 2" xfId="17757"/>
    <cellStyle name="Обычный 5 2 2 32 2 2 2" xfId="49801"/>
    <cellStyle name="Обычный 5 2 2 32 2 3" xfId="28438"/>
    <cellStyle name="Обычный 5 2 2 32 2 3 2" xfId="60481"/>
    <cellStyle name="Обычный 5 2 2 32 2 4" xfId="39121"/>
    <cellStyle name="Обычный 5 2 2 32 3" xfId="12417"/>
    <cellStyle name="Обычный 5 2 2 32 3 2" xfId="44461"/>
    <cellStyle name="Обычный 5 2 2 32 4" xfId="23098"/>
    <cellStyle name="Обычный 5 2 2 32 4 2" xfId="55141"/>
    <cellStyle name="Обычный 5 2 2 32 5" xfId="33781"/>
    <cellStyle name="Обычный 5 2 2 33" xfId="1761"/>
    <cellStyle name="Обычный 5 2 2 33 2" xfId="7103"/>
    <cellStyle name="Обычный 5 2 2 33 2 2" xfId="17783"/>
    <cellStyle name="Обычный 5 2 2 33 2 2 2" xfId="49827"/>
    <cellStyle name="Обычный 5 2 2 33 2 3" xfId="28464"/>
    <cellStyle name="Обычный 5 2 2 33 2 3 2" xfId="60507"/>
    <cellStyle name="Обычный 5 2 2 33 2 4" xfId="39147"/>
    <cellStyle name="Обычный 5 2 2 33 3" xfId="12443"/>
    <cellStyle name="Обычный 5 2 2 33 3 2" xfId="44487"/>
    <cellStyle name="Обычный 5 2 2 33 4" xfId="23124"/>
    <cellStyle name="Обычный 5 2 2 33 4 2" xfId="55167"/>
    <cellStyle name="Обычный 5 2 2 33 5" xfId="33807"/>
    <cellStyle name="Обычный 5 2 2 34" xfId="1787"/>
    <cellStyle name="Обычный 5 2 2 34 2" xfId="7129"/>
    <cellStyle name="Обычный 5 2 2 34 2 2" xfId="17809"/>
    <cellStyle name="Обычный 5 2 2 34 2 2 2" xfId="49853"/>
    <cellStyle name="Обычный 5 2 2 34 2 3" xfId="28490"/>
    <cellStyle name="Обычный 5 2 2 34 2 3 2" xfId="60533"/>
    <cellStyle name="Обычный 5 2 2 34 2 4" xfId="39173"/>
    <cellStyle name="Обычный 5 2 2 34 3" xfId="12469"/>
    <cellStyle name="Обычный 5 2 2 34 3 2" xfId="44513"/>
    <cellStyle name="Обычный 5 2 2 34 4" xfId="23150"/>
    <cellStyle name="Обычный 5 2 2 34 4 2" xfId="55193"/>
    <cellStyle name="Обычный 5 2 2 34 5" xfId="33833"/>
    <cellStyle name="Обычный 5 2 2 35" xfId="1813"/>
    <cellStyle name="Обычный 5 2 2 35 2" xfId="7155"/>
    <cellStyle name="Обычный 5 2 2 35 2 2" xfId="17835"/>
    <cellStyle name="Обычный 5 2 2 35 2 2 2" xfId="49879"/>
    <cellStyle name="Обычный 5 2 2 35 2 3" xfId="28516"/>
    <cellStyle name="Обычный 5 2 2 35 2 3 2" xfId="60559"/>
    <cellStyle name="Обычный 5 2 2 35 2 4" xfId="39199"/>
    <cellStyle name="Обычный 5 2 2 35 3" xfId="12495"/>
    <cellStyle name="Обычный 5 2 2 35 3 2" xfId="44539"/>
    <cellStyle name="Обычный 5 2 2 35 4" xfId="23176"/>
    <cellStyle name="Обычный 5 2 2 35 4 2" xfId="55219"/>
    <cellStyle name="Обычный 5 2 2 35 5" xfId="33859"/>
    <cellStyle name="Обычный 5 2 2 36" xfId="1839"/>
    <cellStyle name="Обычный 5 2 2 36 2" xfId="7181"/>
    <cellStyle name="Обычный 5 2 2 36 2 2" xfId="17861"/>
    <cellStyle name="Обычный 5 2 2 36 2 2 2" xfId="49905"/>
    <cellStyle name="Обычный 5 2 2 36 2 3" xfId="28542"/>
    <cellStyle name="Обычный 5 2 2 36 2 3 2" xfId="60585"/>
    <cellStyle name="Обычный 5 2 2 36 2 4" xfId="39225"/>
    <cellStyle name="Обычный 5 2 2 36 3" xfId="12521"/>
    <cellStyle name="Обычный 5 2 2 36 3 2" xfId="44565"/>
    <cellStyle name="Обычный 5 2 2 36 4" xfId="23202"/>
    <cellStyle name="Обычный 5 2 2 36 4 2" xfId="55245"/>
    <cellStyle name="Обычный 5 2 2 36 5" xfId="33885"/>
    <cellStyle name="Обычный 5 2 2 37" xfId="1865"/>
    <cellStyle name="Обычный 5 2 2 37 2" xfId="7207"/>
    <cellStyle name="Обычный 5 2 2 37 2 2" xfId="17887"/>
    <cellStyle name="Обычный 5 2 2 37 2 2 2" xfId="49931"/>
    <cellStyle name="Обычный 5 2 2 37 2 3" xfId="28568"/>
    <cellStyle name="Обычный 5 2 2 37 2 3 2" xfId="60611"/>
    <cellStyle name="Обычный 5 2 2 37 2 4" xfId="39251"/>
    <cellStyle name="Обычный 5 2 2 37 3" xfId="12547"/>
    <cellStyle name="Обычный 5 2 2 37 3 2" xfId="44591"/>
    <cellStyle name="Обычный 5 2 2 37 4" xfId="23228"/>
    <cellStyle name="Обычный 5 2 2 37 4 2" xfId="55271"/>
    <cellStyle name="Обычный 5 2 2 37 5" xfId="33911"/>
    <cellStyle name="Обычный 5 2 2 38" xfId="1891"/>
    <cellStyle name="Обычный 5 2 2 38 2" xfId="7233"/>
    <cellStyle name="Обычный 5 2 2 38 2 2" xfId="17913"/>
    <cellStyle name="Обычный 5 2 2 38 2 2 2" xfId="49957"/>
    <cellStyle name="Обычный 5 2 2 38 2 3" xfId="28594"/>
    <cellStyle name="Обычный 5 2 2 38 2 3 2" xfId="60637"/>
    <cellStyle name="Обычный 5 2 2 38 2 4" xfId="39277"/>
    <cellStyle name="Обычный 5 2 2 38 3" xfId="12573"/>
    <cellStyle name="Обычный 5 2 2 38 3 2" xfId="44617"/>
    <cellStyle name="Обычный 5 2 2 38 4" xfId="23254"/>
    <cellStyle name="Обычный 5 2 2 38 4 2" xfId="55297"/>
    <cellStyle name="Обычный 5 2 2 38 5" xfId="33937"/>
    <cellStyle name="Обычный 5 2 2 39" xfId="1917"/>
    <cellStyle name="Обычный 5 2 2 39 2" xfId="7259"/>
    <cellStyle name="Обычный 5 2 2 39 2 2" xfId="17939"/>
    <cellStyle name="Обычный 5 2 2 39 2 2 2" xfId="49983"/>
    <cellStyle name="Обычный 5 2 2 39 2 3" xfId="28620"/>
    <cellStyle name="Обычный 5 2 2 39 2 3 2" xfId="60663"/>
    <cellStyle name="Обычный 5 2 2 39 2 4" xfId="39303"/>
    <cellStyle name="Обычный 5 2 2 39 3" xfId="12599"/>
    <cellStyle name="Обычный 5 2 2 39 3 2" xfId="44643"/>
    <cellStyle name="Обычный 5 2 2 39 4" xfId="23280"/>
    <cellStyle name="Обычный 5 2 2 39 4 2" xfId="55323"/>
    <cellStyle name="Обычный 5 2 2 39 5" xfId="33963"/>
    <cellStyle name="Обычный 5 2 2 4" xfId="1008"/>
    <cellStyle name="Обычный 5 2 2 4 2" xfId="6351"/>
    <cellStyle name="Обычный 5 2 2 4 2 2" xfId="17031"/>
    <cellStyle name="Обычный 5 2 2 4 2 2 2" xfId="49075"/>
    <cellStyle name="Обычный 5 2 2 4 2 3" xfId="27712"/>
    <cellStyle name="Обычный 5 2 2 4 2 3 2" xfId="59755"/>
    <cellStyle name="Обычный 5 2 2 4 2 4" xfId="38395"/>
    <cellStyle name="Обычный 5 2 2 4 3" xfId="11691"/>
    <cellStyle name="Обычный 5 2 2 4 3 2" xfId="43735"/>
    <cellStyle name="Обычный 5 2 2 4 4" xfId="22372"/>
    <cellStyle name="Обычный 5 2 2 4 4 2" xfId="54415"/>
    <cellStyle name="Обычный 5 2 2 4 5" xfId="33055"/>
    <cellStyle name="Обычный 5 2 2 40" xfId="1945"/>
    <cellStyle name="Обычный 5 2 2 40 2" xfId="7287"/>
    <cellStyle name="Обычный 5 2 2 40 2 2" xfId="17967"/>
    <cellStyle name="Обычный 5 2 2 40 2 2 2" xfId="50011"/>
    <cellStyle name="Обычный 5 2 2 40 2 3" xfId="28648"/>
    <cellStyle name="Обычный 5 2 2 40 2 3 2" xfId="60691"/>
    <cellStyle name="Обычный 5 2 2 40 2 4" xfId="39331"/>
    <cellStyle name="Обычный 5 2 2 40 3" xfId="12627"/>
    <cellStyle name="Обычный 5 2 2 40 3 2" xfId="44671"/>
    <cellStyle name="Обычный 5 2 2 40 4" xfId="23308"/>
    <cellStyle name="Обычный 5 2 2 40 4 2" xfId="55351"/>
    <cellStyle name="Обычный 5 2 2 40 5" xfId="33991"/>
    <cellStyle name="Обычный 5 2 2 41" xfId="1973"/>
    <cellStyle name="Обычный 5 2 2 41 2" xfId="7315"/>
    <cellStyle name="Обычный 5 2 2 41 2 2" xfId="17995"/>
    <cellStyle name="Обычный 5 2 2 41 2 2 2" xfId="50039"/>
    <cellStyle name="Обычный 5 2 2 41 2 3" xfId="28676"/>
    <cellStyle name="Обычный 5 2 2 41 2 3 2" xfId="60719"/>
    <cellStyle name="Обычный 5 2 2 41 2 4" xfId="39359"/>
    <cellStyle name="Обычный 5 2 2 41 3" xfId="12655"/>
    <cellStyle name="Обычный 5 2 2 41 3 2" xfId="44699"/>
    <cellStyle name="Обычный 5 2 2 41 4" xfId="23336"/>
    <cellStyle name="Обычный 5 2 2 41 4 2" xfId="55379"/>
    <cellStyle name="Обычный 5 2 2 41 5" xfId="34019"/>
    <cellStyle name="Обычный 5 2 2 42" xfId="2001"/>
    <cellStyle name="Обычный 5 2 2 42 2" xfId="7343"/>
    <cellStyle name="Обычный 5 2 2 42 2 2" xfId="18023"/>
    <cellStyle name="Обычный 5 2 2 42 2 2 2" xfId="50067"/>
    <cellStyle name="Обычный 5 2 2 42 2 3" xfId="28704"/>
    <cellStyle name="Обычный 5 2 2 42 2 3 2" xfId="60747"/>
    <cellStyle name="Обычный 5 2 2 42 2 4" xfId="39387"/>
    <cellStyle name="Обычный 5 2 2 42 3" xfId="12683"/>
    <cellStyle name="Обычный 5 2 2 42 3 2" xfId="44727"/>
    <cellStyle name="Обычный 5 2 2 42 4" xfId="23364"/>
    <cellStyle name="Обычный 5 2 2 42 4 2" xfId="55407"/>
    <cellStyle name="Обычный 5 2 2 42 5" xfId="34047"/>
    <cellStyle name="Обычный 5 2 2 43" xfId="2029"/>
    <cellStyle name="Обычный 5 2 2 43 2" xfId="7371"/>
    <cellStyle name="Обычный 5 2 2 43 2 2" xfId="18051"/>
    <cellStyle name="Обычный 5 2 2 43 2 2 2" xfId="50095"/>
    <cellStyle name="Обычный 5 2 2 43 2 3" xfId="28732"/>
    <cellStyle name="Обычный 5 2 2 43 2 3 2" xfId="60775"/>
    <cellStyle name="Обычный 5 2 2 43 2 4" xfId="39415"/>
    <cellStyle name="Обычный 5 2 2 43 3" xfId="12711"/>
    <cellStyle name="Обычный 5 2 2 43 3 2" xfId="44755"/>
    <cellStyle name="Обычный 5 2 2 43 4" xfId="23392"/>
    <cellStyle name="Обычный 5 2 2 43 4 2" xfId="55435"/>
    <cellStyle name="Обычный 5 2 2 43 5" xfId="34075"/>
    <cellStyle name="Обычный 5 2 2 44" xfId="2057"/>
    <cellStyle name="Обычный 5 2 2 44 2" xfId="7399"/>
    <cellStyle name="Обычный 5 2 2 44 2 2" xfId="18079"/>
    <cellStyle name="Обычный 5 2 2 44 2 2 2" xfId="50123"/>
    <cellStyle name="Обычный 5 2 2 44 2 3" xfId="28760"/>
    <cellStyle name="Обычный 5 2 2 44 2 3 2" xfId="60803"/>
    <cellStyle name="Обычный 5 2 2 44 2 4" xfId="39443"/>
    <cellStyle name="Обычный 5 2 2 44 3" xfId="12739"/>
    <cellStyle name="Обычный 5 2 2 44 3 2" xfId="44783"/>
    <cellStyle name="Обычный 5 2 2 44 4" xfId="23420"/>
    <cellStyle name="Обычный 5 2 2 44 4 2" xfId="55463"/>
    <cellStyle name="Обычный 5 2 2 44 5" xfId="34103"/>
    <cellStyle name="Обычный 5 2 2 45" xfId="2085"/>
    <cellStyle name="Обычный 5 2 2 45 2" xfId="7427"/>
    <cellStyle name="Обычный 5 2 2 45 2 2" xfId="18107"/>
    <cellStyle name="Обычный 5 2 2 45 2 2 2" xfId="50151"/>
    <cellStyle name="Обычный 5 2 2 45 2 3" xfId="28788"/>
    <cellStyle name="Обычный 5 2 2 45 2 3 2" xfId="60831"/>
    <cellStyle name="Обычный 5 2 2 45 2 4" xfId="39471"/>
    <cellStyle name="Обычный 5 2 2 45 3" xfId="12767"/>
    <cellStyle name="Обычный 5 2 2 45 3 2" xfId="44811"/>
    <cellStyle name="Обычный 5 2 2 45 4" xfId="23448"/>
    <cellStyle name="Обычный 5 2 2 45 4 2" xfId="55491"/>
    <cellStyle name="Обычный 5 2 2 45 5" xfId="34131"/>
    <cellStyle name="Обычный 5 2 2 46" xfId="2113"/>
    <cellStyle name="Обычный 5 2 2 46 2" xfId="7455"/>
    <cellStyle name="Обычный 5 2 2 46 2 2" xfId="18135"/>
    <cellStyle name="Обычный 5 2 2 46 2 2 2" xfId="50179"/>
    <cellStyle name="Обычный 5 2 2 46 2 3" xfId="28816"/>
    <cellStyle name="Обычный 5 2 2 46 2 3 2" xfId="60859"/>
    <cellStyle name="Обычный 5 2 2 46 2 4" xfId="39499"/>
    <cellStyle name="Обычный 5 2 2 46 3" xfId="12795"/>
    <cellStyle name="Обычный 5 2 2 46 3 2" xfId="44839"/>
    <cellStyle name="Обычный 5 2 2 46 4" xfId="23476"/>
    <cellStyle name="Обычный 5 2 2 46 4 2" xfId="55519"/>
    <cellStyle name="Обычный 5 2 2 46 5" xfId="34159"/>
    <cellStyle name="Обычный 5 2 2 47" xfId="2143"/>
    <cellStyle name="Обычный 5 2 2 47 2" xfId="7485"/>
    <cellStyle name="Обычный 5 2 2 47 2 2" xfId="18165"/>
    <cellStyle name="Обычный 5 2 2 47 2 2 2" xfId="50209"/>
    <cellStyle name="Обычный 5 2 2 47 2 3" xfId="28846"/>
    <cellStyle name="Обычный 5 2 2 47 2 3 2" xfId="60889"/>
    <cellStyle name="Обычный 5 2 2 47 2 4" xfId="39529"/>
    <cellStyle name="Обычный 5 2 2 47 3" xfId="12825"/>
    <cellStyle name="Обычный 5 2 2 47 3 2" xfId="44869"/>
    <cellStyle name="Обычный 5 2 2 47 4" xfId="23506"/>
    <cellStyle name="Обычный 5 2 2 47 4 2" xfId="55549"/>
    <cellStyle name="Обычный 5 2 2 47 5" xfId="34189"/>
    <cellStyle name="Обычный 5 2 2 48" xfId="2173"/>
    <cellStyle name="Обычный 5 2 2 48 2" xfId="7515"/>
    <cellStyle name="Обычный 5 2 2 48 2 2" xfId="18195"/>
    <cellStyle name="Обычный 5 2 2 48 2 2 2" xfId="50239"/>
    <cellStyle name="Обычный 5 2 2 48 2 3" xfId="28876"/>
    <cellStyle name="Обычный 5 2 2 48 2 3 2" xfId="60919"/>
    <cellStyle name="Обычный 5 2 2 48 2 4" xfId="39559"/>
    <cellStyle name="Обычный 5 2 2 48 3" xfId="12855"/>
    <cellStyle name="Обычный 5 2 2 48 3 2" xfId="44899"/>
    <cellStyle name="Обычный 5 2 2 48 4" xfId="23536"/>
    <cellStyle name="Обычный 5 2 2 48 4 2" xfId="55579"/>
    <cellStyle name="Обычный 5 2 2 48 5" xfId="34219"/>
    <cellStyle name="Обычный 5 2 2 49" xfId="2203"/>
    <cellStyle name="Обычный 5 2 2 49 2" xfId="7545"/>
    <cellStyle name="Обычный 5 2 2 49 2 2" xfId="18225"/>
    <cellStyle name="Обычный 5 2 2 49 2 2 2" xfId="50269"/>
    <cellStyle name="Обычный 5 2 2 49 2 3" xfId="28906"/>
    <cellStyle name="Обычный 5 2 2 49 2 3 2" xfId="60949"/>
    <cellStyle name="Обычный 5 2 2 49 2 4" xfId="39589"/>
    <cellStyle name="Обычный 5 2 2 49 3" xfId="12885"/>
    <cellStyle name="Обычный 5 2 2 49 3 2" xfId="44929"/>
    <cellStyle name="Обычный 5 2 2 49 4" xfId="23566"/>
    <cellStyle name="Обычный 5 2 2 49 4 2" xfId="55609"/>
    <cellStyle name="Обычный 5 2 2 49 5" xfId="34249"/>
    <cellStyle name="Обычный 5 2 2 5" xfId="1032"/>
    <cellStyle name="Обычный 5 2 2 5 2" xfId="6375"/>
    <cellStyle name="Обычный 5 2 2 5 2 2" xfId="17055"/>
    <cellStyle name="Обычный 5 2 2 5 2 2 2" xfId="49099"/>
    <cellStyle name="Обычный 5 2 2 5 2 3" xfId="27736"/>
    <cellStyle name="Обычный 5 2 2 5 2 3 2" xfId="59779"/>
    <cellStyle name="Обычный 5 2 2 5 2 4" xfId="38419"/>
    <cellStyle name="Обычный 5 2 2 5 3" xfId="11715"/>
    <cellStyle name="Обычный 5 2 2 5 3 2" xfId="43759"/>
    <cellStyle name="Обычный 5 2 2 5 4" xfId="22396"/>
    <cellStyle name="Обычный 5 2 2 5 4 2" xfId="54439"/>
    <cellStyle name="Обычный 5 2 2 5 5" xfId="33079"/>
    <cellStyle name="Обычный 5 2 2 50" xfId="2233"/>
    <cellStyle name="Обычный 5 2 2 50 2" xfId="7575"/>
    <cellStyle name="Обычный 5 2 2 50 2 2" xfId="18255"/>
    <cellStyle name="Обычный 5 2 2 50 2 2 2" xfId="50299"/>
    <cellStyle name="Обычный 5 2 2 50 2 3" xfId="28936"/>
    <cellStyle name="Обычный 5 2 2 50 2 3 2" xfId="60979"/>
    <cellStyle name="Обычный 5 2 2 50 2 4" xfId="39619"/>
    <cellStyle name="Обычный 5 2 2 50 3" xfId="12915"/>
    <cellStyle name="Обычный 5 2 2 50 3 2" xfId="44959"/>
    <cellStyle name="Обычный 5 2 2 50 4" xfId="23596"/>
    <cellStyle name="Обычный 5 2 2 50 4 2" xfId="55639"/>
    <cellStyle name="Обычный 5 2 2 50 5" xfId="34279"/>
    <cellStyle name="Обычный 5 2 2 51" xfId="2263"/>
    <cellStyle name="Обычный 5 2 2 51 2" xfId="7605"/>
    <cellStyle name="Обычный 5 2 2 51 2 2" xfId="18285"/>
    <cellStyle name="Обычный 5 2 2 51 2 2 2" xfId="50329"/>
    <cellStyle name="Обычный 5 2 2 51 2 3" xfId="28966"/>
    <cellStyle name="Обычный 5 2 2 51 2 3 2" xfId="61009"/>
    <cellStyle name="Обычный 5 2 2 51 2 4" xfId="39649"/>
    <cellStyle name="Обычный 5 2 2 51 3" xfId="12945"/>
    <cellStyle name="Обычный 5 2 2 51 3 2" xfId="44989"/>
    <cellStyle name="Обычный 5 2 2 51 4" xfId="23626"/>
    <cellStyle name="Обычный 5 2 2 51 4 2" xfId="55669"/>
    <cellStyle name="Обычный 5 2 2 51 5" xfId="34309"/>
    <cellStyle name="Обычный 5 2 2 52" xfId="2293"/>
    <cellStyle name="Обычный 5 2 2 52 2" xfId="7635"/>
    <cellStyle name="Обычный 5 2 2 52 2 2" xfId="18315"/>
    <cellStyle name="Обычный 5 2 2 52 2 2 2" xfId="50359"/>
    <cellStyle name="Обычный 5 2 2 52 2 3" xfId="28996"/>
    <cellStyle name="Обычный 5 2 2 52 2 3 2" xfId="61039"/>
    <cellStyle name="Обычный 5 2 2 52 2 4" xfId="39679"/>
    <cellStyle name="Обычный 5 2 2 52 3" xfId="12975"/>
    <cellStyle name="Обычный 5 2 2 52 3 2" xfId="45019"/>
    <cellStyle name="Обычный 5 2 2 52 4" xfId="23656"/>
    <cellStyle name="Обычный 5 2 2 52 4 2" xfId="55699"/>
    <cellStyle name="Обычный 5 2 2 52 5" xfId="34339"/>
    <cellStyle name="Обычный 5 2 2 53" xfId="2323"/>
    <cellStyle name="Обычный 5 2 2 53 2" xfId="7665"/>
    <cellStyle name="Обычный 5 2 2 53 2 2" xfId="18345"/>
    <cellStyle name="Обычный 5 2 2 53 2 2 2" xfId="50389"/>
    <cellStyle name="Обычный 5 2 2 53 2 3" xfId="29026"/>
    <cellStyle name="Обычный 5 2 2 53 2 3 2" xfId="61069"/>
    <cellStyle name="Обычный 5 2 2 53 2 4" xfId="39709"/>
    <cellStyle name="Обычный 5 2 2 53 3" xfId="13005"/>
    <cellStyle name="Обычный 5 2 2 53 3 2" xfId="45049"/>
    <cellStyle name="Обычный 5 2 2 53 4" xfId="23686"/>
    <cellStyle name="Обычный 5 2 2 53 4 2" xfId="55729"/>
    <cellStyle name="Обычный 5 2 2 53 5" xfId="34369"/>
    <cellStyle name="Обычный 5 2 2 54" xfId="2353"/>
    <cellStyle name="Обычный 5 2 2 54 2" xfId="7695"/>
    <cellStyle name="Обычный 5 2 2 54 2 2" xfId="18375"/>
    <cellStyle name="Обычный 5 2 2 54 2 2 2" xfId="50419"/>
    <cellStyle name="Обычный 5 2 2 54 2 3" xfId="29056"/>
    <cellStyle name="Обычный 5 2 2 54 2 3 2" xfId="61099"/>
    <cellStyle name="Обычный 5 2 2 54 2 4" xfId="39739"/>
    <cellStyle name="Обычный 5 2 2 54 3" xfId="13035"/>
    <cellStyle name="Обычный 5 2 2 54 3 2" xfId="45079"/>
    <cellStyle name="Обычный 5 2 2 54 4" xfId="23716"/>
    <cellStyle name="Обычный 5 2 2 54 4 2" xfId="55759"/>
    <cellStyle name="Обычный 5 2 2 54 5" xfId="34399"/>
    <cellStyle name="Обычный 5 2 2 55" xfId="2383"/>
    <cellStyle name="Обычный 5 2 2 55 2" xfId="7725"/>
    <cellStyle name="Обычный 5 2 2 55 2 2" xfId="18405"/>
    <cellStyle name="Обычный 5 2 2 55 2 2 2" xfId="50449"/>
    <cellStyle name="Обычный 5 2 2 55 2 3" xfId="29086"/>
    <cellStyle name="Обычный 5 2 2 55 2 3 2" xfId="61129"/>
    <cellStyle name="Обычный 5 2 2 55 2 4" xfId="39769"/>
    <cellStyle name="Обычный 5 2 2 55 3" xfId="13065"/>
    <cellStyle name="Обычный 5 2 2 55 3 2" xfId="45109"/>
    <cellStyle name="Обычный 5 2 2 55 4" xfId="23746"/>
    <cellStyle name="Обычный 5 2 2 55 4 2" xfId="55789"/>
    <cellStyle name="Обычный 5 2 2 55 5" xfId="34429"/>
    <cellStyle name="Обычный 5 2 2 56" xfId="2413"/>
    <cellStyle name="Обычный 5 2 2 56 2" xfId="7755"/>
    <cellStyle name="Обычный 5 2 2 56 2 2" xfId="18435"/>
    <cellStyle name="Обычный 5 2 2 56 2 2 2" xfId="50479"/>
    <cellStyle name="Обычный 5 2 2 56 2 3" xfId="29116"/>
    <cellStyle name="Обычный 5 2 2 56 2 3 2" xfId="61159"/>
    <cellStyle name="Обычный 5 2 2 56 2 4" xfId="39799"/>
    <cellStyle name="Обычный 5 2 2 56 3" xfId="13095"/>
    <cellStyle name="Обычный 5 2 2 56 3 2" xfId="45139"/>
    <cellStyle name="Обычный 5 2 2 56 4" xfId="23776"/>
    <cellStyle name="Обычный 5 2 2 56 4 2" xfId="55819"/>
    <cellStyle name="Обычный 5 2 2 56 5" xfId="34459"/>
    <cellStyle name="Обычный 5 2 2 57" xfId="2443"/>
    <cellStyle name="Обычный 5 2 2 57 2" xfId="7785"/>
    <cellStyle name="Обычный 5 2 2 57 2 2" xfId="18465"/>
    <cellStyle name="Обычный 5 2 2 57 2 2 2" xfId="50509"/>
    <cellStyle name="Обычный 5 2 2 57 2 3" xfId="29146"/>
    <cellStyle name="Обычный 5 2 2 57 2 3 2" xfId="61189"/>
    <cellStyle name="Обычный 5 2 2 57 2 4" xfId="39829"/>
    <cellStyle name="Обычный 5 2 2 57 3" xfId="13125"/>
    <cellStyle name="Обычный 5 2 2 57 3 2" xfId="45169"/>
    <cellStyle name="Обычный 5 2 2 57 4" xfId="23806"/>
    <cellStyle name="Обычный 5 2 2 57 4 2" xfId="55849"/>
    <cellStyle name="Обычный 5 2 2 57 5" xfId="34489"/>
    <cellStyle name="Обычный 5 2 2 58" xfId="2473"/>
    <cellStyle name="Обычный 5 2 2 58 2" xfId="7815"/>
    <cellStyle name="Обычный 5 2 2 58 2 2" xfId="18495"/>
    <cellStyle name="Обычный 5 2 2 58 2 2 2" xfId="50539"/>
    <cellStyle name="Обычный 5 2 2 58 2 3" xfId="29176"/>
    <cellStyle name="Обычный 5 2 2 58 2 3 2" xfId="61219"/>
    <cellStyle name="Обычный 5 2 2 58 2 4" xfId="39859"/>
    <cellStyle name="Обычный 5 2 2 58 3" xfId="13155"/>
    <cellStyle name="Обычный 5 2 2 58 3 2" xfId="45199"/>
    <cellStyle name="Обычный 5 2 2 58 4" xfId="23836"/>
    <cellStyle name="Обычный 5 2 2 58 4 2" xfId="55879"/>
    <cellStyle name="Обычный 5 2 2 58 5" xfId="34519"/>
    <cellStyle name="Обычный 5 2 2 59" xfId="2505"/>
    <cellStyle name="Обычный 5 2 2 59 2" xfId="7847"/>
    <cellStyle name="Обычный 5 2 2 59 2 2" xfId="18527"/>
    <cellStyle name="Обычный 5 2 2 59 2 2 2" xfId="50571"/>
    <cellStyle name="Обычный 5 2 2 59 2 3" xfId="29208"/>
    <cellStyle name="Обычный 5 2 2 59 2 3 2" xfId="61251"/>
    <cellStyle name="Обычный 5 2 2 59 2 4" xfId="39891"/>
    <cellStyle name="Обычный 5 2 2 59 3" xfId="13187"/>
    <cellStyle name="Обычный 5 2 2 59 3 2" xfId="45231"/>
    <cellStyle name="Обычный 5 2 2 59 4" xfId="23868"/>
    <cellStyle name="Обычный 5 2 2 59 4 2" xfId="55911"/>
    <cellStyle name="Обычный 5 2 2 59 5" xfId="34551"/>
    <cellStyle name="Обычный 5 2 2 6" xfId="1058"/>
    <cellStyle name="Обычный 5 2 2 6 2" xfId="6401"/>
    <cellStyle name="Обычный 5 2 2 6 2 2" xfId="17081"/>
    <cellStyle name="Обычный 5 2 2 6 2 2 2" xfId="49125"/>
    <cellStyle name="Обычный 5 2 2 6 2 3" xfId="27762"/>
    <cellStyle name="Обычный 5 2 2 6 2 3 2" xfId="59805"/>
    <cellStyle name="Обычный 5 2 2 6 2 4" xfId="38445"/>
    <cellStyle name="Обычный 5 2 2 6 3" xfId="11741"/>
    <cellStyle name="Обычный 5 2 2 6 3 2" xfId="43785"/>
    <cellStyle name="Обычный 5 2 2 6 4" xfId="22422"/>
    <cellStyle name="Обычный 5 2 2 6 4 2" xfId="54465"/>
    <cellStyle name="Обычный 5 2 2 6 5" xfId="33105"/>
    <cellStyle name="Обычный 5 2 2 60" xfId="2539"/>
    <cellStyle name="Обычный 5 2 2 60 2" xfId="7881"/>
    <cellStyle name="Обычный 5 2 2 60 2 2" xfId="18561"/>
    <cellStyle name="Обычный 5 2 2 60 2 2 2" xfId="50605"/>
    <cellStyle name="Обычный 5 2 2 60 2 3" xfId="29242"/>
    <cellStyle name="Обычный 5 2 2 60 2 3 2" xfId="61285"/>
    <cellStyle name="Обычный 5 2 2 60 2 4" xfId="39925"/>
    <cellStyle name="Обычный 5 2 2 60 3" xfId="13221"/>
    <cellStyle name="Обычный 5 2 2 60 3 2" xfId="45265"/>
    <cellStyle name="Обычный 5 2 2 60 4" xfId="23902"/>
    <cellStyle name="Обычный 5 2 2 60 4 2" xfId="55945"/>
    <cellStyle name="Обычный 5 2 2 60 5" xfId="34585"/>
    <cellStyle name="Обычный 5 2 2 61" xfId="2571"/>
    <cellStyle name="Обычный 5 2 2 61 2" xfId="7913"/>
    <cellStyle name="Обычный 5 2 2 61 2 2" xfId="18593"/>
    <cellStyle name="Обычный 5 2 2 61 2 2 2" xfId="50637"/>
    <cellStyle name="Обычный 5 2 2 61 2 3" xfId="29274"/>
    <cellStyle name="Обычный 5 2 2 61 2 3 2" xfId="61317"/>
    <cellStyle name="Обычный 5 2 2 61 2 4" xfId="39957"/>
    <cellStyle name="Обычный 5 2 2 61 3" xfId="13253"/>
    <cellStyle name="Обычный 5 2 2 61 3 2" xfId="45297"/>
    <cellStyle name="Обычный 5 2 2 61 4" xfId="23934"/>
    <cellStyle name="Обычный 5 2 2 61 4 2" xfId="55977"/>
    <cellStyle name="Обычный 5 2 2 61 5" xfId="34617"/>
    <cellStyle name="Обычный 5 2 2 62" xfId="2603"/>
    <cellStyle name="Обычный 5 2 2 62 2" xfId="7945"/>
    <cellStyle name="Обычный 5 2 2 62 2 2" xfId="18625"/>
    <cellStyle name="Обычный 5 2 2 62 2 2 2" xfId="50669"/>
    <cellStyle name="Обычный 5 2 2 62 2 3" xfId="29306"/>
    <cellStyle name="Обычный 5 2 2 62 2 3 2" xfId="61349"/>
    <cellStyle name="Обычный 5 2 2 62 2 4" xfId="39989"/>
    <cellStyle name="Обычный 5 2 2 62 3" xfId="13285"/>
    <cellStyle name="Обычный 5 2 2 62 3 2" xfId="45329"/>
    <cellStyle name="Обычный 5 2 2 62 4" xfId="23966"/>
    <cellStyle name="Обычный 5 2 2 62 4 2" xfId="56009"/>
    <cellStyle name="Обычный 5 2 2 62 5" xfId="34649"/>
    <cellStyle name="Обычный 5 2 2 63" xfId="2635"/>
    <cellStyle name="Обычный 5 2 2 63 2" xfId="7977"/>
    <cellStyle name="Обычный 5 2 2 63 2 2" xfId="18657"/>
    <cellStyle name="Обычный 5 2 2 63 2 2 2" xfId="50701"/>
    <cellStyle name="Обычный 5 2 2 63 2 3" xfId="29338"/>
    <cellStyle name="Обычный 5 2 2 63 2 3 2" xfId="61381"/>
    <cellStyle name="Обычный 5 2 2 63 2 4" xfId="40021"/>
    <cellStyle name="Обычный 5 2 2 63 3" xfId="13317"/>
    <cellStyle name="Обычный 5 2 2 63 3 2" xfId="45361"/>
    <cellStyle name="Обычный 5 2 2 63 4" xfId="23998"/>
    <cellStyle name="Обычный 5 2 2 63 4 2" xfId="56041"/>
    <cellStyle name="Обычный 5 2 2 63 5" xfId="34681"/>
    <cellStyle name="Обычный 5 2 2 64" xfId="2667"/>
    <cellStyle name="Обычный 5 2 2 64 2" xfId="8009"/>
    <cellStyle name="Обычный 5 2 2 64 2 2" xfId="18689"/>
    <cellStyle name="Обычный 5 2 2 64 2 2 2" xfId="50733"/>
    <cellStyle name="Обычный 5 2 2 64 2 3" xfId="29370"/>
    <cellStyle name="Обычный 5 2 2 64 2 3 2" xfId="61413"/>
    <cellStyle name="Обычный 5 2 2 64 2 4" xfId="40053"/>
    <cellStyle name="Обычный 5 2 2 64 3" xfId="13349"/>
    <cellStyle name="Обычный 5 2 2 64 3 2" xfId="45393"/>
    <cellStyle name="Обычный 5 2 2 64 4" xfId="24030"/>
    <cellStyle name="Обычный 5 2 2 64 4 2" xfId="56073"/>
    <cellStyle name="Обычный 5 2 2 64 5" xfId="34713"/>
    <cellStyle name="Обычный 5 2 2 65" xfId="2699"/>
    <cellStyle name="Обычный 5 2 2 65 2" xfId="8041"/>
    <cellStyle name="Обычный 5 2 2 65 2 2" xfId="18721"/>
    <cellStyle name="Обычный 5 2 2 65 2 2 2" xfId="50765"/>
    <cellStyle name="Обычный 5 2 2 65 2 3" xfId="29402"/>
    <cellStyle name="Обычный 5 2 2 65 2 3 2" xfId="61445"/>
    <cellStyle name="Обычный 5 2 2 65 2 4" xfId="40085"/>
    <cellStyle name="Обычный 5 2 2 65 3" xfId="13381"/>
    <cellStyle name="Обычный 5 2 2 65 3 2" xfId="45425"/>
    <cellStyle name="Обычный 5 2 2 65 4" xfId="24062"/>
    <cellStyle name="Обычный 5 2 2 65 4 2" xfId="56105"/>
    <cellStyle name="Обычный 5 2 2 65 5" xfId="34745"/>
    <cellStyle name="Обычный 5 2 2 66" xfId="2731"/>
    <cellStyle name="Обычный 5 2 2 66 2" xfId="8073"/>
    <cellStyle name="Обычный 5 2 2 66 2 2" xfId="18753"/>
    <cellStyle name="Обычный 5 2 2 66 2 2 2" xfId="50797"/>
    <cellStyle name="Обычный 5 2 2 66 2 3" xfId="29434"/>
    <cellStyle name="Обычный 5 2 2 66 2 3 2" xfId="61477"/>
    <cellStyle name="Обычный 5 2 2 66 2 4" xfId="40117"/>
    <cellStyle name="Обычный 5 2 2 66 3" xfId="13413"/>
    <cellStyle name="Обычный 5 2 2 66 3 2" xfId="45457"/>
    <cellStyle name="Обычный 5 2 2 66 4" xfId="24094"/>
    <cellStyle name="Обычный 5 2 2 66 4 2" xfId="56137"/>
    <cellStyle name="Обычный 5 2 2 66 5" xfId="34777"/>
    <cellStyle name="Обычный 5 2 2 67" xfId="2765"/>
    <cellStyle name="Обычный 5 2 2 67 2" xfId="8107"/>
    <cellStyle name="Обычный 5 2 2 67 2 2" xfId="18787"/>
    <cellStyle name="Обычный 5 2 2 67 2 2 2" xfId="50831"/>
    <cellStyle name="Обычный 5 2 2 67 2 3" xfId="29468"/>
    <cellStyle name="Обычный 5 2 2 67 2 3 2" xfId="61511"/>
    <cellStyle name="Обычный 5 2 2 67 2 4" xfId="40151"/>
    <cellStyle name="Обычный 5 2 2 67 3" xfId="13447"/>
    <cellStyle name="Обычный 5 2 2 67 3 2" xfId="45491"/>
    <cellStyle name="Обычный 5 2 2 67 4" xfId="24128"/>
    <cellStyle name="Обычный 5 2 2 67 4 2" xfId="56171"/>
    <cellStyle name="Обычный 5 2 2 67 5" xfId="34811"/>
    <cellStyle name="Обычный 5 2 2 68" xfId="2797"/>
    <cellStyle name="Обычный 5 2 2 68 2" xfId="8139"/>
    <cellStyle name="Обычный 5 2 2 68 2 2" xfId="18819"/>
    <cellStyle name="Обычный 5 2 2 68 2 2 2" xfId="50863"/>
    <cellStyle name="Обычный 5 2 2 68 2 3" xfId="29500"/>
    <cellStyle name="Обычный 5 2 2 68 2 3 2" xfId="61543"/>
    <cellStyle name="Обычный 5 2 2 68 2 4" xfId="40183"/>
    <cellStyle name="Обычный 5 2 2 68 3" xfId="13479"/>
    <cellStyle name="Обычный 5 2 2 68 3 2" xfId="45523"/>
    <cellStyle name="Обычный 5 2 2 68 4" xfId="24160"/>
    <cellStyle name="Обычный 5 2 2 68 4 2" xfId="56203"/>
    <cellStyle name="Обычный 5 2 2 68 5" xfId="34843"/>
    <cellStyle name="Обычный 5 2 2 69" xfId="2829"/>
    <cellStyle name="Обычный 5 2 2 69 2" xfId="8171"/>
    <cellStyle name="Обычный 5 2 2 69 2 2" xfId="18851"/>
    <cellStyle name="Обычный 5 2 2 69 2 2 2" xfId="50895"/>
    <cellStyle name="Обычный 5 2 2 69 2 3" xfId="29532"/>
    <cellStyle name="Обычный 5 2 2 69 2 3 2" xfId="61575"/>
    <cellStyle name="Обычный 5 2 2 69 2 4" xfId="40215"/>
    <cellStyle name="Обычный 5 2 2 69 3" xfId="13511"/>
    <cellStyle name="Обычный 5 2 2 69 3 2" xfId="45555"/>
    <cellStyle name="Обычный 5 2 2 69 4" xfId="24192"/>
    <cellStyle name="Обычный 5 2 2 69 4 2" xfId="56235"/>
    <cellStyle name="Обычный 5 2 2 69 5" xfId="34875"/>
    <cellStyle name="Обычный 5 2 2 7" xfId="1084"/>
    <cellStyle name="Обычный 5 2 2 7 2" xfId="6427"/>
    <cellStyle name="Обычный 5 2 2 7 2 2" xfId="17107"/>
    <cellStyle name="Обычный 5 2 2 7 2 2 2" xfId="49151"/>
    <cellStyle name="Обычный 5 2 2 7 2 3" xfId="27788"/>
    <cellStyle name="Обычный 5 2 2 7 2 3 2" xfId="59831"/>
    <cellStyle name="Обычный 5 2 2 7 2 4" xfId="38471"/>
    <cellStyle name="Обычный 5 2 2 7 3" xfId="11767"/>
    <cellStyle name="Обычный 5 2 2 7 3 2" xfId="43811"/>
    <cellStyle name="Обычный 5 2 2 7 4" xfId="22448"/>
    <cellStyle name="Обычный 5 2 2 7 4 2" xfId="54491"/>
    <cellStyle name="Обычный 5 2 2 7 5" xfId="33131"/>
    <cellStyle name="Обычный 5 2 2 70" xfId="2861"/>
    <cellStyle name="Обычный 5 2 2 70 2" xfId="8203"/>
    <cellStyle name="Обычный 5 2 2 70 2 2" xfId="18883"/>
    <cellStyle name="Обычный 5 2 2 70 2 2 2" xfId="50927"/>
    <cellStyle name="Обычный 5 2 2 70 2 3" xfId="29564"/>
    <cellStyle name="Обычный 5 2 2 70 2 3 2" xfId="61607"/>
    <cellStyle name="Обычный 5 2 2 70 2 4" xfId="40247"/>
    <cellStyle name="Обычный 5 2 2 70 3" xfId="13543"/>
    <cellStyle name="Обычный 5 2 2 70 3 2" xfId="45587"/>
    <cellStyle name="Обычный 5 2 2 70 4" xfId="24224"/>
    <cellStyle name="Обычный 5 2 2 70 4 2" xfId="56267"/>
    <cellStyle name="Обычный 5 2 2 70 5" xfId="34907"/>
    <cellStyle name="Обычный 5 2 2 71" xfId="2893"/>
    <cellStyle name="Обычный 5 2 2 71 2" xfId="8235"/>
    <cellStyle name="Обычный 5 2 2 71 2 2" xfId="18915"/>
    <cellStyle name="Обычный 5 2 2 71 2 2 2" xfId="50959"/>
    <cellStyle name="Обычный 5 2 2 71 2 3" xfId="29596"/>
    <cellStyle name="Обычный 5 2 2 71 2 3 2" xfId="61639"/>
    <cellStyle name="Обычный 5 2 2 71 2 4" xfId="40279"/>
    <cellStyle name="Обычный 5 2 2 71 3" xfId="13575"/>
    <cellStyle name="Обычный 5 2 2 71 3 2" xfId="45619"/>
    <cellStyle name="Обычный 5 2 2 71 4" xfId="24256"/>
    <cellStyle name="Обычный 5 2 2 71 4 2" xfId="56299"/>
    <cellStyle name="Обычный 5 2 2 71 5" xfId="34939"/>
    <cellStyle name="Обычный 5 2 2 72" xfId="2925"/>
    <cellStyle name="Обычный 5 2 2 72 2" xfId="8267"/>
    <cellStyle name="Обычный 5 2 2 72 2 2" xfId="18947"/>
    <cellStyle name="Обычный 5 2 2 72 2 2 2" xfId="50991"/>
    <cellStyle name="Обычный 5 2 2 72 2 3" xfId="29628"/>
    <cellStyle name="Обычный 5 2 2 72 2 3 2" xfId="61671"/>
    <cellStyle name="Обычный 5 2 2 72 2 4" xfId="40311"/>
    <cellStyle name="Обычный 5 2 2 72 3" xfId="13607"/>
    <cellStyle name="Обычный 5 2 2 72 3 2" xfId="45651"/>
    <cellStyle name="Обычный 5 2 2 72 4" xfId="24288"/>
    <cellStyle name="Обычный 5 2 2 72 4 2" xfId="56331"/>
    <cellStyle name="Обычный 5 2 2 72 5" xfId="34971"/>
    <cellStyle name="Обычный 5 2 2 73" xfId="2957"/>
    <cellStyle name="Обычный 5 2 2 73 2" xfId="8299"/>
    <cellStyle name="Обычный 5 2 2 73 2 2" xfId="18979"/>
    <cellStyle name="Обычный 5 2 2 73 2 2 2" xfId="51023"/>
    <cellStyle name="Обычный 5 2 2 73 2 3" xfId="29660"/>
    <cellStyle name="Обычный 5 2 2 73 2 3 2" xfId="61703"/>
    <cellStyle name="Обычный 5 2 2 73 2 4" xfId="40343"/>
    <cellStyle name="Обычный 5 2 2 73 3" xfId="13639"/>
    <cellStyle name="Обычный 5 2 2 73 3 2" xfId="45683"/>
    <cellStyle name="Обычный 5 2 2 73 4" xfId="24320"/>
    <cellStyle name="Обычный 5 2 2 73 4 2" xfId="56363"/>
    <cellStyle name="Обычный 5 2 2 73 5" xfId="35003"/>
    <cellStyle name="Обычный 5 2 2 74" xfId="2989"/>
    <cellStyle name="Обычный 5 2 2 74 2" xfId="8331"/>
    <cellStyle name="Обычный 5 2 2 74 2 2" xfId="19011"/>
    <cellStyle name="Обычный 5 2 2 74 2 2 2" xfId="51055"/>
    <cellStyle name="Обычный 5 2 2 74 2 3" xfId="29692"/>
    <cellStyle name="Обычный 5 2 2 74 2 3 2" xfId="61735"/>
    <cellStyle name="Обычный 5 2 2 74 2 4" xfId="40375"/>
    <cellStyle name="Обычный 5 2 2 74 3" xfId="13671"/>
    <cellStyle name="Обычный 5 2 2 74 3 2" xfId="45715"/>
    <cellStyle name="Обычный 5 2 2 74 4" xfId="24352"/>
    <cellStyle name="Обычный 5 2 2 74 4 2" xfId="56395"/>
    <cellStyle name="Обычный 5 2 2 74 5" xfId="35035"/>
    <cellStyle name="Обычный 5 2 2 75" xfId="3021"/>
    <cellStyle name="Обычный 5 2 2 75 2" xfId="8363"/>
    <cellStyle name="Обычный 5 2 2 75 2 2" xfId="19043"/>
    <cellStyle name="Обычный 5 2 2 75 2 2 2" xfId="51087"/>
    <cellStyle name="Обычный 5 2 2 75 2 3" xfId="29724"/>
    <cellStyle name="Обычный 5 2 2 75 2 3 2" xfId="61767"/>
    <cellStyle name="Обычный 5 2 2 75 2 4" xfId="40407"/>
    <cellStyle name="Обычный 5 2 2 75 3" xfId="13703"/>
    <cellStyle name="Обычный 5 2 2 75 3 2" xfId="45747"/>
    <cellStyle name="Обычный 5 2 2 75 4" xfId="24384"/>
    <cellStyle name="Обычный 5 2 2 75 4 2" xfId="56427"/>
    <cellStyle name="Обычный 5 2 2 75 5" xfId="35067"/>
    <cellStyle name="Обычный 5 2 2 76" xfId="3053"/>
    <cellStyle name="Обычный 5 2 2 76 2" xfId="8395"/>
    <cellStyle name="Обычный 5 2 2 76 2 2" xfId="19075"/>
    <cellStyle name="Обычный 5 2 2 76 2 2 2" xfId="51119"/>
    <cellStyle name="Обычный 5 2 2 76 2 3" xfId="29756"/>
    <cellStyle name="Обычный 5 2 2 76 2 3 2" xfId="61799"/>
    <cellStyle name="Обычный 5 2 2 76 2 4" xfId="40439"/>
    <cellStyle name="Обычный 5 2 2 76 3" xfId="13735"/>
    <cellStyle name="Обычный 5 2 2 76 3 2" xfId="45779"/>
    <cellStyle name="Обычный 5 2 2 76 4" xfId="24416"/>
    <cellStyle name="Обычный 5 2 2 76 4 2" xfId="56459"/>
    <cellStyle name="Обычный 5 2 2 76 5" xfId="35099"/>
    <cellStyle name="Обычный 5 2 2 77" xfId="3085"/>
    <cellStyle name="Обычный 5 2 2 77 2" xfId="8427"/>
    <cellStyle name="Обычный 5 2 2 77 2 2" xfId="19107"/>
    <cellStyle name="Обычный 5 2 2 77 2 2 2" xfId="51151"/>
    <cellStyle name="Обычный 5 2 2 77 2 3" xfId="29788"/>
    <cellStyle name="Обычный 5 2 2 77 2 3 2" xfId="61831"/>
    <cellStyle name="Обычный 5 2 2 77 2 4" xfId="40471"/>
    <cellStyle name="Обычный 5 2 2 77 3" xfId="13767"/>
    <cellStyle name="Обычный 5 2 2 77 3 2" xfId="45811"/>
    <cellStyle name="Обычный 5 2 2 77 4" xfId="24448"/>
    <cellStyle name="Обычный 5 2 2 77 4 2" xfId="56491"/>
    <cellStyle name="Обычный 5 2 2 77 5" xfId="35131"/>
    <cellStyle name="Обычный 5 2 2 78" xfId="3118"/>
    <cellStyle name="Обычный 5 2 2 78 2" xfId="8459"/>
    <cellStyle name="Обычный 5 2 2 78 2 2" xfId="19139"/>
    <cellStyle name="Обычный 5 2 2 78 2 2 2" xfId="51183"/>
    <cellStyle name="Обычный 5 2 2 78 2 3" xfId="29820"/>
    <cellStyle name="Обычный 5 2 2 78 2 3 2" xfId="61863"/>
    <cellStyle name="Обычный 5 2 2 78 2 4" xfId="40503"/>
    <cellStyle name="Обычный 5 2 2 78 3" xfId="13799"/>
    <cellStyle name="Обычный 5 2 2 78 3 2" xfId="45843"/>
    <cellStyle name="Обычный 5 2 2 78 4" xfId="24480"/>
    <cellStyle name="Обычный 5 2 2 78 4 2" xfId="56523"/>
    <cellStyle name="Обычный 5 2 2 78 5" xfId="35163"/>
    <cellStyle name="Обычный 5 2 2 79" xfId="3150"/>
    <cellStyle name="Обычный 5 2 2 79 2" xfId="8491"/>
    <cellStyle name="Обычный 5 2 2 79 2 2" xfId="19171"/>
    <cellStyle name="Обычный 5 2 2 79 2 2 2" xfId="51215"/>
    <cellStyle name="Обычный 5 2 2 79 2 3" xfId="29852"/>
    <cellStyle name="Обычный 5 2 2 79 2 3 2" xfId="61895"/>
    <cellStyle name="Обычный 5 2 2 79 2 4" xfId="40535"/>
    <cellStyle name="Обычный 5 2 2 79 3" xfId="13831"/>
    <cellStyle name="Обычный 5 2 2 79 3 2" xfId="45875"/>
    <cellStyle name="Обычный 5 2 2 79 4" xfId="24512"/>
    <cellStyle name="Обычный 5 2 2 79 4 2" xfId="56555"/>
    <cellStyle name="Обычный 5 2 2 79 5" xfId="35195"/>
    <cellStyle name="Обычный 5 2 2 8" xfId="1110"/>
    <cellStyle name="Обычный 5 2 2 8 2" xfId="6453"/>
    <cellStyle name="Обычный 5 2 2 8 2 2" xfId="17133"/>
    <cellStyle name="Обычный 5 2 2 8 2 2 2" xfId="49177"/>
    <cellStyle name="Обычный 5 2 2 8 2 3" xfId="27814"/>
    <cellStyle name="Обычный 5 2 2 8 2 3 2" xfId="59857"/>
    <cellStyle name="Обычный 5 2 2 8 2 4" xfId="38497"/>
    <cellStyle name="Обычный 5 2 2 8 3" xfId="11793"/>
    <cellStyle name="Обычный 5 2 2 8 3 2" xfId="43837"/>
    <cellStyle name="Обычный 5 2 2 8 4" xfId="22474"/>
    <cellStyle name="Обычный 5 2 2 8 4 2" xfId="54517"/>
    <cellStyle name="Обычный 5 2 2 8 5" xfId="33157"/>
    <cellStyle name="Обычный 5 2 2 80" xfId="3182"/>
    <cellStyle name="Обычный 5 2 2 80 2" xfId="8523"/>
    <cellStyle name="Обычный 5 2 2 80 2 2" xfId="19203"/>
    <cellStyle name="Обычный 5 2 2 80 2 2 2" xfId="51247"/>
    <cellStyle name="Обычный 5 2 2 80 2 3" xfId="29884"/>
    <cellStyle name="Обычный 5 2 2 80 2 3 2" xfId="61927"/>
    <cellStyle name="Обычный 5 2 2 80 2 4" xfId="40567"/>
    <cellStyle name="Обычный 5 2 2 80 3" xfId="13863"/>
    <cellStyle name="Обычный 5 2 2 80 3 2" xfId="45907"/>
    <cellStyle name="Обычный 5 2 2 80 4" xfId="24544"/>
    <cellStyle name="Обычный 5 2 2 80 4 2" xfId="56587"/>
    <cellStyle name="Обычный 5 2 2 80 5" xfId="35227"/>
    <cellStyle name="Обычный 5 2 2 81" xfId="3214"/>
    <cellStyle name="Обычный 5 2 2 81 2" xfId="8555"/>
    <cellStyle name="Обычный 5 2 2 81 2 2" xfId="19235"/>
    <cellStyle name="Обычный 5 2 2 81 2 2 2" xfId="51279"/>
    <cellStyle name="Обычный 5 2 2 81 2 3" xfId="29916"/>
    <cellStyle name="Обычный 5 2 2 81 2 3 2" xfId="61959"/>
    <cellStyle name="Обычный 5 2 2 81 2 4" xfId="40599"/>
    <cellStyle name="Обычный 5 2 2 81 3" xfId="13895"/>
    <cellStyle name="Обычный 5 2 2 81 3 2" xfId="45939"/>
    <cellStyle name="Обычный 5 2 2 81 4" xfId="24576"/>
    <cellStyle name="Обычный 5 2 2 81 4 2" xfId="56619"/>
    <cellStyle name="Обычный 5 2 2 81 5" xfId="35259"/>
    <cellStyle name="Обычный 5 2 2 82" xfId="3246"/>
    <cellStyle name="Обычный 5 2 2 82 2" xfId="8587"/>
    <cellStyle name="Обычный 5 2 2 82 2 2" xfId="19267"/>
    <cellStyle name="Обычный 5 2 2 82 2 2 2" xfId="51311"/>
    <cellStyle name="Обычный 5 2 2 82 2 3" xfId="29948"/>
    <cellStyle name="Обычный 5 2 2 82 2 3 2" xfId="61991"/>
    <cellStyle name="Обычный 5 2 2 82 2 4" xfId="40631"/>
    <cellStyle name="Обычный 5 2 2 82 3" xfId="13927"/>
    <cellStyle name="Обычный 5 2 2 82 3 2" xfId="45971"/>
    <cellStyle name="Обычный 5 2 2 82 4" xfId="24608"/>
    <cellStyle name="Обычный 5 2 2 82 4 2" xfId="56651"/>
    <cellStyle name="Обычный 5 2 2 82 5" xfId="35291"/>
    <cellStyle name="Обычный 5 2 2 83" xfId="3278"/>
    <cellStyle name="Обычный 5 2 2 83 2" xfId="8619"/>
    <cellStyle name="Обычный 5 2 2 83 2 2" xfId="19299"/>
    <cellStyle name="Обычный 5 2 2 83 2 2 2" xfId="51343"/>
    <cellStyle name="Обычный 5 2 2 83 2 3" xfId="29980"/>
    <cellStyle name="Обычный 5 2 2 83 2 3 2" xfId="62023"/>
    <cellStyle name="Обычный 5 2 2 83 2 4" xfId="40663"/>
    <cellStyle name="Обычный 5 2 2 83 3" xfId="13959"/>
    <cellStyle name="Обычный 5 2 2 83 3 2" xfId="46003"/>
    <cellStyle name="Обычный 5 2 2 83 4" xfId="24640"/>
    <cellStyle name="Обычный 5 2 2 83 4 2" xfId="56683"/>
    <cellStyle name="Обычный 5 2 2 83 5" xfId="35323"/>
    <cellStyle name="Обычный 5 2 2 84" xfId="3310"/>
    <cellStyle name="Обычный 5 2 2 84 2" xfId="8651"/>
    <cellStyle name="Обычный 5 2 2 84 2 2" xfId="19331"/>
    <cellStyle name="Обычный 5 2 2 84 2 2 2" xfId="51375"/>
    <cellStyle name="Обычный 5 2 2 84 2 3" xfId="30012"/>
    <cellStyle name="Обычный 5 2 2 84 2 3 2" xfId="62055"/>
    <cellStyle name="Обычный 5 2 2 84 2 4" xfId="40695"/>
    <cellStyle name="Обычный 5 2 2 84 3" xfId="13991"/>
    <cellStyle name="Обычный 5 2 2 84 3 2" xfId="46035"/>
    <cellStyle name="Обычный 5 2 2 84 4" xfId="24672"/>
    <cellStyle name="Обычный 5 2 2 84 4 2" xfId="56715"/>
    <cellStyle name="Обычный 5 2 2 84 5" xfId="35355"/>
    <cellStyle name="Обычный 5 2 2 85" xfId="3342"/>
    <cellStyle name="Обычный 5 2 2 85 2" xfId="8683"/>
    <cellStyle name="Обычный 5 2 2 85 2 2" xfId="19363"/>
    <cellStyle name="Обычный 5 2 2 85 2 2 2" xfId="51407"/>
    <cellStyle name="Обычный 5 2 2 85 2 3" xfId="30044"/>
    <cellStyle name="Обычный 5 2 2 85 2 3 2" xfId="62087"/>
    <cellStyle name="Обычный 5 2 2 85 2 4" xfId="40727"/>
    <cellStyle name="Обычный 5 2 2 85 3" xfId="14023"/>
    <cellStyle name="Обычный 5 2 2 85 3 2" xfId="46067"/>
    <cellStyle name="Обычный 5 2 2 85 4" xfId="24704"/>
    <cellStyle name="Обычный 5 2 2 85 4 2" xfId="56747"/>
    <cellStyle name="Обычный 5 2 2 85 5" xfId="35387"/>
    <cellStyle name="Обычный 5 2 2 86" xfId="3374"/>
    <cellStyle name="Обычный 5 2 2 86 2" xfId="8715"/>
    <cellStyle name="Обычный 5 2 2 86 2 2" xfId="19395"/>
    <cellStyle name="Обычный 5 2 2 86 2 2 2" xfId="51439"/>
    <cellStyle name="Обычный 5 2 2 86 2 3" xfId="30076"/>
    <cellStyle name="Обычный 5 2 2 86 2 3 2" xfId="62119"/>
    <cellStyle name="Обычный 5 2 2 86 2 4" xfId="40759"/>
    <cellStyle name="Обычный 5 2 2 86 3" xfId="14055"/>
    <cellStyle name="Обычный 5 2 2 86 3 2" xfId="46099"/>
    <cellStyle name="Обычный 5 2 2 86 4" xfId="24736"/>
    <cellStyle name="Обычный 5 2 2 86 4 2" xfId="56779"/>
    <cellStyle name="Обычный 5 2 2 86 5" xfId="35419"/>
    <cellStyle name="Обычный 5 2 2 87" xfId="3406"/>
    <cellStyle name="Обычный 5 2 2 87 2" xfId="8747"/>
    <cellStyle name="Обычный 5 2 2 87 2 2" xfId="19427"/>
    <cellStyle name="Обычный 5 2 2 87 2 2 2" xfId="51471"/>
    <cellStyle name="Обычный 5 2 2 87 2 3" xfId="30108"/>
    <cellStyle name="Обычный 5 2 2 87 2 3 2" xfId="62151"/>
    <cellStyle name="Обычный 5 2 2 87 2 4" xfId="40791"/>
    <cellStyle name="Обычный 5 2 2 87 3" xfId="14087"/>
    <cellStyle name="Обычный 5 2 2 87 3 2" xfId="46131"/>
    <cellStyle name="Обычный 5 2 2 87 4" xfId="24768"/>
    <cellStyle name="Обычный 5 2 2 87 4 2" xfId="56811"/>
    <cellStyle name="Обычный 5 2 2 87 5" xfId="35451"/>
    <cellStyle name="Обычный 5 2 2 88" xfId="3438"/>
    <cellStyle name="Обычный 5 2 2 88 2" xfId="8779"/>
    <cellStyle name="Обычный 5 2 2 88 2 2" xfId="19459"/>
    <cellStyle name="Обычный 5 2 2 88 2 2 2" xfId="51503"/>
    <cellStyle name="Обычный 5 2 2 88 2 3" xfId="30140"/>
    <cellStyle name="Обычный 5 2 2 88 2 3 2" xfId="62183"/>
    <cellStyle name="Обычный 5 2 2 88 2 4" xfId="40823"/>
    <cellStyle name="Обычный 5 2 2 88 3" xfId="14119"/>
    <cellStyle name="Обычный 5 2 2 88 3 2" xfId="46163"/>
    <cellStyle name="Обычный 5 2 2 88 4" xfId="24800"/>
    <cellStyle name="Обычный 5 2 2 88 4 2" xfId="56843"/>
    <cellStyle name="Обычный 5 2 2 88 5" xfId="35483"/>
    <cellStyle name="Обычный 5 2 2 89" xfId="3470"/>
    <cellStyle name="Обычный 5 2 2 89 2" xfId="8811"/>
    <cellStyle name="Обычный 5 2 2 89 2 2" xfId="19491"/>
    <cellStyle name="Обычный 5 2 2 89 2 2 2" xfId="51535"/>
    <cellStyle name="Обычный 5 2 2 89 2 3" xfId="30172"/>
    <cellStyle name="Обычный 5 2 2 89 2 3 2" xfId="62215"/>
    <cellStyle name="Обычный 5 2 2 89 2 4" xfId="40855"/>
    <cellStyle name="Обычный 5 2 2 89 3" xfId="14151"/>
    <cellStyle name="Обычный 5 2 2 89 3 2" xfId="46195"/>
    <cellStyle name="Обычный 5 2 2 89 4" xfId="24832"/>
    <cellStyle name="Обычный 5 2 2 89 4 2" xfId="56875"/>
    <cellStyle name="Обычный 5 2 2 89 5" xfId="35515"/>
    <cellStyle name="Обычный 5 2 2 9" xfId="1136"/>
    <cellStyle name="Обычный 5 2 2 9 2" xfId="6479"/>
    <cellStyle name="Обычный 5 2 2 9 2 2" xfId="17159"/>
    <cellStyle name="Обычный 5 2 2 9 2 2 2" xfId="49203"/>
    <cellStyle name="Обычный 5 2 2 9 2 3" xfId="27840"/>
    <cellStyle name="Обычный 5 2 2 9 2 3 2" xfId="59883"/>
    <cellStyle name="Обычный 5 2 2 9 2 4" xfId="38523"/>
    <cellStyle name="Обычный 5 2 2 9 3" xfId="11819"/>
    <cellStyle name="Обычный 5 2 2 9 3 2" xfId="43863"/>
    <cellStyle name="Обычный 5 2 2 9 4" xfId="22500"/>
    <cellStyle name="Обычный 5 2 2 9 4 2" xfId="54543"/>
    <cellStyle name="Обычный 5 2 2 9 5" xfId="33183"/>
    <cellStyle name="Обычный 5 2 2 90" xfId="3502"/>
    <cellStyle name="Обычный 5 2 2 90 2" xfId="8843"/>
    <cellStyle name="Обычный 5 2 2 90 2 2" xfId="19523"/>
    <cellStyle name="Обычный 5 2 2 90 2 2 2" xfId="51567"/>
    <cellStyle name="Обычный 5 2 2 90 2 3" xfId="30204"/>
    <cellStyle name="Обычный 5 2 2 90 2 3 2" xfId="62247"/>
    <cellStyle name="Обычный 5 2 2 90 2 4" xfId="40887"/>
    <cellStyle name="Обычный 5 2 2 90 3" xfId="14183"/>
    <cellStyle name="Обычный 5 2 2 90 3 2" xfId="46227"/>
    <cellStyle name="Обычный 5 2 2 90 4" xfId="24864"/>
    <cellStyle name="Обычный 5 2 2 90 4 2" xfId="56907"/>
    <cellStyle name="Обычный 5 2 2 90 5" xfId="35547"/>
    <cellStyle name="Обычный 5 2 2 91" xfId="3534"/>
    <cellStyle name="Обычный 5 2 2 91 2" xfId="8875"/>
    <cellStyle name="Обычный 5 2 2 91 2 2" xfId="19555"/>
    <cellStyle name="Обычный 5 2 2 91 2 2 2" xfId="51599"/>
    <cellStyle name="Обычный 5 2 2 91 2 3" xfId="30236"/>
    <cellStyle name="Обычный 5 2 2 91 2 3 2" xfId="62279"/>
    <cellStyle name="Обычный 5 2 2 91 2 4" xfId="40919"/>
    <cellStyle name="Обычный 5 2 2 91 3" xfId="14215"/>
    <cellStyle name="Обычный 5 2 2 91 3 2" xfId="46259"/>
    <cellStyle name="Обычный 5 2 2 91 4" xfId="24896"/>
    <cellStyle name="Обычный 5 2 2 91 4 2" xfId="56939"/>
    <cellStyle name="Обычный 5 2 2 91 5" xfId="35579"/>
    <cellStyle name="Обычный 5 2 2 92" xfId="3566"/>
    <cellStyle name="Обычный 5 2 2 92 2" xfId="8907"/>
    <cellStyle name="Обычный 5 2 2 92 2 2" xfId="19587"/>
    <cellStyle name="Обычный 5 2 2 92 2 2 2" xfId="51631"/>
    <cellStyle name="Обычный 5 2 2 92 2 3" xfId="30268"/>
    <cellStyle name="Обычный 5 2 2 92 2 3 2" xfId="62311"/>
    <cellStyle name="Обычный 5 2 2 92 2 4" xfId="40951"/>
    <cellStyle name="Обычный 5 2 2 92 3" xfId="14247"/>
    <cellStyle name="Обычный 5 2 2 92 3 2" xfId="46291"/>
    <cellStyle name="Обычный 5 2 2 92 4" xfId="24928"/>
    <cellStyle name="Обычный 5 2 2 92 4 2" xfId="56971"/>
    <cellStyle name="Обычный 5 2 2 92 5" xfId="35611"/>
    <cellStyle name="Обычный 5 2 2 93" xfId="3598"/>
    <cellStyle name="Обычный 5 2 2 93 2" xfId="8939"/>
    <cellStyle name="Обычный 5 2 2 93 2 2" xfId="19619"/>
    <cellStyle name="Обычный 5 2 2 93 2 2 2" xfId="51663"/>
    <cellStyle name="Обычный 5 2 2 93 2 3" xfId="30300"/>
    <cellStyle name="Обычный 5 2 2 93 2 3 2" xfId="62343"/>
    <cellStyle name="Обычный 5 2 2 93 2 4" xfId="40983"/>
    <cellStyle name="Обычный 5 2 2 93 3" xfId="14279"/>
    <cellStyle name="Обычный 5 2 2 93 3 2" xfId="46323"/>
    <cellStyle name="Обычный 5 2 2 93 4" xfId="24960"/>
    <cellStyle name="Обычный 5 2 2 93 4 2" xfId="57003"/>
    <cellStyle name="Обычный 5 2 2 93 5" xfId="35643"/>
    <cellStyle name="Обычный 5 2 2 94" xfId="3630"/>
    <cellStyle name="Обычный 5 2 2 94 2" xfId="8971"/>
    <cellStyle name="Обычный 5 2 2 94 2 2" xfId="19651"/>
    <cellStyle name="Обычный 5 2 2 94 2 2 2" xfId="51695"/>
    <cellStyle name="Обычный 5 2 2 94 2 3" xfId="30332"/>
    <cellStyle name="Обычный 5 2 2 94 2 3 2" xfId="62375"/>
    <cellStyle name="Обычный 5 2 2 94 2 4" xfId="41015"/>
    <cellStyle name="Обычный 5 2 2 94 3" xfId="14311"/>
    <cellStyle name="Обычный 5 2 2 94 3 2" xfId="46355"/>
    <cellStyle name="Обычный 5 2 2 94 4" xfId="24992"/>
    <cellStyle name="Обычный 5 2 2 94 4 2" xfId="57035"/>
    <cellStyle name="Обычный 5 2 2 94 5" xfId="35675"/>
    <cellStyle name="Обычный 5 2 2 95" xfId="3662"/>
    <cellStyle name="Обычный 5 2 2 95 2" xfId="9003"/>
    <cellStyle name="Обычный 5 2 2 95 2 2" xfId="19683"/>
    <cellStyle name="Обычный 5 2 2 95 2 2 2" xfId="51727"/>
    <cellStyle name="Обычный 5 2 2 95 2 3" xfId="30364"/>
    <cellStyle name="Обычный 5 2 2 95 2 3 2" xfId="62407"/>
    <cellStyle name="Обычный 5 2 2 95 2 4" xfId="41047"/>
    <cellStyle name="Обычный 5 2 2 95 3" xfId="14343"/>
    <cellStyle name="Обычный 5 2 2 95 3 2" xfId="46387"/>
    <cellStyle name="Обычный 5 2 2 95 4" xfId="25024"/>
    <cellStyle name="Обычный 5 2 2 95 4 2" xfId="57067"/>
    <cellStyle name="Обычный 5 2 2 95 5" xfId="35707"/>
    <cellStyle name="Обычный 5 2 2 96" xfId="3694"/>
    <cellStyle name="Обычный 5 2 2 96 2" xfId="9035"/>
    <cellStyle name="Обычный 5 2 2 96 2 2" xfId="19715"/>
    <cellStyle name="Обычный 5 2 2 96 2 2 2" xfId="51759"/>
    <cellStyle name="Обычный 5 2 2 96 2 3" xfId="30396"/>
    <cellStyle name="Обычный 5 2 2 96 2 3 2" xfId="62439"/>
    <cellStyle name="Обычный 5 2 2 96 2 4" xfId="41079"/>
    <cellStyle name="Обычный 5 2 2 96 3" xfId="14375"/>
    <cellStyle name="Обычный 5 2 2 96 3 2" xfId="46419"/>
    <cellStyle name="Обычный 5 2 2 96 4" xfId="25056"/>
    <cellStyle name="Обычный 5 2 2 96 4 2" xfId="57099"/>
    <cellStyle name="Обычный 5 2 2 96 5" xfId="35739"/>
    <cellStyle name="Обычный 5 2 2 97" xfId="3726"/>
    <cellStyle name="Обычный 5 2 2 97 2" xfId="9067"/>
    <cellStyle name="Обычный 5 2 2 97 2 2" xfId="19747"/>
    <cellStyle name="Обычный 5 2 2 97 2 2 2" xfId="51791"/>
    <cellStyle name="Обычный 5 2 2 97 2 3" xfId="30428"/>
    <cellStyle name="Обычный 5 2 2 97 2 3 2" xfId="62471"/>
    <cellStyle name="Обычный 5 2 2 97 2 4" xfId="41111"/>
    <cellStyle name="Обычный 5 2 2 97 3" xfId="14407"/>
    <cellStyle name="Обычный 5 2 2 97 3 2" xfId="46451"/>
    <cellStyle name="Обычный 5 2 2 97 4" xfId="25088"/>
    <cellStyle name="Обычный 5 2 2 97 4 2" xfId="57131"/>
    <cellStyle name="Обычный 5 2 2 97 5" xfId="35771"/>
    <cellStyle name="Обычный 5 2 2 98" xfId="3758"/>
    <cellStyle name="Обычный 5 2 2 98 2" xfId="9099"/>
    <cellStyle name="Обычный 5 2 2 98 2 2" xfId="19779"/>
    <cellStyle name="Обычный 5 2 2 98 2 2 2" xfId="51823"/>
    <cellStyle name="Обычный 5 2 2 98 2 3" xfId="30460"/>
    <cellStyle name="Обычный 5 2 2 98 2 3 2" xfId="62503"/>
    <cellStyle name="Обычный 5 2 2 98 2 4" xfId="41143"/>
    <cellStyle name="Обычный 5 2 2 98 3" xfId="14439"/>
    <cellStyle name="Обычный 5 2 2 98 3 2" xfId="46483"/>
    <cellStyle name="Обычный 5 2 2 98 4" xfId="25120"/>
    <cellStyle name="Обычный 5 2 2 98 4 2" xfId="57163"/>
    <cellStyle name="Обычный 5 2 2 98 5" xfId="35803"/>
    <cellStyle name="Обычный 5 2 2 99" xfId="3790"/>
    <cellStyle name="Обычный 5 2 2 99 2" xfId="9131"/>
    <cellStyle name="Обычный 5 2 2 99 2 2" xfId="19811"/>
    <cellStyle name="Обычный 5 2 2 99 2 2 2" xfId="51855"/>
    <cellStyle name="Обычный 5 2 2 99 2 3" xfId="30492"/>
    <cellStyle name="Обычный 5 2 2 99 2 3 2" xfId="62535"/>
    <cellStyle name="Обычный 5 2 2 99 2 4" xfId="41175"/>
    <cellStyle name="Обычный 5 2 2 99 3" xfId="14471"/>
    <cellStyle name="Обычный 5 2 2 99 3 2" xfId="46515"/>
    <cellStyle name="Обычный 5 2 2 99 4" xfId="25152"/>
    <cellStyle name="Обычный 5 2 2 99 4 2" xfId="57195"/>
    <cellStyle name="Обычный 5 2 2 99 5" xfId="35835"/>
    <cellStyle name="Обычный 5 2 20" xfId="256"/>
    <cellStyle name="Обычный 5 2 20 2" xfId="724"/>
    <cellStyle name="Обычный 5 2 20 2 2" xfId="6067"/>
    <cellStyle name="Обычный 5 2 20 2 2 2" xfId="16747"/>
    <cellStyle name="Обычный 5 2 20 2 2 2 2" xfId="48791"/>
    <cellStyle name="Обычный 5 2 20 2 2 3" xfId="27428"/>
    <cellStyle name="Обычный 5 2 20 2 2 3 2" xfId="59471"/>
    <cellStyle name="Обычный 5 2 20 2 2 4" xfId="38111"/>
    <cellStyle name="Обычный 5 2 20 2 3" xfId="11407"/>
    <cellStyle name="Обычный 5 2 20 2 3 2" xfId="43451"/>
    <cellStyle name="Обычный 5 2 20 2 4" xfId="22088"/>
    <cellStyle name="Обычный 5 2 20 2 4 2" xfId="54131"/>
    <cellStyle name="Обычный 5 2 20 2 5" xfId="32771"/>
    <cellStyle name="Обычный 5 2 20 3" xfId="5600"/>
    <cellStyle name="Обычный 5 2 20 3 2" xfId="16280"/>
    <cellStyle name="Обычный 5 2 20 3 2 2" xfId="48324"/>
    <cellStyle name="Обычный 5 2 20 3 3" xfId="26961"/>
    <cellStyle name="Обычный 5 2 20 3 3 2" xfId="59004"/>
    <cellStyle name="Обычный 5 2 20 3 4" xfId="37644"/>
    <cellStyle name="Обычный 5 2 20 4" xfId="10940"/>
    <cellStyle name="Обычный 5 2 20 4 2" xfId="42984"/>
    <cellStyle name="Обычный 5 2 20 5" xfId="21621"/>
    <cellStyle name="Обычный 5 2 20 5 2" xfId="53664"/>
    <cellStyle name="Обычный 5 2 20 6" xfId="32304"/>
    <cellStyle name="Обычный 5 2 21" xfId="266"/>
    <cellStyle name="Обычный 5 2 21 2" xfId="734"/>
    <cellStyle name="Обычный 5 2 21 2 2" xfId="6077"/>
    <cellStyle name="Обычный 5 2 21 2 2 2" xfId="16757"/>
    <cellStyle name="Обычный 5 2 21 2 2 2 2" xfId="48801"/>
    <cellStyle name="Обычный 5 2 21 2 2 3" xfId="27438"/>
    <cellStyle name="Обычный 5 2 21 2 2 3 2" xfId="59481"/>
    <cellStyle name="Обычный 5 2 21 2 2 4" xfId="38121"/>
    <cellStyle name="Обычный 5 2 21 2 3" xfId="11417"/>
    <cellStyle name="Обычный 5 2 21 2 3 2" xfId="43461"/>
    <cellStyle name="Обычный 5 2 21 2 4" xfId="22098"/>
    <cellStyle name="Обычный 5 2 21 2 4 2" xfId="54141"/>
    <cellStyle name="Обычный 5 2 21 2 5" xfId="32781"/>
    <cellStyle name="Обычный 5 2 21 3" xfId="5610"/>
    <cellStyle name="Обычный 5 2 21 3 2" xfId="16290"/>
    <cellStyle name="Обычный 5 2 21 3 2 2" xfId="48334"/>
    <cellStyle name="Обычный 5 2 21 3 3" xfId="26971"/>
    <cellStyle name="Обычный 5 2 21 3 3 2" xfId="59014"/>
    <cellStyle name="Обычный 5 2 21 3 4" xfId="37654"/>
    <cellStyle name="Обычный 5 2 21 4" xfId="10950"/>
    <cellStyle name="Обычный 5 2 21 4 2" xfId="42994"/>
    <cellStyle name="Обычный 5 2 21 5" xfId="21631"/>
    <cellStyle name="Обычный 5 2 21 5 2" xfId="53674"/>
    <cellStyle name="Обычный 5 2 21 6" xfId="32314"/>
    <cellStyle name="Обычный 5 2 22" xfId="276"/>
    <cellStyle name="Обычный 5 2 22 2" xfId="744"/>
    <cellStyle name="Обычный 5 2 22 2 2" xfId="6087"/>
    <cellStyle name="Обычный 5 2 22 2 2 2" xfId="16767"/>
    <cellStyle name="Обычный 5 2 22 2 2 2 2" xfId="48811"/>
    <cellStyle name="Обычный 5 2 22 2 2 3" xfId="27448"/>
    <cellStyle name="Обычный 5 2 22 2 2 3 2" xfId="59491"/>
    <cellStyle name="Обычный 5 2 22 2 2 4" xfId="38131"/>
    <cellStyle name="Обычный 5 2 22 2 3" xfId="11427"/>
    <cellStyle name="Обычный 5 2 22 2 3 2" xfId="43471"/>
    <cellStyle name="Обычный 5 2 22 2 4" xfId="22108"/>
    <cellStyle name="Обычный 5 2 22 2 4 2" xfId="54151"/>
    <cellStyle name="Обычный 5 2 22 2 5" xfId="32791"/>
    <cellStyle name="Обычный 5 2 22 3" xfId="5620"/>
    <cellStyle name="Обычный 5 2 22 3 2" xfId="16300"/>
    <cellStyle name="Обычный 5 2 22 3 2 2" xfId="48344"/>
    <cellStyle name="Обычный 5 2 22 3 3" xfId="26981"/>
    <cellStyle name="Обычный 5 2 22 3 3 2" xfId="59024"/>
    <cellStyle name="Обычный 5 2 22 3 4" xfId="37664"/>
    <cellStyle name="Обычный 5 2 22 4" xfId="10960"/>
    <cellStyle name="Обычный 5 2 22 4 2" xfId="43004"/>
    <cellStyle name="Обычный 5 2 22 5" xfId="21641"/>
    <cellStyle name="Обычный 5 2 22 5 2" xfId="53684"/>
    <cellStyle name="Обычный 5 2 22 6" xfId="32324"/>
    <cellStyle name="Обычный 5 2 23" xfId="286"/>
    <cellStyle name="Обычный 5 2 23 2" xfId="754"/>
    <cellStyle name="Обычный 5 2 23 2 2" xfId="6097"/>
    <cellStyle name="Обычный 5 2 23 2 2 2" xfId="16777"/>
    <cellStyle name="Обычный 5 2 23 2 2 2 2" xfId="48821"/>
    <cellStyle name="Обычный 5 2 23 2 2 3" xfId="27458"/>
    <cellStyle name="Обычный 5 2 23 2 2 3 2" xfId="59501"/>
    <cellStyle name="Обычный 5 2 23 2 2 4" xfId="38141"/>
    <cellStyle name="Обычный 5 2 23 2 3" xfId="11437"/>
    <cellStyle name="Обычный 5 2 23 2 3 2" xfId="43481"/>
    <cellStyle name="Обычный 5 2 23 2 4" xfId="22118"/>
    <cellStyle name="Обычный 5 2 23 2 4 2" xfId="54161"/>
    <cellStyle name="Обычный 5 2 23 2 5" xfId="32801"/>
    <cellStyle name="Обычный 5 2 23 3" xfId="5630"/>
    <cellStyle name="Обычный 5 2 23 3 2" xfId="16310"/>
    <cellStyle name="Обычный 5 2 23 3 2 2" xfId="48354"/>
    <cellStyle name="Обычный 5 2 23 3 3" xfId="26991"/>
    <cellStyle name="Обычный 5 2 23 3 3 2" xfId="59034"/>
    <cellStyle name="Обычный 5 2 23 3 4" xfId="37674"/>
    <cellStyle name="Обычный 5 2 23 4" xfId="10970"/>
    <cellStyle name="Обычный 5 2 23 4 2" xfId="43014"/>
    <cellStyle name="Обычный 5 2 23 5" xfId="21651"/>
    <cellStyle name="Обычный 5 2 23 5 2" xfId="53694"/>
    <cellStyle name="Обычный 5 2 23 6" xfId="32334"/>
    <cellStyle name="Обычный 5 2 24" xfId="296"/>
    <cellStyle name="Обычный 5 2 24 2" xfId="764"/>
    <cellStyle name="Обычный 5 2 24 2 2" xfId="6107"/>
    <cellStyle name="Обычный 5 2 24 2 2 2" xfId="16787"/>
    <cellStyle name="Обычный 5 2 24 2 2 2 2" xfId="48831"/>
    <cellStyle name="Обычный 5 2 24 2 2 3" xfId="27468"/>
    <cellStyle name="Обычный 5 2 24 2 2 3 2" xfId="59511"/>
    <cellStyle name="Обычный 5 2 24 2 2 4" xfId="38151"/>
    <cellStyle name="Обычный 5 2 24 2 3" xfId="11447"/>
    <cellStyle name="Обычный 5 2 24 2 3 2" xfId="43491"/>
    <cellStyle name="Обычный 5 2 24 2 4" xfId="22128"/>
    <cellStyle name="Обычный 5 2 24 2 4 2" xfId="54171"/>
    <cellStyle name="Обычный 5 2 24 2 5" xfId="32811"/>
    <cellStyle name="Обычный 5 2 24 3" xfId="5640"/>
    <cellStyle name="Обычный 5 2 24 3 2" xfId="16320"/>
    <cellStyle name="Обычный 5 2 24 3 2 2" xfId="48364"/>
    <cellStyle name="Обычный 5 2 24 3 3" xfId="27001"/>
    <cellStyle name="Обычный 5 2 24 3 3 2" xfId="59044"/>
    <cellStyle name="Обычный 5 2 24 3 4" xfId="37684"/>
    <cellStyle name="Обычный 5 2 24 4" xfId="10980"/>
    <cellStyle name="Обычный 5 2 24 4 2" xfId="43024"/>
    <cellStyle name="Обычный 5 2 24 5" xfId="21661"/>
    <cellStyle name="Обычный 5 2 24 5 2" xfId="53704"/>
    <cellStyle name="Обычный 5 2 24 6" xfId="32344"/>
    <cellStyle name="Обычный 5 2 25" xfId="306"/>
    <cellStyle name="Обычный 5 2 25 2" xfId="774"/>
    <cellStyle name="Обычный 5 2 25 2 2" xfId="6117"/>
    <cellStyle name="Обычный 5 2 25 2 2 2" xfId="16797"/>
    <cellStyle name="Обычный 5 2 25 2 2 2 2" xfId="48841"/>
    <cellStyle name="Обычный 5 2 25 2 2 3" xfId="27478"/>
    <cellStyle name="Обычный 5 2 25 2 2 3 2" xfId="59521"/>
    <cellStyle name="Обычный 5 2 25 2 2 4" xfId="38161"/>
    <cellStyle name="Обычный 5 2 25 2 3" xfId="11457"/>
    <cellStyle name="Обычный 5 2 25 2 3 2" xfId="43501"/>
    <cellStyle name="Обычный 5 2 25 2 4" xfId="22138"/>
    <cellStyle name="Обычный 5 2 25 2 4 2" xfId="54181"/>
    <cellStyle name="Обычный 5 2 25 2 5" xfId="32821"/>
    <cellStyle name="Обычный 5 2 25 3" xfId="5650"/>
    <cellStyle name="Обычный 5 2 25 3 2" xfId="16330"/>
    <cellStyle name="Обычный 5 2 25 3 2 2" xfId="48374"/>
    <cellStyle name="Обычный 5 2 25 3 3" xfId="27011"/>
    <cellStyle name="Обычный 5 2 25 3 3 2" xfId="59054"/>
    <cellStyle name="Обычный 5 2 25 3 4" xfId="37694"/>
    <cellStyle name="Обычный 5 2 25 4" xfId="10990"/>
    <cellStyle name="Обычный 5 2 25 4 2" xfId="43034"/>
    <cellStyle name="Обычный 5 2 25 5" xfId="21671"/>
    <cellStyle name="Обычный 5 2 25 5 2" xfId="53714"/>
    <cellStyle name="Обычный 5 2 25 6" xfId="32354"/>
    <cellStyle name="Обычный 5 2 26" xfId="316"/>
    <cellStyle name="Обычный 5 2 26 2" xfId="784"/>
    <cellStyle name="Обычный 5 2 26 2 2" xfId="6127"/>
    <cellStyle name="Обычный 5 2 26 2 2 2" xfId="16807"/>
    <cellStyle name="Обычный 5 2 26 2 2 2 2" xfId="48851"/>
    <cellStyle name="Обычный 5 2 26 2 2 3" xfId="27488"/>
    <cellStyle name="Обычный 5 2 26 2 2 3 2" xfId="59531"/>
    <cellStyle name="Обычный 5 2 26 2 2 4" xfId="38171"/>
    <cellStyle name="Обычный 5 2 26 2 3" xfId="11467"/>
    <cellStyle name="Обычный 5 2 26 2 3 2" xfId="43511"/>
    <cellStyle name="Обычный 5 2 26 2 4" xfId="22148"/>
    <cellStyle name="Обычный 5 2 26 2 4 2" xfId="54191"/>
    <cellStyle name="Обычный 5 2 26 2 5" xfId="32831"/>
    <cellStyle name="Обычный 5 2 26 3" xfId="5660"/>
    <cellStyle name="Обычный 5 2 26 3 2" xfId="16340"/>
    <cellStyle name="Обычный 5 2 26 3 2 2" xfId="48384"/>
    <cellStyle name="Обычный 5 2 26 3 3" xfId="27021"/>
    <cellStyle name="Обычный 5 2 26 3 3 2" xfId="59064"/>
    <cellStyle name="Обычный 5 2 26 3 4" xfId="37704"/>
    <cellStyle name="Обычный 5 2 26 4" xfId="11000"/>
    <cellStyle name="Обычный 5 2 26 4 2" xfId="43044"/>
    <cellStyle name="Обычный 5 2 26 5" xfId="21681"/>
    <cellStyle name="Обычный 5 2 26 5 2" xfId="53724"/>
    <cellStyle name="Обычный 5 2 26 6" xfId="32364"/>
    <cellStyle name="Обычный 5 2 27" xfId="326"/>
    <cellStyle name="Обычный 5 2 27 2" xfId="794"/>
    <cellStyle name="Обычный 5 2 27 2 2" xfId="6137"/>
    <cellStyle name="Обычный 5 2 27 2 2 2" xfId="16817"/>
    <cellStyle name="Обычный 5 2 27 2 2 2 2" xfId="48861"/>
    <cellStyle name="Обычный 5 2 27 2 2 3" xfId="27498"/>
    <cellStyle name="Обычный 5 2 27 2 2 3 2" xfId="59541"/>
    <cellStyle name="Обычный 5 2 27 2 2 4" xfId="38181"/>
    <cellStyle name="Обычный 5 2 27 2 3" xfId="11477"/>
    <cellStyle name="Обычный 5 2 27 2 3 2" xfId="43521"/>
    <cellStyle name="Обычный 5 2 27 2 4" xfId="22158"/>
    <cellStyle name="Обычный 5 2 27 2 4 2" xfId="54201"/>
    <cellStyle name="Обычный 5 2 27 2 5" xfId="32841"/>
    <cellStyle name="Обычный 5 2 27 3" xfId="5670"/>
    <cellStyle name="Обычный 5 2 27 3 2" xfId="16350"/>
    <cellStyle name="Обычный 5 2 27 3 2 2" xfId="48394"/>
    <cellStyle name="Обычный 5 2 27 3 3" xfId="27031"/>
    <cellStyle name="Обычный 5 2 27 3 3 2" xfId="59074"/>
    <cellStyle name="Обычный 5 2 27 3 4" xfId="37714"/>
    <cellStyle name="Обычный 5 2 27 4" xfId="11010"/>
    <cellStyle name="Обычный 5 2 27 4 2" xfId="43054"/>
    <cellStyle name="Обычный 5 2 27 5" xfId="21691"/>
    <cellStyle name="Обычный 5 2 27 5 2" xfId="53734"/>
    <cellStyle name="Обычный 5 2 27 6" xfId="32374"/>
    <cellStyle name="Обычный 5 2 28" xfId="336"/>
    <cellStyle name="Обычный 5 2 28 2" xfId="804"/>
    <cellStyle name="Обычный 5 2 28 2 2" xfId="6147"/>
    <cellStyle name="Обычный 5 2 28 2 2 2" xfId="16827"/>
    <cellStyle name="Обычный 5 2 28 2 2 2 2" xfId="48871"/>
    <cellStyle name="Обычный 5 2 28 2 2 3" xfId="27508"/>
    <cellStyle name="Обычный 5 2 28 2 2 3 2" xfId="59551"/>
    <cellStyle name="Обычный 5 2 28 2 2 4" xfId="38191"/>
    <cellStyle name="Обычный 5 2 28 2 3" xfId="11487"/>
    <cellStyle name="Обычный 5 2 28 2 3 2" xfId="43531"/>
    <cellStyle name="Обычный 5 2 28 2 4" xfId="22168"/>
    <cellStyle name="Обычный 5 2 28 2 4 2" xfId="54211"/>
    <cellStyle name="Обычный 5 2 28 2 5" xfId="32851"/>
    <cellStyle name="Обычный 5 2 28 3" xfId="5680"/>
    <cellStyle name="Обычный 5 2 28 3 2" xfId="16360"/>
    <cellStyle name="Обычный 5 2 28 3 2 2" xfId="48404"/>
    <cellStyle name="Обычный 5 2 28 3 3" xfId="27041"/>
    <cellStyle name="Обычный 5 2 28 3 3 2" xfId="59084"/>
    <cellStyle name="Обычный 5 2 28 3 4" xfId="37724"/>
    <cellStyle name="Обычный 5 2 28 4" xfId="11020"/>
    <cellStyle name="Обычный 5 2 28 4 2" xfId="43064"/>
    <cellStyle name="Обычный 5 2 28 5" xfId="21701"/>
    <cellStyle name="Обычный 5 2 28 5 2" xfId="53744"/>
    <cellStyle name="Обычный 5 2 28 6" xfId="32384"/>
    <cellStyle name="Обычный 5 2 29" xfId="346"/>
    <cellStyle name="Обычный 5 2 29 2" xfId="814"/>
    <cellStyle name="Обычный 5 2 29 2 2" xfId="6157"/>
    <cellStyle name="Обычный 5 2 29 2 2 2" xfId="16837"/>
    <cellStyle name="Обычный 5 2 29 2 2 2 2" xfId="48881"/>
    <cellStyle name="Обычный 5 2 29 2 2 3" xfId="27518"/>
    <cellStyle name="Обычный 5 2 29 2 2 3 2" xfId="59561"/>
    <cellStyle name="Обычный 5 2 29 2 2 4" xfId="38201"/>
    <cellStyle name="Обычный 5 2 29 2 3" xfId="11497"/>
    <cellStyle name="Обычный 5 2 29 2 3 2" xfId="43541"/>
    <cellStyle name="Обычный 5 2 29 2 4" xfId="22178"/>
    <cellStyle name="Обычный 5 2 29 2 4 2" xfId="54221"/>
    <cellStyle name="Обычный 5 2 29 2 5" xfId="32861"/>
    <cellStyle name="Обычный 5 2 29 3" xfId="5690"/>
    <cellStyle name="Обычный 5 2 29 3 2" xfId="16370"/>
    <cellStyle name="Обычный 5 2 29 3 2 2" xfId="48414"/>
    <cellStyle name="Обычный 5 2 29 3 3" xfId="27051"/>
    <cellStyle name="Обычный 5 2 29 3 3 2" xfId="59094"/>
    <cellStyle name="Обычный 5 2 29 3 4" xfId="37734"/>
    <cellStyle name="Обычный 5 2 29 4" xfId="11030"/>
    <cellStyle name="Обычный 5 2 29 4 2" xfId="43074"/>
    <cellStyle name="Обычный 5 2 29 5" xfId="21711"/>
    <cellStyle name="Обычный 5 2 29 5 2" xfId="53754"/>
    <cellStyle name="Обычный 5 2 29 6" xfId="32394"/>
    <cellStyle name="Обычный 5 2 3" xfId="88"/>
    <cellStyle name="Обычный 5 2 3 2" xfId="556"/>
    <cellStyle name="Обычный 5 2 3 2 2" xfId="5899"/>
    <cellStyle name="Обычный 5 2 3 2 2 2" xfId="16579"/>
    <cellStyle name="Обычный 5 2 3 2 2 2 2" xfId="48623"/>
    <cellStyle name="Обычный 5 2 3 2 2 3" xfId="27260"/>
    <cellStyle name="Обычный 5 2 3 2 2 3 2" xfId="59303"/>
    <cellStyle name="Обычный 5 2 3 2 2 4" xfId="37943"/>
    <cellStyle name="Обычный 5 2 3 2 3" xfId="11239"/>
    <cellStyle name="Обычный 5 2 3 2 3 2" xfId="43283"/>
    <cellStyle name="Обычный 5 2 3 2 4" xfId="21920"/>
    <cellStyle name="Обычный 5 2 3 2 4 2" xfId="53963"/>
    <cellStyle name="Обычный 5 2 3 2 5" xfId="32603"/>
    <cellStyle name="Обычный 5 2 3 3" xfId="5432"/>
    <cellStyle name="Обычный 5 2 3 3 2" xfId="16112"/>
    <cellStyle name="Обычный 5 2 3 3 2 2" xfId="48156"/>
    <cellStyle name="Обычный 5 2 3 3 3" xfId="26793"/>
    <cellStyle name="Обычный 5 2 3 3 3 2" xfId="58836"/>
    <cellStyle name="Обычный 5 2 3 3 4" xfId="37476"/>
    <cellStyle name="Обычный 5 2 3 4" xfId="10772"/>
    <cellStyle name="Обычный 5 2 3 4 2" xfId="42816"/>
    <cellStyle name="Обычный 5 2 3 5" xfId="21453"/>
    <cellStyle name="Обычный 5 2 3 5 2" xfId="53496"/>
    <cellStyle name="Обычный 5 2 3 6" xfId="32136"/>
    <cellStyle name="Обычный 5 2 30" xfId="356"/>
    <cellStyle name="Обычный 5 2 30 2" xfId="824"/>
    <cellStyle name="Обычный 5 2 30 2 2" xfId="6167"/>
    <cellStyle name="Обычный 5 2 30 2 2 2" xfId="16847"/>
    <cellStyle name="Обычный 5 2 30 2 2 2 2" xfId="48891"/>
    <cellStyle name="Обычный 5 2 30 2 2 3" xfId="27528"/>
    <cellStyle name="Обычный 5 2 30 2 2 3 2" xfId="59571"/>
    <cellStyle name="Обычный 5 2 30 2 2 4" xfId="38211"/>
    <cellStyle name="Обычный 5 2 30 2 3" xfId="11507"/>
    <cellStyle name="Обычный 5 2 30 2 3 2" xfId="43551"/>
    <cellStyle name="Обычный 5 2 30 2 4" xfId="22188"/>
    <cellStyle name="Обычный 5 2 30 2 4 2" xfId="54231"/>
    <cellStyle name="Обычный 5 2 30 2 5" xfId="32871"/>
    <cellStyle name="Обычный 5 2 30 3" xfId="5700"/>
    <cellStyle name="Обычный 5 2 30 3 2" xfId="16380"/>
    <cellStyle name="Обычный 5 2 30 3 2 2" xfId="48424"/>
    <cellStyle name="Обычный 5 2 30 3 3" xfId="27061"/>
    <cellStyle name="Обычный 5 2 30 3 3 2" xfId="59104"/>
    <cellStyle name="Обычный 5 2 30 3 4" xfId="37744"/>
    <cellStyle name="Обычный 5 2 30 4" xfId="11040"/>
    <cellStyle name="Обычный 5 2 30 4 2" xfId="43084"/>
    <cellStyle name="Обычный 5 2 30 5" xfId="21721"/>
    <cellStyle name="Обычный 5 2 30 5 2" xfId="53764"/>
    <cellStyle name="Обычный 5 2 30 6" xfId="32404"/>
    <cellStyle name="Обычный 5 2 31" xfId="366"/>
    <cellStyle name="Обычный 5 2 31 2" xfId="834"/>
    <cellStyle name="Обычный 5 2 31 2 2" xfId="6177"/>
    <cellStyle name="Обычный 5 2 31 2 2 2" xfId="16857"/>
    <cellStyle name="Обычный 5 2 31 2 2 2 2" xfId="48901"/>
    <cellStyle name="Обычный 5 2 31 2 2 3" xfId="27538"/>
    <cellStyle name="Обычный 5 2 31 2 2 3 2" xfId="59581"/>
    <cellStyle name="Обычный 5 2 31 2 2 4" xfId="38221"/>
    <cellStyle name="Обычный 5 2 31 2 3" xfId="11517"/>
    <cellStyle name="Обычный 5 2 31 2 3 2" xfId="43561"/>
    <cellStyle name="Обычный 5 2 31 2 4" xfId="22198"/>
    <cellStyle name="Обычный 5 2 31 2 4 2" xfId="54241"/>
    <cellStyle name="Обычный 5 2 31 2 5" xfId="32881"/>
    <cellStyle name="Обычный 5 2 31 3" xfId="5710"/>
    <cellStyle name="Обычный 5 2 31 3 2" xfId="16390"/>
    <cellStyle name="Обычный 5 2 31 3 2 2" xfId="48434"/>
    <cellStyle name="Обычный 5 2 31 3 3" xfId="27071"/>
    <cellStyle name="Обычный 5 2 31 3 3 2" xfId="59114"/>
    <cellStyle name="Обычный 5 2 31 3 4" xfId="37754"/>
    <cellStyle name="Обычный 5 2 31 4" xfId="11050"/>
    <cellStyle name="Обычный 5 2 31 4 2" xfId="43094"/>
    <cellStyle name="Обычный 5 2 31 5" xfId="21731"/>
    <cellStyle name="Обычный 5 2 31 5 2" xfId="53774"/>
    <cellStyle name="Обычный 5 2 31 6" xfId="32414"/>
    <cellStyle name="Обычный 5 2 32" xfId="376"/>
    <cellStyle name="Обычный 5 2 32 2" xfId="844"/>
    <cellStyle name="Обычный 5 2 32 2 2" xfId="6187"/>
    <cellStyle name="Обычный 5 2 32 2 2 2" xfId="16867"/>
    <cellStyle name="Обычный 5 2 32 2 2 2 2" xfId="48911"/>
    <cellStyle name="Обычный 5 2 32 2 2 3" xfId="27548"/>
    <cellStyle name="Обычный 5 2 32 2 2 3 2" xfId="59591"/>
    <cellStyle name="Обычный 5 2 32 2 2 4" xfId="38231"/>
    <cellStyle name="Обычный 5 2 32 2 3" xfId="11527"/>
    <cellStyle name="Обычный 5 2 32 2 3 2" xfId="43571"/>
    <cellStyle name="Обычный 5 2 32 2 4" xfId="22208"/>
    <cellStyle name="Обычный 5 2 32 2 4 2" xfId="54251"/>
    <cellStyle name="Обычный 5 2 32 2 5" xfId="32891"/>
    <cellStyle name="Обычный 5 2 32 3" xfId="5720"/>
    <cellStyle name="Обычный 5 2 32 3 2" xfId="16400"/>
    <cellStyle name="Обычный 5 2 32 3 2 2" xfId="48444"/>
    <cellStyle name="Обычный 5 2 32 3 3" xfId="27081"/>
    <cellStyle name="Обычный 5 2 32 3 3 2" xfId="59124"/>
    <cellStyle name="Обычный 5 2 32 3 4" xfId="37764"/>
    <cellStyle name="Обычный 5 2 32 4" xfId="11060"/>
    <cellStyle name="Обычный 5 2 32 4 2" xfId="43104"/>
    <cellStyle name="Обычный 5 2 32 5" xfId="21741"/>
    <cellStyle name="Обычный 5 2 32 5 2" xfId="53784"/>
    <cellStyle name="Обычный 5 2 32 6" xfId="32424"/>
    <cellStyle name="Обычный 5 2 33" xfId="386"/>
    <cellStyle name="Обычный 5 2 33 2" xfId="854"/>
    <cellStyle name="Обычный 5 2 33 2 2" xfId="6197"/>
    <cellStyle name="Обычный 5 2 33 2 2 2" xfId="16877"/>
    <cellStyle name="Обычный 5 2 33 2 2 2 2" xfId="48921"/>
    <cellStyle name="Обычный 5 2 33 2 2 3" xfId="27558"/>
    <cellStyle name="Обычный 5 2 33 2 2 3 2" xfId="59601"/>
    <cellStyle name="Обычный 5 2 33 2 2 4" xfId="38241"/>
    <cellStyle name="Обычный 5 2 33 2 3" xfId="11537"/>
    <cellStyle name="Обычный 5 2 33 2 3 2" xfId="43581"/>
    <cellStyle name="Обычный 5 2 33 2 4" xfId="22218"/>
    <cellStyle name="Обычный 5 2 33 2 4 2" xfId="54261"/>
    <cellStyle name="Обычный 5 2 33 2 5" xfId="32901"/>
    <cellStyle name="Обычный 5 2 33 3" xfId="5730"/>
    <cellStyle name="Обычный 5 2 33 3 2" xfId="16410"/>
    <cellStyle name="Обычный 5 2 33 3 2 2" xfId="48454"/>
    <cellStyle name="Обычный 5 2 33 3 3" xfId="27091"/>
    <cellStyle name="Обычный 5 2 33 3 3 2" xfId="59134"/>
    <cellStyle name="Обычный 5 2 33 3 4" xfId="37774"/>
    <cellStyle name="Обычный 5 2 33 4" xfId="11070"/>
    <cellStyle name="Обычный 5 2 33 4 2" xfId="43114"/>
    <cellStyle name="Обычный 5 2 33 5" xfId="21751"/>
    <cellStyle name="Обычный 5 2 33 5 2" xfId="53794"/>
    <cellStyle name="Обычный 5 2 33 6" xfId="32434"/>
    <cellStyle name="Обычный 5 2 34" xfId="396"/>
    <cellStyle name="Обычный 5 2 34 2" xfId="864"/>
    <cellStyle name="Обычный 5 2 34 2 2" xfId="6207"/>
    <cellStyle name="Обычный 5 2 34 2 2 2" xfId="16887"/>
    <cellStyle name="Обычный 5 2 34 2 2 2 2" xfId="48931"/>
    <cellStyle name="Обычный 5 2 34 2 2 3" xfId="27568"/>
    <cellStyle name="Обычный 5 2 34 2 2 3 2" xfId="59611"/>
    <cellStyle name="Обычный 5 2 34 2 2 4" xfId="38251"/>
    <cellStyle name="Обычный 5 2 34 2 3" xfId="11547"/>
    <cellStyle name="Обычный 5 2 34 2 3 2" xfId="43591"/>
    <cellStyle name="Обычный 5 2 34 2 4" xfId="22228"/>
    <cellStyle name="Обычный 5 2 34 2 4 2" xfId="54271"/>
    <cellStyle name="Обычный 5 2 34 2 5" xfId="32911"/>
    <cellStyle name="Обычный 5 2 34 3" xfId="5740"/>
    <cellStyle name="Обычный 5 2 34 3 2" xfId="16420"/>
    <cellStyle name="Обычный 5 2 34 3 2 2" xfId="48464"/>
    <cellStyle name="Обычный 5 2 34 3 3" xfId="27101"/>
    <cellStyle name="Обычный 5 2 34 3 3 2" xfId="59144"/>
    <cellStyle name="Обычный 5 2 34 3 4" xfId="37784"/>
    <cellStyle name="Обычный 5 2 34 4" xfId="11080"/>
    <cellStyle name="Обычный 5 2 34 4 2" xfId="43124"/>
    <cellStyle name="Обычный 5 2 34 5" xfId="21761"/>
    <cellStyle name="Обычный 5 2 34 5 2" xfId="53804"/>
    <cellStyle name="Обычный 5 2 34 6" xfId="32444"/>
    <cellStyle name="Обычный 5 2 35" xfId="408"/>
    <cellStyle name="Обычный 5 2 35 2" xfId="876"/>
    <cellStyle name="Обычный 5 2 35 2 2" xfId="6219"/>
    <cellStyle name="Обычный 5 2 35 2 2 2" xfId="16899"/>
    <cellStyle name="Обычный 5 2 35 2 2 2 2" xfId="48943"/>
    <cellStyle name="Обычный 5 2 35 2 2 3" xfId="27580"/>
    <cellStyle name="Обычный 5 2 35 2 2 3 2" xfId="59623"/>
    <cellStyle name="Обычный 5 2 35 2 2 4" xfId="38263"/>
    <cellStyle name="Обычный 5 2 35 2 3" xfId="11559"/>
    <cellStyle name="Обычный 5 2 35 2 3 2" xfId="43603"/>
    <cellStyle name="Обычный 5 2 35 2 4" xfId="22240"/>
    <cellStyle name="Обычный 5 2 35 2 4 2" xfId="54283"/>
    <cellStyle name="Обычный 5 2 35 2 5" xfId="32923"/>
    <cellStyle name="Обычный 5 2 35 3" xfId="5752"/>
    <cellStyle name="Обычный 5 2 35 3 2" xfId="16432"/>
    <cellStyle name="Обычный 5 2 35 3 2 2" xfId="48476"/>
    <cellStyle name="Обычный 5 2 35 3 3" xfId="27113"/>
    <cellStyle name="Обычный 5 2 35 3 3 2" xfId="59156"/>
    <cellStyle name="Обычный 5 2 35 3 4" xfId="37796"/>
    <cellStyle name="Обычный 5 2 35 4" xfId="11092"/>
    <cellStyle name="Обычный 5 2 35 4 2" xfId="43136"/>
    <cellStyle name="Обычный 5 2 35 5" xfId="21773"/>
    <cellStyle name="Обычный 5 2 35 5 2" xfId="53816"/>
    <cellStyle name="Обычный 5 2 35 6" xfId="32456"/>
    <cellStyle name="Обычный 5 2 36" xfId="420"/>
    <cellStyle name="Обычный 5 2 36 2" xfId="888"/>
    <cellStyle name="Обычный 5 2 36 2 2" xfId="6231"/>
    <cellStyle name="Обычный 5 2 36 2 2 2" xfId="16911"/>
    <cellStyle name="Обычный 5 2 36 2 2 2 2" xfId="48955"/>
    <cellStyle name="Обычный 5 2 36 2 2 3" xfId="27592"/>
    <cellStyle name="Обычный 5 2 36 2 2 3 2" xfId="59635"/>
    <cellStyle name="Обычный 5 2 36 2 2 4" xfId="38275"/>
    <cellStyle name="Обычный 5 2 36 2 3" xfId="11571"/>
    <cellStyle name="Обычный 5 2 36 2 3 2" xfId="43615"/>
    <cellStyle name="Обычный 5 2 36 2 4" xfId="22252"/>
    <cellStyle name="Обычный 5 2 36 2 4 2" xfId="54295"/>
    <cellStyle name="Обычный 5 2 36 2 5" xfId="32935"/>
    <cellStyle name="Обычный 5 2 36 3" xfId="5764"/>
    <cellStyle name="Обычный 5 2 36 3 2" xfId="16444"/>
    <cellStyle name="Обычный 5 2 36 3 2 2" xfId="48488"/>
    <cellStyle name="Обычный 5 2 36 3 3" xfId="27125"/>
    <cellStyle name="Обычный 5 2 36 3 3 2" xfId="59168"/>
    <cellStyle name="Обычный 5 2 36 3 4" xfId="37808"/>
    <cellStyle name="Обычный 5 2 36 4" xfId="11104"/>
    <cellStyle name="Обычный 5 2 36 4 2" xfId="43148"/>
    <cellStyle name="Обычный 5 2 36 5" xfId="21785"/>
    <cellStyle name="Обычный 5 2 36 5 2" xfId="53828"/>
    <cellStyle name="Обычный 5 2 36 6" xfId="32468"/>
    <cellStyle name="Обычный 5 2 37" xfId="432"/>
    <cellStyle name="Обычный 5 2 37 2" xfId="900"/>
    <cellStyle name="Обычный 5 2 37 2 2" xfId="6243"/>
    <cellStyle name="Обычный 5 2 37 2 2 2" xfId="16923"/>
    <cellStyle name="Обычный 5 2 37 2 2 2 2" xfId="48967"/>
    <cellStyle name="Обычный 5 2 37 2 2 3" xfId="27604"/>
    <cellStyle name="Обычный 5 2 37 2 2 3 2" xfId="59647"/>
    <cellStyle name="Обычный 5 2 37 2 2 4" xfId="38287"/>
    <cellStyle name="Обычный 5 2 37 2 3" xfId="11583"/>
    <cellStyle name="Обычный 5 2 37 2 3 2" xfId="43627"/>
    <cellStyle name="Обычный 5 2 37 2 4" xfId="22264"/>
    <cellStyle name="Обычный 5 2 37 2 4 2" xfId="54307"/>
    <cellStyle name="Обычный 5 2 37 2 5" xfId="32947"/>
    <cellStyle name="Обычный 5 2 37 3" xfId="5776"/>
    <cellStyle name="Обычный 5 2 37 3 2" xfId="16456"/>
    <cellStyle name="Обычный 5 2 37 3 2 2" xfId="48500"/>
    <cellStyle name="Обычный 5 2 37 3 3" xfId="27137"/>
    <cellStyle name="Обычный 5 2 37 3 3 2" xfId="59180"/>
    <cellStyle name="Обычный 5 2 37 3 4" xfId="37820"/>
    <cellStyle name="Обычный 5 2 37 4" xfId="11116"/>
    <cellStyle name="Обычный 5 2 37 4 2" xfId="43160"/>
    <cellStyle name="Обычный 5 2 37 5" xfId="21797"/>
    <cellStyle name="Обычный 5 2 37 5 2" xfId="53840"/>
    <cellStyle name="Обычный 5 2 37 6" xfId="32480"/>
    <cellStyle name="Обычный 5 2 38" xfId="444"/>
    <cellStyle name="Обычный 5 2 38 2" xfId="912"/>
    <cellStyle name="Обычный 5 2 38 2 2" xfId="6255"/>
    <cellStyle name="Обычный 5 2 38 2 2 2" xfId="16935"/>
    <cellStyle name="Обычный 5 2 38 2 2 2 2" xfId="48979"/>
    <cellStyle name="Обычный 5 2 38 2 2 3" xfId="27616"/>
    <cellStyle name="Обычный 5 2 38 2 2 3 2" xfId="59659"/>
    <cellStyle name="Обычный 5 2 38 2 2 4" xfId="38299"/>
    <cellStyle name="Обычный 5 2 38 2 3" xfId="11595"/>
    <cellStyle name="Обычный 5 2 38 2 3 2" xfId="43639"/>
    <cellStyle name="Обычный 5 2 38 2 4" xfId="22276"/>
    <cellStyle name="Обычный 5 2 38 2 4 2" xfId="54319"/>
    <cellStyle name="Обычный 5 2 38 2 5" xfId="32959"/>
    <cellStyle name="Обычный 5 2 38 3" xfId="5788"/>
    <cellStyle name="Обычный 5 2 38 3 2" xfId="16468"/>
    <cellStyle name="Обычный 5 2 38 3 2 2" xfId="48512"/>
    <cellStyle name="Обычный 5 2 38 3 3" xfId="27149"/>
    <cellStyle name="Обычный 5 2 38 3 3 2" xfId="59192"/>
    <cellStyle name="Обычный 5 2 38 3 4" xfId="37832"/>
    <cellStyle name="Обычный 5 2 38 4" xfId="11128"/>
    <cellStyle name="Обычный 5 2 38 4 2" xfId="43172"/>
    <cellStyle name="Обычный 5 2 38 5" xfId="21809"/>
    <cellStyle name="Обычный 5 2 38 5 2" xfId="53852"/>
    <cellStyle name="Обычный 5 2 38 6" xfId="32492"/>
    <cellStyle name="Обычный 5 2 39" xfId="456"/>
    <cellStyle name="Обычный 5 2 39 2" xfId="924"/>
    <cellStyle name="Обычный 5 2 39 2 2" xfId="6267"/>
    <cellStyle name="Обычный 5 2 39 2 2 2" xfId="16947"/>
    <cellStyle name="Обычный 5 2 39 2 2 2 2" xfId="48991"/>
    <cellStyle name="Обычный 5 2 39 2 2 3" xfId="27628"/>
    <cellStyle name="Обычный 5 2 39 2 2 3 2" xfId="59671"/>
    <cellStyle name="Обычный 5 2 39 2 2 4" xfId="38311"/>
    <cellStyle name="Обычный 5 2 39 2 3" xfId="11607"/>
    <cellStyle name="Обычный 5 2 39 2 3 2" xfId="43651"/>
    <cellStyle name="Обычный 5 2 39 2 4" xfId="22288"/>
    <cellStyle name="Обычный 5 2 39 2 4 2" xfId="54331"/>
    <cellStyle name="Обычный 5 2 39 2 5" xfId="32971"/>
    <cellStyle name="Обычный 5 2 39 3" xfId="5800"/>
    <cellStyle name="Обычный 5 2 39 3 2" xfId="16480"/>
    <cellStyle name="Обычный 5 2 39 3 2 2" xfId="48524"/>
    <cellStyle name="Обычный 5 2 39 3 3" xfId="27161"/>
    <cellStyle name="Обычный 5 2 39 3 3 2" xfId="59204"/>
    <cellStyle name="Обычный 5 2 39 3 4" xfId="37844"/>
    <cellStyle name="Обычный 5 2 39 4" xfId="11140"/>
    <cellStyle name="Обычный 5 2 39 4 2" xfId="43184"/>
    <cellStyle name="Обычный 5 2 39 5" xfId="21821"/>
    <cellStyle name="Обычный 5 2 39 5 2" xfId="53864"/>
    <cellStyle name="Обычный 5 2 39 6" xfId="32504"/>
    <cellStyle name="Обычный 5 2 4" xfId="96"/>
    <cellStyle name="Обычный 5 2 4 2" xfId="564"/>
    <cellStyle name="Обычный 5 2 4 2 2" xfId="5907"/>
    <cellStyle name="Обычный 5 2 4 2 2 2" xfId="16587"/>
    <cellStyle name="Обычный 5 2 4 2 2 2 2" xfId="48631"/>
    <cellStyle name="Обычный 5 2 4 2 2 3" xfId="27268"/>
    <cellStyle name="Обычный 5 2 4 2 2 3 2" xfId="59311"/>
    <cellStyle name="Обычный 5 2 4 2 2 4" xfId="37951"/>
    <cellStyle name="Обычный 5 2 4 2 3" xfId="11247"/>
    <cellStyle name="Обычный 5 2 4 2 3 2" xfId="43291"/>
    <cellStyle name="Обычный 5 2 4 2 4" xfId="21928"/>
    <cellStyle name="Обычный 5 2 4 2 4 2" xfId="53971"/>
    <cellStyle name="Обычный 5 2 4 2 5" xfId="32611"/>
    <cellStyle name="Обычный 5 2 4 3" xfId="5440"/>
    <cellStyle name="Обычный 5 2 4 3 2" xfId="16120"/>
    <cellStyle name="Обычный 5 2 4 3 2 2" xfId="48164"/>
    <cellStyle name="Обычный 5 2 4 3 3" xfId="26801"/>
    <cellStyle name="Обычный 5 2 4 3 3 2" xfId="58844"/>
    <cellStyle name="Обычный 5 2 4 3 4" xfId="37484"/>
    <cellStyle name="Обычный 5 2 4 4" xfId="10780"/>
    <cellStyle name="Обычный 5 2 4 4 2" xfId="42824"/>
    <cellStyle name="Обычный 5 2 4 5" xfId="21461"/>
    <cellStyle name="Обычный 5 2 4 5 2" xfId="53504"/>
    <cellStyle name="Обычный 5 2 4 6" xfId="32144"/>
    <cellStyle name="Обычный 5 2 40" xfId="468"/>
    <cellStyle name="Обычный 5 2 40 2" xfId="936"/>
    <cellStyle name="Обычный 5 2 40 2 2" xfId="6279"/>
    <cellStyle name="Обычный 5 2 40 2 2 2" xfId="16959"/>
    <cellStyle name="Обычный 5 2 40 2 2 2 2" xfId="49003"/>
    <cellStyle name="Обычный 5 2 40 2 2 3" xfId="27640"/>
    <cellStyle name="Обычный 5 2 40 2 2 3 2" xfId="59683"/>
    <cellStyle name="Обычный 5 2 40 2 2 4" xfId="38323"/>
    <cellStyle name="Обычный 5 2 40 2 3" xfId="11619"/>
    <cellStyle name="Обычный 5 2 40 2 3 2" xfId="43663"/>
    <cellStyle name="Обычный 5 2 40 2 4" xfId="22300"/>
    <cellStyle name="Обычный 5 2 40 2 4 2" xfId="54343"/>
    <cellStyle name="Обычный 5 2 40 2 5" xfId="32983"/>
    <cellStyle name="Обычный 5 2 40 3" xfId="5812"/>
    <cellStyle name="Обычный 5 2 40 3 2" xfId="16492"/>
    <cellStyle name="Обычный 5 2 40 3 2 2" xfId="48536"/>
    <cellStyle name="Обычный 5 2 40 3 3" xfId="27173"/>
    <cellStyle name="Обычный 5 2 40 3 3 2" xfId="59216"/>
    <cellStyle name="Обычный 5 2 40 3 4" xfId="37856"/>
    <cellStyle name="Обычный 5 2 40 4" xfId="11152"/>
    <cellStyle name="Обычный 5 2 40 4 2" xfId="43196"/>
    <cellStyle name="Обычный 5 2 40 5" xfId="21833"/>
    <cellStyle name="Обычный 5 2 40 5 2" xfId="53876"/>
    <cellStyle name="Обычный 5 2 40 6" xfId="32516"/>
    <cellStyle name="Обычный 5 2 41" xfId="480"/>
    <cellStyle name="Обычный 5 2 41 2" xfId="948"/>
    <cellStyle name="Обычный 5 2 41 2 2" xfId="6291"/>
    <cellStyle name="Обычный 5 2 41 2 2 2" xfId="16971"/>
    <cellStyle name="Обычный 5 2 41 2 2 2 2" xfId="49015"/>
    <cellStyle name="Обычный 5 2 41 2 2 3" xfId="27652"/>
    <cellStyle name="Обычный 5 2 41 2 2 3 2" xfId="59695"/>
    <cellStyle name="Обычный 5 2 41 2 2 4" xfId="38335"/>
    <cellStyle name="Обычный 5 2 41 2 3" xfId="11631"/>
    <cellStyle name="Обычный 5 2 41 2 3 2" xfId="43675"/>
    <cellStyle name="Обычный 5 2 41 2 4" xfId="22312"/>
    <cellStyle name="Обычный 5 2 41 2 4 2" xfId="54355"/>
    <cellStyle name="Обычный 5 2 41 2 5" xfId="32995"/>
    <cellStyle name="Обычный 5 2 41 3" xfId="5824"/>
    <cellStyle name="Обычный 5 2 41 3 2" xfId="16504"/>
    <cellStyle name="Обычный 5 2 41 3 2 2" xfId="48548"/>
    <cellStyle name="Обычный 5 2 41 3 3" xfId="27185"/>
    <cellStyle name="Обычный 5 2 41 3 3 2" xfId="59228"/>
    <cellStyle name="Обычный 5 2 41 3 4" xfId="37868"/>
    <cellStyle name="Обычный 5 2 41 4" xfId="11164"/>
    <cellStyle name="Обычный 5 2 41 4 2" xfId="43208"/>
    <cellStyle name="Обычный 5 2 41 5" xfId="21845"/>
    <cellStyle name="Обычный 5 2 41 5 2" xfId="53888"/>
    <cellStyle name="Обычный 5 2 41 6" xfId="32528"/>
    <cellStyle name="Обычный 5 2 42" xfId="492"/>
    <cellStyle name="Обычный 5 2 42 2" xfId="960"/>
    <cellStyle name="Обычный 5 2 42 2 2" xfId="6303"/>
    <cellStyle name="Обычный 5 2 42 2 2 2" xfId="16983"/>
    <cellStyle name="Обычный 5 2 42 2 2 2 2" xfId="49027"/>
    <cellStyle name="Обычный 5 2 42 2 2 3" xfId="27664"/>
    <cellStyle name="Обычный 5 2 42 2 2 3 2" xfId="59707"/>
    <cellStyle name="Обычный 5 2 42 2 2 4" xfId="38347"/>
    <cellStyle name="Обычный 5 2 42 2 3" xfId="11643"/>
    <cellStyle name="Обычный 5 2 42 2 3 2" xfId="43687"/>
    <cellStyle name="Обычный 5 2 42 2 4" xfId="22324"/>
    <cellStyle name="Обычный 5 2 42 2 4 2" xfId="54367"/>
    <cellStyle name="Обычный 5 2 42 2 5" xfId="33007"/>
    <cellStyle name="Обычный 5 2 42 3" xfId="5836"/>
    <cellStyle name="Обычный 5 2 42 3 2" xfId="16516"/>
    <cellStyle name="Обычный 5 2 42 3 2 2" xfId="48560"/>
    <cellStyle name="Обычный 5 2 42 3 3" xfId="27197"/>
    <cellStyle name="Обычный 5 2 42 3 3 2" xfId="59240"/>
    <cellStyle name="Обычный 5 2 42 3 4" xfId="37880"/>
    <cellStyle name="Обычный 5 2 42 4" xfId="11176"/>
    <cellStyle name="Обычный 5 2 42 4 2" xfId="43220"/>
    <cellStyle name="Обычный 5 2 42 5" xfId="21857"/>
    <cellStyle name="Обычный 5 2 42 5 2" xfId="53900"/>
    <cellStyle name="Обычный 5 2 42 6" xfId="32540"/>
    <cellStyle name="Обычный 5 2 43" xfId="520"/>
    <cellStyle name="Обычный 5 2 43 2" xfId="5863"/>
    <cellStyle name="Обычный 5 2 43 2 2" xfId="16543"/>
    <cellStyle name="Обычный 5 2 43 2 2 2" xfId="48587"/>
    <cellStyle name="Обычный 5 2 43 2 3" xfId="27224"/>
    <cellStyle name="Обычный 5 2 43 2 3 2" xfId="59267"/>
    <cellStyle name="Обычный 5 2 43 2 4" xfId="37907"/>
    <cellStyle name="Обычный 5 2 43 3" xfId="11203"/>
    <cellStyle name="Обычный 5 2 43 3 2" xfId="43247"/>
    <cellStyle name="Обычный 5 2 43 4" xfId="21884"/>
    <cellStyle name="Обычный 5 2 43 4 2" xfId="53927"/>
    <cellStyle name="Обычный 5 2 43 5" xfId="32567"/>
    <cellStyle name="Обычный 5 2 44" xfId="972"/>
    <cellStyle name="Обычный 5 2 44 2" xfId="6315"/>
    <cellStyle name="Обычный 5 2 44 2 2" xfId="16995"/>
    <cellStyle name="Обычный 5 2 44 2 2 2" xfId="49039"/>
    <cellStyle name="Обычный 5 2 44 2 3" xfId="27676"/>
    <cellStyle name="Обычный 5 2 44 2 3 2" xfId="59719"/>
    <cellStyle name="Обычный 5 2 44 2 4" xfId="38359"/>
    <cellStyle name="Обычный 5 2 44 3" xfId="11655"/>
    <cellStyle name="Обычный 5 2 44 3 2" xfId="43699"/>
    <cellStyle name="Обычный 5 2 44 4" xfId="22336"/>
    <cellStyle name="Обычный 5 2 44 4 2" xfId="54379"/>
    <cellStyle name="Обычный 5 2 44 5" xfId="33019"/>
    <cellStyle name="Обычный 5 2 45" xfId="996"/>
    <cellStyle name="Обычный 5 2 45 2" xfId="6339"/>
    <cellStyle name="Обычный 5 2 45 2 2" xfId="17019"/>
    <cellStyle name="Обычный 5 2 45 2 2 2" xfId="49063"/>
    <cellStyle name="Обычный 5 2 45 2 3" xfId="27700"/>
    <cellStyle name="Обычный 5 2 45 2 3 2" xfId="59743"/>
    <cellStyle name="Обычный 5 2 45 2 4" xfId="38383"/>
    <cellStyle name="Обычный 5 2 45 3" xfId="11679"/>
    <cellStyle name="Обычный 5 2 45 3 2" xfId="43723"/>
    <cellStyle name="Обычный 5 2 45 4" xfId="22360"/>
    <cellStyle name="Обычный 5 2 45 4 2" xfId="54403"/>
    <cellStyle name="Обычный 5 2 45 5" xfId="33043"/>
    <cellStyle name="Обычный 5 2 46" xfId="1020"/>
    <cellStyle name="Обычный 5 2 46 2" xfId="6363"/>
    <cellStyle name="Обычный 5 2 46 2 2" xfId="17043"/>
    <cellStyle name="Обычный 5 2 46 2 2 2" xfId="49087"/>
    <cellStyle name="Обычный 5 2 46 2 3" xfId="27724"/>
    <cellStyle name="Обычный 5 2 46 2 3 2" xfId="59767"/>
    <cellStyle name="Обычный 5 2 46 2 4" xfId="38407"/>
    <cellStyle name="Обычный 5 2 46 3" xfId="11703"/>
    <cellStyle name="Обычный 5 2 46 3 2" xfId="43747"/>
    <cellStyle name="Обычный 5 2 46 4" xfId="22384"/>
    <cellStyle name="Обычный 5 2 46 4 2" xfId="54427"/>
    <cellStyle name="Обычный 5 2 46 5" xfId="33067"/>
    <cellStyle name="Обычный 5 2 47" xfId="1046"/>
    <cellStyle name="Обычный 5 2 47 2" xfId="6389"/>
    <cellStyle name="Обычный 5 2 47 2 2" xfId="17069"/>
    <cellStyle name="Обычный 5 2 47 2 2 2" xfId="49113"/>
    <cellStyle name="Обычный 5 2 47 2 3" xfId="27750"/>
    <cellStyle name="Обычный 5 2 47 2 3 2" xfId="59793"/>
    <cellStyle name="Обычный 5 2 47 2 4" xfId="38433"/>
    <cellStyle name="Обычный 5 2 47 3" xfId="11729"/>
    <cellStyle name="Обычный 5 2 47 3 2" xfId="43773"/>
    <cellStyle name="Обычный 5 2 47 4" xfId="22410"/>
    <cellStyle name="Обычный 5 2 47 4 2" xfId="54453"/>
    <cellStyle name="Обычный 5 2 47 5" xfId="33093"/>
    <cellStyle name="Обычный 5 2 48" xfId="1072"/>
    <cellStyle name="Обычный 5 2 48 2" xfId="6415"/>
    <cellStyle name="Обычный 5 2 48 2 2" xfId="17095"/>
    <cellStyle name="Обычный 5 2 48 2 2 2" xfId="49139"/>
    <cellStyle name="Обычный 5 2 48 2 3" xfId="27776"/>
    <cellStyle name="Обычный 5 2 48 2 3 2" xfId="59819"/>
    <cellStyle name="Обычный 5 2 48 2 4" xfId="38459"/>
    <cellStyle name="Обычный 5 2 48 3" xfId="11755"/>
    <cellStyle name="Обычный 5 2 48 3 2" xfId="43799"/>
    <cellStyle name="Обычный 5 2 48 4" xfId="22436"/>
    <cellStyle name="Обычный 5 2 48 4 2" xfId="54479"/>
    <cellStyle name="Обычный 5 2 48 5" xfId="33119"/>
    <cellStyle name="Обычный 5 2 49" xfId="1098"/>
    <cellStyle name="Обычный 5 2 49 2" xfId="6441"/>
    <cellStyle name="Обычный 5 2 49 2 2" xfId="17121"/>
    <cellStyle name="Обычный 5 2 49 2 2 2" xfId="49165"/>
    <cellStyle name="Обычный 5 2 49 2 3" xfId="27802"/>
    <cellStyle name="Обычный 5 2 49 2 3 2" xfId="59845"/>
    <cellStyle name="Обычный 5 2 49 2 4" xfId="38485"/>
    <cellStyle name="Обычный 5 2 49 3" xfId="11781"/>
    <cellStyle name="Обычный 5 2 49 3 2" xfId="43825"/>
    <cellStyle name="Обычный 5 2 49 4" xfId="22462"/>
    <cellStyle name="Обычный 5 2 49 4 2" xfId="54505"/>
    <cellStyle name="Обычный 5 2 49 5" xfId="33145"/>
    <cellStyle name="Обычный 5 2 5" xfId="106"/>
    <cellStyle name="Обычный 5 2 5 2" xfId="574"/>
    <cellStyle name="Обычный 5 2 5 2 2" xfId="5917"/>
    <cellStyle name="Обычный 5 2 5 2 2 2" xfId="16597"/>
    <cellStyle name="Обычный 5 2 5 2 2 2 2" xfId="48641"/>
    <cellStyle name="Обычный 5 2 5 2 2 3" xfId="27278"/>
    <cellStyle name="Обычный 5 2 5 2 2 3 2" xfId="59321"/>
    <cellStyle name="Обычный 5 2 5 2 2 4" xfId="37961"/>
    <cellStyle name="Обычный 5 2 5 2 3" xfId="11257"/>
    <cellStyle name="Обычный 5 2 5 2 3 2" xfId="43301"/>
    <cellStyle name="Обычный 5 2 5 2 4" xfId="21938"/>
    <cellStyle name="Обычный 5 2 5 2 4 2" xfId="53981"/>
    <cellStyle name="Обычный 5 2 5 2 5" xfId="32621"/>
    <cellStyle name="Обычный 5 2 5 3" xfId="5450"/>
    <cellStyle name="Обычный 5 2 5 3 2" xfId="16130"/>
    <cellStyle name="Обычный 5 2 5 3 2 2" xfId="48174"/>
    <cellStyle name="Обычный 5 2 5 3 3" xfId="26811"/>
    <cellStyle name="Обычный 5 2 5 3 3 2" xfId="58854"/>
    <cellStyle name="Обычный 5 2 5 3 4" xfId="37494"/>
    <cellStyle name="Обычный 5 2 5 4" xfId="10790"/>
    <cellStyle name="Обычный 5 2 5 4 2" xfId="42834"/>
    <cellStyle name="Обычный 5 2 5 5" xfId="21471"/>
    <cellStyle name="Обычный 5 2 5 5 2" xfId="53514"/>
    <cellStyle name="Обычный 5 2 5 6" xfId="32154"/>
    <cellStyle name="Обычный 5 2 50" xfId="1124"/>
    <cellStyle name="Обычный 5 2 50 2" xfId="6467"/>
    <cellStyle name="Обычный 5 2 50 2 2" xfId="17147"/>
    <cellStyle name="Обычный 5 2 50 2 2 2" xfId="49191"/>
    <cellStyle name="Обычный 5 2 50 2 3" xfId="27828"/>
    <cellStyle name="Обычный 5 2 50 2 3 2" xfId="59871"/>
    <cellStyle name="Обычный 5 2 50 2 4" xfId="38511"/>
    <cellStyle name="Обычный 5 2 50 3" xfId="11807"/>
    <cellStyle name="Обычный 5 2 50 3 2" xfId="43851"/>
    <cellStyle name="Обычный 5 2 50 4" xfId="22488"/>
    <cellStyle name="Обычный 5 2 50 4 2" xfId="54531"/>
    <cellStyle name="Обычный 5 2 50 5" xfId="33171"/>
    <cellStyle name="Обычный 5 2 51" xfId="1150"/>
    <cellStyle name="Обычный 5 2 51 2" xfId="6493"/>
    <cellStyle name="Обычный 5 2 51 2 2" xfId="17173"/>
    <cellStyle name="Обычный 5 2 51 2 2 2" xfId="49217"/>
    <cellStyle name="Обычный 5 2 51 2 3" xfId="27854"/>
    <cellStyle name="Обычный 5 2 51 2 3 2" xfId="59897"/>
    <cellStyle name="Обычный 5 2 51 2 4" xfId="38537"/>
    <cellStyle name="Обычный 5 2 51 3" xfId="11833"/>
    <cellStyle name="Обычный 5 2 51 3 2" xfId="43877"/>
    <cellStyle name="Обычный 5 2 51 4" xfId="22514"/>
    <cellStyle name="Обычный 5 2 51 4 2" xfId="54557"/>
    <cellStyle name="Обычный 5 2 51 5" xfId="33197"/>
    <cellStyle name="Обычный 5 2 52" xfId="1176"/>
    <cellStyle name="Обычный 5 2 52 2" xfId="6519"/>
    <cellStyle name="Обычный 5 2 52 2 2" xfId="17199"/>
    <cellStyle name="Обычный 5 2 52 2 2 2" xfId="49243"/>
    <cellStyle name="Обычный 5 2 52 2 3" xfId="27880"/>
    <cellStyle name="Обычный 5 2 52 2 3 2" xfId="59923"/>
    <cellStyle name="Обычный 5 2 52 2 4" xfId="38563"/>
    <cellStyle name="Обычный 5 2 52 3" xfId="11859"/>
    <cellStyle name="Обычный 5 2 52 3 2" xfId="43903"/>
    <cellStyle name="Обычный 5 2 52 4" xfId="22540"/>
    <cellStyle name="Обычный 5 2 52 4 2" xfId="54583"/>
    <cellStyle name="Обычный 5 2 52 5" xfId="33223"/>
    <cellStyle name="Обычный 5 2 53" xfId="1202"/>
    <cellStyle name="Обычный 5 2 53 2" xfId="6545"/>
    <cellStyle name="Обычный 5 2 53 2 2" xfId="17225"/>
    <cellStyle name="Обычный 5 2 53 2 2 2" xfId="49269"/>
    <cellStyle name="Обычный 5 2 53 2 3" xfId="27906"/>
    <cellStyle name="Обычный 5 2 53 2 3 2" xfId="59949"/>
    <cellStyle name="Обычный 5 2 53 2 4" xfId="38589"/>
    <cellStyle name="Обычный 5 2 53 3" xfId="11885"/>
    <cellStyle name="Обычный 5 2 53 3 2" xfId="43929"/>
    <cellStyle name="Обычный 5 2 53 4" xfId="22566"/>
    <cellStyle name="Обычный 5 2 53 4 2" xfId="54609"/>
    <cellStyle name="Обычный 5 2 53 5" xfId="33249"/>
    <cellStyle name="Обычный 5 2 54" xfId="1228"/>
    <cellStyle name="Обычный 5 2 54 2" xfId="6571"/>
    <cellStyle name="Обычный 5 2 54 2 2" xfId="17251"/>
    <cellStyle name="Обычный 5 2 54 2 2 2" xfId="49295"/>
    <cellStyle name="Обычный 5 2 54 2 3" xfId="27932"/>
    <cellStyle name="Обычный 5 2 54 2 3 2" xfId="59975"/>
    <cellStyle name="Обычный 5 2 54 2 4" xfId="38615"/>
    <cellStyle name="Обычный 5 2 54 3" xfId="11911"/>
    <cellStyle name="Обычный 5 2 54 3 2" xfId="43955"/>
    <cellStyle name="Обычный 5 2 54 4" xfId="22592"/>
    <cellStyle name="Обычный 5 2 54 4 2" xfId="54635"/>
    <cellStyle name="Обычный 5 2 54 5" xfId="33275"/>
    <cellStyle name="Обычный 5 2 55" xfId="1254"/>
    <cellStyle name="Обычный 5 2 55 2" xfId="6597"/>
    <cellStyle name="Обычный 5 2 55 2 2" xfId="17277"/>
    <cellStyle name="Обычный 5 2 55 2 2 2" xfId="49321"/>
    <cellStyle name="Обычный 5 2 55 2 3" xfId="27958"/>
    <cellStyle name="Обычный 5 2 55 2 3 2" xfId="60001"/>
    <cellStyle name="Обычный 5 2 55 2 4" xfId="38641"/>
    <cellStyle name="Обычный 5 2 55 3" xfId="11937"/>
    <cellStyle name="Обычный 5 2 55 3 2" xfId="43981"/>
    <cellStyle name="Обычный 5 2 55 4" xfId="22618"/>
    <cellStyle name="Обычный 5 2 55 4 2" xfId="54661"/>
    <cellStyle name="Обычный 5 2 55 5" xfId="33301"/>
    <cellStyle name="Обычный 5 2 56" xfId="1280"/>
    <cellStyle name="Обычный 5 2 56 2" xfId="6623"/>
    <cellStyle name="Обычный 5 2 56 2 2" xfId="17303"/>
    <cellStyle name="Обычный 5 2 56 2 2 2" xfId="49347"/>
    <cellStyle name="Обычный 5 2 56 2 3" xfId="27984"/>
    <cellStyle name="Обычный 5 2 56 2 3 2" xfId="60027"/>
    <cellStyle name="Обычный 5 2 56 2 4" xfId="38667"/>
    <cellStyle name="Обычный 5 2 56 3" xfId="11963"/>
    <cellStyle name="Обычный 5 2 56 3 2" xfId="44007"/>
    <cellStyle name="Обычный 5 2 56 4" xfId="22644"/>
    <cellStyle name="Обычный 5 2 56 4 2" xfId="54687"/>
    <cellStyle name="Обычный 5 2 56 5" xfId="33327"/>
    <cellStyle name="Обычный 5 2 57" xfId="1307"/>
    <cellStyle name="Обычный 5 2 57 2" xfId="6649"/>
    <cellStyle name="Обычный 5 2 57 2 2" xfId="17329"/>
    <cellStyle name="Обычный 5 2 57 2 2 2" xfId="49373"/>
    <cellStyle name="Обычный 5 2 57 2 3" xfId="28010"/>
    <cellStyle name="Обычный 5 2 57 2 3 2" xfId="60053"/>
    <cellStyle name="Обычный 5 2 57 2 4" xfId="38693"/>
    <cellStyle name="Обычный 5 2 57 3" xfId="11989"/>
    <cellStyle name="Обычный 5 2 57 3 2" xfId="44033"/>
    <cellStyle name="Обычный 5 2 57 4" xfId="22670"/>
    <cellStyle name="Обычный 5 2 57 4 2" xfId="54713"/>
    <cellStyle name="Обычный 5 2 57 5" xfId="33353"/>
    <cellStyle name="Обычный 5 2 58" xfId="1333"/>
    <cellStyle name="Обычный 5 2 58 2" xfId="6675"/>
    <cellStyle name="Обычный 5 2 58 2 2" xfId="17355"/>
    <cellStyle name="Обычный 5 2 58 2 2 2" xfId="49399"/>
    <cellStyle name="Обычный 5 2 58 2 3" xfId="28036"/>
    <cellStyle name="Обычный 5 2 58 2 3 2" xfId="60079"/>
    <cellStyle name="Обычный 5 2 58 2 4" xfId="38719"/>
    <cellStyle name="Обычный 5 2 58 3" xfId="12015"/>
    <cellStyle name="Обычный 5 2 58 3 2" xfId="44059"/>
    <cellStyle name="Обычный 5 2 58 4" xfId="22696"/>
    <cellStyle name="Обычный 5 2 58 4 2" xfId="54739"/>
    <cellStyle name="Обычный 5 2 58 5" xfId="33379"/>
    <cellStyle name="Обычный 5 2 59" xfId="1359"/>
    <cellStyle name="Обычный 5 2 59 2" xfId="6701"/>
    <cellStyle name="Обычный 5 2 59 2 2" xfId="17381"/>
    <cellStyle name="Обычный 5 2 59 2 2 2" xfId="49425"/>
    <cellStyle name="Обычный 5 2 59 2 3" xfId="28062"/>
    <cellStyle name="Обычный 5 2 59 2 3 2" xfId="60105"/>
    <cellStyle name="Обычный 5 2 59 2 4" xfId="38745"/>
    <cellStyle name="Обычный 5 2 59 3" xfId="12041"/>
    <cellStyle name="Обычный 5 2 59 3 2" xfId="44085"/>
    <cellStyle name="Обычный 5 2 59 4" xfId="22722"/>
    <cellStyle name="Обычный 5 2 59 4 2" xfId="54765"/>
    <cellStyle name="Обычный 5 2 59 5" xfId="33405"/>
    <cellStyle name="Обычный 5 2 6" xfId="116"/>
    <cellStyle name="Обычный 5 2 6 2" xfId="584"/>
    <cellStyle name="Обычный 5 2 6 2 2" xfId="5927"/>
    <cellStyle name="Обычный 5 2 6 2 2 2" xfId="16607"/>
    <cellStyle name="Обычный 5 2 6 2 2 2 2" xfId="48651"/>
    <cellStyle name="Обычный 5 2 6 2 2 3" xfId="27288"/>
    <cellStyle name="Обычный 5 2 6 2 2 3 2" xfId="59331"/>
    <cellStyle name="Обычный 5 2 6 2 2 4" xfId="37971"/>
    <cellStyle name="Обычный 5 2 6 2 3" xfId="11267"/>
    <cellStyle name="Обычный 5 2 6 2 3 2" xfId="43311"/>
    <cellStyle name="Обычный 5 2 6 2 4" xfId="21948"/>
    <cellStyle name="Обычный 5 2 6 2 4 2" xfId="53991"/>
    <cellStyle name="Обычный 5 2 6 2 5" xfId="32631"/>
    <cellStyle name="Обычный 5 2 6 3" xfId="5460"/>
    <cellStyle name="Обычный 5 2 6 3 2" xfId="16140"/>
    <cellStyle name="Обычный 5 2 6 3 2 2" xfId="48184"/>
    <cellStyle name="Обычный 5 2 6 3 3" xfId="26821"/>
    <cellStyle name="Обычный 5 2 6 3 3 2" xfId="58864"/>
    <cellStyle name="Обычный 5 2 6 3 4" xfId="37504"/>
    <cellStyle name="Обычный 5 2 6 4" xfId="10800"/>
    <cellStyle name="Обычный 5 2 6 4 2" xfId="42844"/>
    <cellStyle name="Обычный 5 2 6 5" xfId="21481"/>
    <cellStyle name="Обычный 5 2 6 5 2" xfId="53524"/>
    <cellStyle name="Обычный 5 2 6 6" xfId="32164"/>
    <cellStyle name="Обычный 5 2 60" xfId="1385"/>
    <cellStyle name="Обычный 5 2 60 2" xfId="6727"/>
    <cellStyle name="Обычный 5 2 60 2 2" xfId="17407"/>
    <cellStyle name="Обычный 5 2 60 2 2 2" xfId="49451"/>
    <cellStyle name="Обычный 5 2 60 2 3" xfId="28088"/>
    <cellStyle name="Обычный 5 2 60 2 3 2" xfId="60131"/>
    <cellStyle name="Обычный 5 2 60 2 4" xfId="38771"/>
    <cellStyle name="Обычный 5 2 60 3" xfId="12067"/>
    <cellStyle name="Обычный 5 2 60 3 2" xfId="44111"/>
    <cellStyle name="Обычный 5 2 60 4" xfId="22748"/>
    <cellStyle name="Обычный 5 2 60 4 2" xfId="54791"/>
    <cellStyle name="Обычный 5 2 60 5" xfId="33431"/>
    <cellStyle name="Обычный 5 2 61" xfId="1411"/>
    <cellStyle name="Обычный 5 2 61 2" xfId="6753"/>
    <cellStyle name="Обычный 5 2 61 2 2" xfId="17433"/>
    <cellStyle name="Обычный 5 2 61 2 2 2" xfId="49477"/>
    <cellStyle name="Обычный 5 2 61 2 3" xfId="28114"/>
    <cellStyle name="Обычный 5 2 61 2 3 2" xfId="60157"/>
    <cellStyle name="Обычный 5 2 61 2 4" xfId="38797"/>
    <cellStyle name="Обычный 5 2 61 3" xfId="12093"/>
    <cellStyle name="Обычный 5 2 61 3 2" xfId="44137"/>
    <cellStyle name="Обычный 5 2 61 4" xfId="22774"/>
    <cellStyle name="Обычный 5 2 61 4 2" xfId="54817"/>
    <cellStyle name="Обычный 5 2 61 5" xfId="33457"/>
    <cellStyle name="Обычный 5 2 62" xfId="1437"/>
    <cellStyle name="Обычный 5 2 62 2" xfId="6779"/>
    <cellStyle name="Обычный 5 2 62 2 2" xfId="17459"/>
    <cellStyle name="Обычный 5 2 62 2 2 2" xfId="49503"/>
    <cellStyle name="Обычный 5 2 62 2 3" xfId="28140"/>
    <cellStyle name="Обычный 5 2 62 2 3 2" xfId="60183"/>
    <cellStyle name="Обычный 5 2 62 2 4" xfId="38823"/>
    <cellStyle name="Обычный 5 2 62 3" xfId="12119"/>
    <cellStyle name="Обычный 5 2 62 3 2" xfId="44163"/>
    <cellStyle name="Обычный 5 2 62 4" xfId="22800"/>
    <cellStyle name="Обычный 5 2 62 4 2" xfId="54843"/>
    <cellStyle name="Обычный 5 2 62 5" xfId="33483"/>
    <cellStyle name="Обычный 5 2 63" xfId="1463"/>
    <cellStyle name="Обычный 5 2 63 2" xfId="6805"/>
    <cellStyle name="Обычный 5 2 63 2 2" xfId="17485"/>
    <cellStyle name="Обычный 5 2 63 2 2 2" xfId="49529"/>
    <cellStyle name="Обычный 5 2 63 2 3" xfId="28166"/>
    <cellStyle name="Обычный 5 2 63 2 3 2" xfId="60209"/>
    <cellStyle name="Обычный 5 2 63 2 4" xfId="38849"/>
    <cellStyle name="Обычный 5 2 63 3" xfId="12145"/>
    <cellStyle name="Обычный 5 2 63 3 2" xfId="44189"/>
    <cellStyle name="Обычный 5 2 63 4" xfId="22826"/>
    <cellStyle name="Обычный 5 2 63 4 2" xfId="54869"/>
    <cellStyle name="Обычный 5 2 63 5" xfId="33509"/>
    <cellStyle name="Обычный 5 2 64" xfId="1489"/>
    <cellStyle name="Обычный 5 2 64 2" xfId="6831"/>
    <cellStyle name="Обычный 5 2 64 2 2" xfId="17511"/>
    <cellStyle name="Обычный 5 2 64 2 2 2" xfId="49555"/>
    <cellStyle name="Обычный 5 2 64 2 3" xfId="28192"/>
    <cellStyle name="Обычный 5 2 64 2 3 2" xfId="60235"/>
    <cellStyle name="Обычный 5 2 64 2 4" xfId="38875"/>
    <cellStyle name="Обычный 5 2 64 3" xfId="12171"/>
    <cellStyle name="Обычный 5 2 64 3 2" xfId="44215"/>
    <cellStyle name="Обычный 5 2 64 4" xfId="22852"/>
    <cellStyle name="Обычный 5 2 64 4 2" xfId="54895"/>
    <cellStyle name="Обычный 5 2 64 5" xfId="33535"/>
    <cellStyle name="Обычный 5 2 65" xfId="1515"/>
    <cellStyle name="Обычный 5 2 65 2" xfId="6857"/>
    <cellStyle name="Обычный 5 2 65 2 2" xfId="17537"/>
    <cellStyle name="Обычный 5 2 65 2 2 2" xfId="49581"/>
    <cellStyle name="Обычный 5 2 65 2 3" xfId="28218"/>
    <cellStyle name="Обычный 5 2 65 2 3 2" xfId="60261"/>
    <cellStyle name="Обычный 5 2 65 2 4" xfId="38901"/>
    <cellStyle name="Обычный 5 2 65 3" xfId="12197"/>
    <cellStyle name="Обычный 5 2 65 3 2" xfId="44241"/>
    <cellStyle name="Обычный 5 2 65 4" xfId="22878"/>
    <cellStyle name="Обычный 5 2 65 4 2" xfId="54921"/>
    <cellStyle name="Обычный 5 2 65 5" xfId="33561"/>
    <cellStyle name="Обычный 5 2 66" xfId="1541"/>
    <cellStyle name="Обычный 5 2 66 2" xfId="6883"/>
    <cellStyle name="Обычный 5 2 66 2 2" xfId="17563"/>
    <cellStyle name="Обычный 5 2 66 2 2 2" xfId="49607"/>
    <cellStyle name="Обычный 5 2 66 2 3" xfId="28244"/>
    <cellStyle name="Обычный 5 2 66 2 3 2" xfId="60287"/>
    <cellStyle name="Обычный 5 2 66 2 4" xfId="38927"/>
    <cellStyle name="Обычный 5 2 66 3" xfId="12223"/>
    <cellStyle name="Обычный 5 2 66 3 2" xfId="44267"/>
    <cellStyle name="Обычный 5 2 66 4" xfId="22904"/>
    <cellStyle name="Обычный 5 2 66 4 2" xfId="54947"/>
    <cellStyle name="Обычный 5 2 66 5" xfId="33587"/>
    <cellStyle name="Обычный 5 2 67" xfId="1567"/>
    <cellStyle name="Обычный 5 2 67 2" xfId="6909"/>
    <cellStyle name="Обычный 5 2 67 2 2" xfId="17589"/>
    <cellStyle name="Обычный 5 2 67 2 2 2" xfId="49633"/>
    <cellStyle name="Обычный 5 2 67 2 3" xfId="28270"/>
    <cellStyle name="Обычный 5 2 67 2 3 2" xfId="60313"/>
    <cellStyle name="Обычный 5 2 67 2 4" xfId="38953"/>
    <cellStyle name="Обычный 5 2 67 3" xfId="12249"/>
    <cellStyle name="Обычный 5 2 67 3 2" xfId="44293"/>
    <cellStyle name="Обычный 5 2 67 4" xfId="22930"/>
    <cellStyle name="Обычный 5 2 67 4 2" xfId="54973"/>
    <cellStyle name="Обычный 5 2 67 5" xfId="33613"/>
    <cellStyle name="Обычный 5 2 68" xfId="1593"/>
    <cellStyle name="Обычный 5 2 68 2" xfId="6935"/>
    <cellStyle name="Обычный 5 2 68 2 2" xfId="17615"/>
    <cellStyle name="Обычный 5 2 68 2 2 2" xfId="49659"/>
    <cellStyle name="Обычный 5 2 68 2 3" xfId="28296"/>
    <cellStyle name="Обычный 5 2 68 2 3 2" xfId="60339"/>
    <cellStyle name="Обычный 5 2 68 2 4" xfId="38979"/>
    <cellStyle name="Обычный 5 2 68 3" xfId="12275"/>
    <cellStyle name="Обычный 5 2 68 3 2" xfId="44319"/>
    <cellStyle name="Обычный 5 2 68 4" xfId="22956"/>
    <cellStyle name="Обычный 5 2 68 4 2" xfId="54999"/>
    <cellStyle name="Обычный 5 2 68 5" xfId="33639"/>
    <cellStyle name="Обычный 5 2 69" xfId="1619"/>
    <cellStyle name="Обычный 5 2 69 2" xfId="6961"/>
    <cellStyle name="Обычный 5 2 69 2 2" xfId="17641"/>
    <cellStyle name="Обычный 5 2 69 2 2 2" xfId="49685"/>
    <cellStyle name="Обычный 5 2 69 2 3" xfId="28322"/>
    <cellStyle name="Обычный 5 2 69 2 3 2" xfId="60365"/>
    <cellStyle name="Обычный 5 2 69 2 4" xfId="39005"/>
    <cellStyle name="Обычный 5 2 69 3" xfId="12301"/>
    <cellStyle name="Обычный 5 2 69 3 2" xfId="44345"/>
    <cellStyle name="Обычный 5 2 69 4" xfId="22982"/>
    <cellStyle name="Обычный 5 2 69 4 2" xfId="55025"/>
    <cellStyle name="Обычный 5 2 69 5" xfId="33665"/>
    <cellStyle name="Обычный 5 2 7" xfId="126"/>
    <cellStyle name="Обычный 5 2 7 2" xfId="594"/>
    <cellStyle name="Обычный 5 2 7 2 2" xfId="5937"/>
    <cellStyle name="Обычный 5 2 7 2 2 2" xfId="16617"/>
    <cellStyle name="Обычный 5 2 7 2 2 2 2" xfId="48661"/>
    <cellStyle name="Обычный 5 2 7 2 2 3" xfId="27298"/>
    <cellStyle name="Обычный 5 2 7 2 2 3 2" xfId="59341"/>
    <cellStyle name="Обычный 5 2 7 2 2 4" xfId="37981"/>
    <cellStyle name="Обычный 5 2 7 2 3" xfId="11277"/>
    <cellStyle name="Обычный 5 2 7 2 3 2" xfId="43321"/>
    <cellStyle name="Обычный 5 2 7 2 4" xfId="21958"/>
    <cellStyle name="Обычный 5 2 7 2 4 2" xfId="54001"/>
    <cellStyle name="Обычный 5 2 7 2 5" xfId="32641"/>
    <cellStyle name="Обычный 5 2 7 3" xfId="5470"/>
    <cellStyle name="Обычный 5 2 7 3 2" xfId="16150"/>
    <cellStyle name="Обычный 5 2 7 3 2 2" xfId="48194"/>
    <cellStyle name="Обычный 5 2 7 3 3" xfId="26831"/>
    <cellStyle name="Обычный 5 2 7 3 3 2" xfId="58874"/>
    <cellStyle name="Обычный 5 2 7 3 4" xfId="37514"/>
    <cellStyle name="Обычный 5 2 7 4" xfId="10810"/>
    <cellStyle name="Обычный 5 2 7 4 2" xfId="42854"/>
    <cellStyle name="Обычный 5 2 7 5" xfId="21491"/>
    <cellStyle name="Обычный 5 2 7 5 2" xfId="53534"/>
    <cellStyle name="Обычный 5 2 7 6" xfId="32174"/>
    <cellStyle name="Обычный 5 2 70" xfId="1645"/>
    <cellStyle name="Обычный 5 2 70 2" xfId="6987"/>
    <cellStyle name="Обычный 5 2 70 2 2" xfId="17667"/>
    <cellStyle name="Обычный 5 2 70 2 2 2" xfId="49711"/>
    <cellStyle name="Обычный 5 2 70 2 3" xfId="28348"/>
    <cellStyle name="Обычный 5 2 70 2 3 2" xfId="60391"/>
    <cellStyle name="Обычный 5 2 70 2 4" xfId="39031"/>
    <cellStyle name="Обычный 5 2 70 3" xfId="12327"/>
    <cellStyle name="Обычный 5 2 70 3 2" xfId="44371"/>
    <cellStyle name="Обычный 5 2 70 4" xfId="23008"/>
    <cellStyle name="Обычный 5 2 70 4 2" xfId="55051"/>
    <cellStyle name="Обычный 5 2 70 5" xfId="33691"/>
    <cellStyle name="Обычный 5 2 71" xfId="1671"/>
    <cellStyle name="Обычный 5 2 71 2" xfId="7013"/>
    <cellStyle name="Обычный 5 2 71 2 2" xfId="17693"/>
    <cellStyle name="Обычный 5 2 71 2 2 2" xfId="49737"/>
    <cellStyle name="Обычный 5 2 71 2 3" xfId="28374"/>
    <cellStyle name="Обычный 5 2 71 2 3 2" xfId="60417"/>
    <cellStyle name="Обычный 5 2 71 2 4" xfId="39057"/>
    <cellStyle name="Обычный 5 2 71 3" xfId="12353"/>
    <cellStyle name="Обычный 5 2 71 3 2" xfId="44397"/>
    <cellStyle name="Обычный 5 2 71 4" xfId="23034"/>
    <cellStyle name="Обычный 5 2 71 4 2" xfId="55077"/>
    <cellStyle name="Обычный 5 2 71 5" xfId="33717"/>
    <cellStyle name="Обычный 5 2 72" xfId="1697"/>
    <cellStyle name="Обычный 5 2 72 2" xfId="7039"/>
    <cellStyle name="Обычный 5 2 72 2 2" xfId="17719"/>
    <cellStyle name="Обычный 5 2 72 2 2 2" xfId="49763"/>
    <cellStyle name="Обычный 5 2 72 2 3" xfId="28400"/>
    <cellStyle name="Обычный 5 2 72 2 3 2" xfId="60443"/>
    <cellStyle name="Обычный 5 2 72 2 4" xfId="39083"/>
    <cellStyle name="Обычный 5 2 72 3" xfId="12379"/>
    <cellStyle name="Обычный 5 2 72 3 2" xfId="44423"/>
    <cellStyle name="Обычный 5 2 72 4" xfId="23060"/>
    <cellStyle name="Обычный 5 2 72 4 2" xfId="55103"/>
    <cellStyle name="Обычный 5 2 72 5" xfId="33743"/>
    <cellStyle name="Обычный 5 2 73" xfId="1723"/>
    <cellStyle name="Обычный 5 2 73 2" xfId="7065"/>
    <cellStyle name="Обычный 5 2 73 2 2" xfId="17745"/>
    <cellStyle name="Обычный 5 2 73 2 2 2" xfId="49789"/>
    <cellStyle name="Обычный 5 2 73 2 3" xfId="28426"/>
    <cellStyle name="Обычный 5 2 73 2 3 2" xfId="60469"/>
    <cellStyle name="Обычный 5 2 73 2 4" xfId="39109"/>
    <cellStyle name="Обычный 5 2 73 3" xfId="12405"/>
    <cellStyle name="Обычный 5 2 73 3 2" xfId="44449"/>
    <cellStyle name="Обычный 5 2 73 4" xfId="23086"/>
    <cellStyle name="Обычный 5 2 73 4 2" xfId="55129"/>
    <cellStyle name="Обычный 5 2 73 5" xfId="33769"/>
    <cellStyle name="Обычный 5 2 74" xfId="1749"/>
    <cellStyle name="Обычный 5 2 74 2" xfId="7091"/>
    <cellStyle name="Обычный 5 2 74 2 2" xfId="17771"/>
    <cellStyle name="Обычный 5 2 74 2 2 2" xfId="49815"/>
    <cellStyle name="Обычный 5 2 74 2 3" xfId="28452"/>
    <cellStyle name="Обычный 5 2 74 2 3 2" xfId="60495"/>
    <cellStyle name="Обычный 5 2 74 2 4" xfId="39135"/>
    <cellStyle name="Обычный 5 2 74 3" xfId="12431"/>
    <cellStyle name="Обычный 5 2 74 3 2" xfId="44475"/>
    <cellStyle name="Обычный 5 2 74 4" xfId="23112"/>
    <cellStyle name="Обычный 5 2 74 4 2" xfId="55155"/>
    <cellStyle name="Обычный 5 2 74 5" xfId="33795"/>
    <cellStyle name="Обычный 5 2 75" xfId="1775"/>
    <cellStyle name="Обычный 5 2 75 2" xfId="7117"/>
    <cellStyle name="Обычный 5 2 75 2 2" xfId="17797"/>
    <cellStyle name="Обычный 5 2 75 2 2 2" xfId="49841"/>
    <cellStyle name="Обычный 5 2 75 2 3" xfId="28478"/>
    <cellStyle name="Обычный 5 2 75 2 3 2" xfId="60521"/>
    <cellStyle name="Обычный 5 2 75 2 4" xfId="39161"/>
    <cellStyle name="Обычный 5 2 75 3" xfId="12457"/>
    <cellStyle name="Обычный 5 2 75 3 2" xfId="44501"/>
    <cellStyle name="Обычный 5 2 75 4" xfId="23138"/>
    <cellStyle name="Обычный 5 2 75 4 2" xfId="55181"/>
    <cellStyle name="Обычный 5 2 75 5" xfId="33821"/>
    <cellStyle name="Обычный 5 2 76" xfId="1801"/>
    <cellStyle name="Обычный 5 2 76 2" xfId="7143"/>
    <cellStyle name="Обычный 5 2 76 2 2" xfId="17823"/>
    <cellStyle name="Обычный 5 2 76 2 2 2" xfId="49867"/>
    <cellStyle name="Обычный 5 2 76 2 3" xfId="28504"/>
    <cellStyle name="Обычный 5 2 76 2 3 2" xfId="60547"/>
    <cellStyle name="Обычный 5 2 76 2 4" xfId="39187"/>
    <cellStyle name="Обычный 5 2 76 3" xfId="12483"/>
    <cellStyle name="Обычный 5 2 76 3 2" xfId="44527"/>
    <cellStyle name="Обычный 5 2 76 4" xfId="23164"/>
    <cellStyle name="Обычный 5 2 76 4 2" xfId="55207"/>
    <cellStyle name="Обычный 5 2 76 5" xfId="33847"/>
    <cellStyle name="Обычный 5 2 77" xfId="1827"/>
    <cellStyle name="Обычный 5 2 77 2" xfId="7169"/>
    <cellStyle name="Обычный 5 2 77 2 2" xfId="17849"/>
    <cellStyle name="Обычный 5 2 77 2 2 2" xfId="49893"/>
    <cellStyle name="Обычный 5 2 77 2 3" xfId="28530"/>
    <cellStyle name="Обычный 5 2 77 2 3 2" xfId="60573"/>
    <cellStyle name="Обычный 5 2 77 2 4" xfId="39213"/>
    <cellStyle name="Обычный 5 2 77 3" xfId="12509"/>
    <cellStyle name="Обычный 5 2 77 3 2" xfId="44553"/>
    <cellStyle name="Обычный 5 2 77 4" xfId="23190"/>
    <cellStyle name="Обычный 5 2 77 4 2" xfId="55233"/>
    <cellStyle name="Обычный 5 2 77 5" xfId="33873"/>
    <cellStyle name="Обычный 5 2 78" xfId="1853"/>
    <cellStyle name="Обычный 5 2 78 2" xfId="7195"/>
    <cellStyle name="Обычный 5 2 78 2 2" xfId="17875"/>
    <cellStyle name="Обычный 5 2 78 2 2 2" xfId="49919"/>
    <cellStyle name="Обычный 5 2 78 2 3" xfId="28556"/>
    <cellStyle name="Обычный 5 2 78 2 3 2" xfId="60599"/>
    <cellStyle name="Обычный 5 2 78 2 4" xfId="39239"/>
    <cellStyle name="Обычный 5 2 78 3" xfId="12535"/>
    <cellStyle name="Обычный 5 2 78 3 2" xfId="44579"/>
    <cellStyle name="Обычный 5 2 78 4" xfId="23216"/>
    <cellStyle name="Обычный 5 2 78 4 2" xfId="55259"/>
    <cellStyle name="Обычный 5 2 78 5" xfId="33899"/>
    <cellStyle name="Обычный 5 2 79" xfId="1879"/>
    <cellStyle name="Обычный 5 2 79 2" xfId="7221"/>
    <cellStyle name="Обычный 5 2 79 2 2" xfId="17901"/>
    <cellStyle name="Обычный 5 2 79 2 2 2" xfId="49945"/>
    <cellStyle name="Обычный 5 2 79 2 3" xfId="28582"/>
    <cellStyle name="Обычный 5 2 79 2 3 2" xfId="60625"/>
    <cellStyle name="Обычный 5 2 79 2 4" xfId="39265"/>
    <cellStyle name="Обычный 5 2 79 3" xfId="12561"/>
    <cellStyle name="Обычный 5 2 79 3 2" xfId="44605"/>
    <cellStyle name="Обычный 5 2 79 4" xfId="23242"/>
    <cellStyle name="Обычный 5 2 79 4 2" xfId="55285"/>
    <cellStyle name="Обычный 5 2 79 5" xfId="33925"/>
    <cellStyle name="Обычный 5 2 8" xfId="136"/>
    <cellStyle name="Обычный 5 2 8 2" xfId="604"/>
    <cellStyle name="Обычный 5 2 8 2 2" xfId="5947"/>
    <cellStyle name="Обычный 5 2 8 2 2 2" xfId="16627"/>
    <cellStyle name="Обычный 5 2 8 2 2 2 2" xfId="48671"/>
    <cellStyle name="Обычный 5 2 8 2 2 3" xfId="27308"/>
    <cellStyle name="Обычный 5 2 8 2 2 3 2" xfId="59351"/>
    <cellStyle name="Обычный 5 2 8 2 2 4" xfId="37991"/>
    <cellStyle name="Обычный 5 2 8 2 3" xfId="11287"/>
    <cellStyle name="Обычный 5 2 8 2 3 2" xfId="43331"/>
    <cellStyle name="Обычный 5 2 8 2 4" xfId="21968"/>
    <cellStyle name="Обычный 5 2 8 2 4 2" xfId="54011"/>
    <cellStyle name="Обычный 5 2 8 2 5" xfId="32651"/>
    <cellStyle name="Обычный 5 2 8 3" xfId="5480"/>
    <cellStyle name="Обычный 5 2 8 3 2" xfId="16160"/>
    <cellStyle name="Обычный 5 2 8 3 2 2" xfId="48204"/>
    <cellStyle name="Обычный 5 2 8 3 3" xfId="26841"/>
    <cellStyle name="Обычный 5 2 8 3 3 2" xfId="58884"/>
    <cellStyle name="Обычный 5 2 8 3 4" xfId="37524"/>
    <cellStyle name="Обычный 5 2 8 4" xfId="10820"/>
    <cellStyle name="Обычный 5 2 8 4 2" xfId="42864"/>
    <cellStyle name="Обычный 5 2 8 5" xfId="21501"/>
    <cellStyle name="Обычный 5 2 8 5 2" xfId="53544"/>
    <cellStyle name="Обычный 5 2 8 6" xfId="32184"/>
    <cellStyle name="Обычный 5 2 80" xfId="1905"/>
    <cellStyle name="Обычный 5 2 80 2" xfId="7247"/>
    <cellStyle name="Обычный 5 2 80 2 2" xfId="17927"/>
    <cellStyle name="Обычный 5 2 80 2 2 2" xfId="49971"/>
    <cellStyle name="Обычный 5 2 80 2 3" xfId="28608"/>
    <cellStyle name="Обычный 5 2 80 2 3 2" xfId="60651"/>
    <cellStyle name="Обычный 5 2 80 2 4" xfId="39291"/>
    <cellStyle name="Обычный 5 2 80 3" xfId="12587"/>
    <cellStyle name="Обычный 5 2 80 3 2" xfId="44631"/>
    <cellStyle name="Обычный 5 2 80 4" xfId="23268"/>
    <cellStyle name="Обычный 5 2 80 4 2" xfId="55311"/>
    <cellStyle name="Обычный 5 2 80 5" xfId="33951"/>
    <cellStyle name="Обычный 5 2 81" xfId="1933"/>
    <cellStyle name="Обычный 5 2 81 2" xfId="7275"/>
    <cellStyle name="Обычный 5 2 81 2 2" xfId="17955"/>
    <cellStyle name="Обычный 5 2 81 2 2 2" xfId="49999"/>
    <cellStyle name="Обычный 5 2 81 2 3" xfId="28636"/>
    <cellStyle name="Обычный 5 2 81 2 3 2" xfId="60679"/>
    <cellStyle name="Обычный 5 2 81 2 4" xfId="39319"/>
    <cellStyle name="Обычный 5 2 81 3" xfId="12615"/>
    <cellStyle name="Обычный 5 2 81 3 2" xfId="44659"/>
    <cellStyle name="Обычный 5 2 81 4" xfId="23296"/>
    <cellStyle name="Обычный 5 2 81 4 2" xfId="55339"/>
    <cellStyle name="Обычный 5 2 81 5" xfId="33979"/>
    <cellStyle name="Обычный 5 2 82" xfId="1961"/>
    <cellStyle name="Обычный 5 2 82 2" xfId="7303"/>
    <cellStyle name="Обычный 5 2 82 2 2" xfId="17983"/>
    <cellStyle name="Обычный 5 2 82 2 2 2" xfId="50027"/>
    <cellStyle name="Обычный 5 2 82 2 3" xfId="28664"/>
    <cellStyle name="Обычный 5 2 82 2 3 2" xfId="60707"/>
    <cellStyle name="Обычный 5 2 82 2 4" xfId="39347"/>
    <cellStyle name="Обычный 5 2 82 3" xfId="12643"/>
    <cellStyle name="Обычный 5 2 82 3 2" xfId="44687"/>
    <cellStyle name="Обычный 5 2 82 4" xfId="23324"/>
    <cellStyle name="Обычный 5 2 82 4 2" xfId="55367"/>
    <cellStyle name="Обычный 5 2 82 5" xfId="34007"/>
    <cellStyle name="Обычный 5 2 83" xfId="1989"/>
    <cellStyle name="Обычный 5 2 83 2" xfId="7331"/>
    <cellStyle name="Обычный 5 2 83 2 2" xfId="18011"/>
    <cellStyle name="Обычный 5 2 83 2 2 2" xfId="50055"/>
    <cellStyle name="Обычный 5 2 83 2 3" xfId="28692"/>
    <cellStyle name="Обычный 5 2 83 2 3 2" xfId="60735"/>
    <cellStyle name="Обычный 5 2 83 2 4" xfId="39375"/>
    <cellStyle name="Обычный 5 2 83 3" xfId="12671"/>
    <cellStyle name="Обычный 5 2 83 3 2" xfId="44715"/>
    <cellStyle name="Обычный 5 2 83 4" xfId="23352"/>
    <cellStyle name="Обычный 5 2 83 4 2" xfId="55395"/>
    <cellStyle name="Обычный 5 2 83 5" xfId="34035"/>
    <cellStyle name="Обычный 5 2 84" xfId="2017"/>
    <cellStyle name="Обычный 5 2 84 2" xfId="7359"/>
    <cellStyle name="Обычный 5 2 84 2 2" xfId="18039"/>
    <cellStyle name="Обычный 5 2 84 2 2 2" xfId="50083"/>
    <cellStyle name="Обычный 5 2 84 2 3" xfId="28720"/>
    <cellStyle name="Обычный 5 2 84 2 3 2" xfId="60763"/>
    <cellStyle name="Обычный 5 2 84 2 4" xfId="39403"/>
    <cellStyle name="Обычный 5 2 84 3" xfId="12699"/>
    <cellStyle name="Обычный 5 2 84 3 2" xfId="44743"/>
    <cellStyle name="Обычный 5 2 84 4" xfId="23380"/>
    <cellStyle name="Обычный 5 2 84 4 2" xfId="55423"/>
    <cellStyle name="Обычный 5 2 84 5" xfId="34063"/>
    <cellStyle name="Обычный 5 2 85" xfId="2045"/>
    <cellStyle name="Обычный 5 2 85 2" xfId="7387"/>
    <cellStyle name="Обычный 5 2 85 2 2" xfId="18067"/>
    <cellStyle name="Обычный 5 2 85 2 2 2" xfId="50111"/>
    <cellStyle name="Обычный 5 2 85 2 3" xfId="28748"/>
    <cellStyle name="Обычный 5 2 85 2 3 2" xfId="60791"/>
    <cellStyle name="Обычный 5 2 85 2 4" xfId="39431"/>
    <cellStyle name="Обычный 5 2 85 3" xfId="12727"/>
    <cellStyle name="Обычный 5 2 85 3 2" xfId="44771"/>
    <cellStyle name="Обычный 5 2 85 4" xfId="23408"/>
    <cellStyle name="Обычный 5 2 85 4 2" xfId="55451"/>
    <cellStyle name="Обычный 5 2 85 5" xfId="34091"/>
    <cellStyle name="Обычный 5 2 86" xfId="2073"/>
    <cellStyle name="Обычный 5 2 86 2" xfId="7415"/>
    <cellStyle name="Обычный 5 2 86 2 2" xfId="18095"/>
    <cellStyle name="Обычный 5 2 86 2 2 2" xfId="50139"/>
    <cellStyle name="Обычный 5 2 86 2 3" xfId="28776"/>
    <cellStyle name="Обычный 5 2 86 2 3 2" xfId="60819"/>
    <cellStyle name="Обычный 5 2 86 2 4" xfId="39459"/>
    <cellStyle name="Обычный 5 2 86 3" xfId="12755"/>
    <cellStyle name="Обычный 5 2 86 3 2" xfId="44799"/>
    <cellStyle name="Обычный 5 2 86 4" xfId="23436"/>
    <cellStyle name="Обычный 5 2 86 4 2" xfId="55479"/>
    <cellStyle name="Обычный 5 2 86 5" xfId="34119"/>
    <cellStyle name="Обычный 5 2 87" xfId="2101"/>
    <cellStyle name="Обычный 5 2 87 2" xfId="7443"/>
    <cellStyle name="Обычный 5 2 87 2 2" xfId="18123"/>
    <cellStyle name="Обычный 5 2 87 2 2 2" xfId="50167"/>
    <cellStyle name="Обычный 5 2 87 2 3" xfId="28804"/>
    <cellStyle name="Обычный 5 2 87 2 3 2" xfId="60847"/>
    <cellStyle name="Обычный 5 2 87 2 4" xfId="39487"/>
    <cellStyle name="Обычный 5 2 87 3" xfId="12783"/>
    <cellStyle name="Обычный 5 2 87 3 2" xfId="44827"/>
    <cellStyle name="Обычный 5 2 87 4" xfId="23464"/>
    <cellStyle name="Обычный 5 2 87 4 2" xfId="55507"/>
    <cellStyle name="Обычный 5 2 87 5" xfId="34147"/>
    <cellStyle name="Обычный 5 2 88" xfId="2131"/>
    <cellStyle name="Обычный 5 2 88 2" xfId="7473"/>
    <cellStyle name="Обычный 5 2 88 2 2" xfId="18153"/>
    <cellStyle name="Обычный 5 2 88 2 2 2" xfId="50197"/>
    <cellStyle name="Обычный 5 2 88 2 3" xfId="28834"/>
    <cellStyle name="Обычный 5 2 88 2 3 2" xfId="60877"/>
    <cellStyle name="Обычный 5 2 88 2 4" xfId="39517"/>
    <cellStyle name="Обычный 5 2 88 3" xfId="12813"/>
    <cellStyle name="Обычный 5 2 88 3 2" xfId="44857"/>
    <cellStyle name="Обычный 5 2 88 4" xfId="23494"/>
    <cellStyle name="Обычный 5 2 88 4 2" xfId="55537"/>
    <cellStyle name="Обычный 5 2 88 5" xfId="34177"/>
    <cellStyle name="Обычный 5 2 89" xfId="2161"/>
    <cellStyle name="Обычный 5 2 89 2" xfId="7503"/>
    <cellStyle name="Обычный 5 2 89 2 2" xfId="18183"/>
    <cellStyle name="Обычный 5 2 89 2 2 2" xfId="50227"/>
    <cellStyle name="Обычный 5 2 89 2 3" xfId="28864"/>
    <cellStyle name="Обычный 5 2 89 2 3 2" xfId="60907"/>
    <cellStyle name="Обычный 5 2 89 2 4" xfId="39547"/>
    <cellStyle name="Обычный 5 2 89 3" xfId="12843"/>
    <cellStyle name="Обычный 5 2 89 3 2" xfId="44887"/>
    <cellStyle name="Обычный 5 2 89 4" xfId="23524"/>
    <cellStyle name="Обычный 5 2 89 4 2" xfId="55567"/>
    <cellStyle name="Обычный 5 2 89 5" xfId="34207"/>
    <cellStyle name="Обычный 5 2 9" xfId="146"/>
    <cellStyle name="Обычный 5 2 9 2" xfId="614"/>
    <cellStyle name="Обычный 5 2 9 2 2" xfId="5957"/>
    <cellStyle name="Обычный 5 2 9 2 2 2" xfId="16637"/>
    <cellStyle name="Обычный 5 2 9 2 2 2 2" xfId="48681"/>
    <cellStyle name="Обычный 5 2 9 2 2 3" xfId="27318"/>
    <cellStyle name="Обычный 5 2 9 2 2 3 2" xfId="59361"/>
    <cellStyle name="Обычный 5 2 9 2 2 4" xfId="38001"/>
    <cellStyle name="Обычный 5 2 9 2 3" xfId="11297"/>
    <cellStyle name="Обычный 5 2 9 2 3 2" xfId="43341"/>
    <cellStyle name="Обычный 5 2 9 2 4" xfId="21978"/>
    <cellStyle name="Обычный 5 2 9 2 4 2" xfId="54021"/>
    <cellStyle name="Обычный 5 2 9 2 5" xfId="32661"/>
    <cellStyle name="Обычный 5 2 9 3" xfId="5490"/>
    <cellStyle name="Обычный 5 2 9 3 2" xfId="16170"/>
    <cellStyle name="Обычный 5 2 9 3 2 2" xfId="48214"/>
    <cellStyle name="Обычный 5 2 9 3 3" xfId="26851"/>
    <cellStyle name="Обычный 5 2 9 3 3 2" xfId="58894"/>
    <cellStyle name="Обычный 5 2 9 3 4" xfId="37534"/>
    <cellStyle name="Обычный 5 2 9 4" xfId="10830"/>
    <cellStyle name="Обычный 5 2 9 4 2" xfId="42874"/>
    <cellStyle name="Обычный 5 2 9 5" xfId="21511"/>
    <cellStyle name="Обычный 5 2 9 5 2" xfId="53554"/>
    <cellStyle name="Обычный 5 2 9 6" xfId="32194"/>
    <cellStyle name="Обычный 5 2 90" xfId="2191"/>
    <cellStyle name="Обычный 5 2 90 2" xfId="7533"/>
    <cellStyle name="Обычный 5 2 90 2 2" xfId="18213"/>
    <cellStyle name="Обычный 5 2 90 2 2 2" xfId="50257"/>
    <cellStyle name="Обычный 5 2 90 2 3" xfId="28894"/>
    <cellStyle name="Обычный 5 2 90 2 3 2" xfId="60937"/>
    <cellStyle name="Обычный 5 2 90 2 4" xfId="39577"/>
    <cellStyle name="Обычный 5 2 90 3" xfId="12873"/>
    <cellStyle name="Обычный 5 2 90 3 2" xfId="44917"/>
    <cellStyle name="Обычный 5 2 90 4" xfId="23554"/>
    <cellStyle name="Обычный 5 2 90 4 2" xfId="55597"/>
    <cellStyle name="Обычный 5 2 90 5" xfId="34237"/>
    <cellStyle name="Обычный 5 2 91" xfId="2221"/>
    <cellStyle name="Обычный 5 2 91 2" xfId="7563"/>
    <cellStyle name="Обычный 5 2 91 2 2" xfId="18243"/>
    <cellStyle name="Обычный 5 2 91 2 2 2" xfId="50287"/>
    <cellStyle name="Обычный 5 2 91 2 3" xfId="28924"/>
    <cellStyle name="Обычный 5 2 91 2 3 2" xfId="60967"/>
    <cellStyle name="Обычный 5 2 91 2 4" xfId="39607"/>
    <cellStyle name="Обычный 5 2 91 3" xfId="12903"/>
    <cellStyle name="Обычный 5 2 91 3 2" xfId="44947"/>
    <cellStyle name="Обычный 5 2 91 4" xfId="23584"/>
    <cellStyle name="Обычный 5 2 91 4 2" xfId="55627"/>
    <cellStyle name="Обычный 5 2 91 5" xfId="34267"/>
    <cellStyle name="Обычный 5 2 92" xfId="2251"/>
    <cellStyle name="Обычный 5 2 92 2" xfId="7593"/>
    <cellStyle name="Обычный 5 2 92 2 2" xfId="18273"/>
    <cellStyle name="Обычный 5 2 92 2 2 2" xfId="50317"/>
    <cellStyle name="Обычный 5 2 92 2 3" xfId="28954"/>
    <cellStyle name="Обычный 5 2 92 2 3 2" xfId="60997"/>
    <cellStyle name="Обычный 5 2 92 2 4" xfId="39637"/>
    <cellStyle name="Обычный 5 2 92 3" xfId="12933"/>
    <cellStyle name="Обычный 5 2 92 3 2" xfId="44977"/>
    <cellStyle name="Обычный 5 2 92 4" xfId="23614"/>
    <cellStyle name="Обычный 5 2 92 4 2" xfId="55657"/>
    <cellStyle name="Обычный 5 2 92 5" xfId="34297"/>
    <cellStyle name="Обычный 5 2 93" xfId="2281"/>
    <cellStyle name="Обычный 5 2 93 2" xfId="7623"/>
    <cellStyle name="Обычный 5 2 93 2 2" xfId="18303"/>
    <cellStyle name="Обычный 5 2 93 2 2 2" xfId="50347"/>
    <cellStyle name="Обычный 5 2 93 2 3" xfId="28984"/>
    <cellStyle name="Обычный 5 2 93 2 3 2" xfId="61027"/>
    <cellStyle name="Обычный 5 2 93 2 4" xfId="39667"/>
    <cellStyle name="Обычный 5 2 93 3" xfId="12963"/>
    <cellStyle name="Обычный 5 2 93 3 2" xfId="45007"/>
    <cellStyle name="Обычный 5 2 93 4" xfId="23644"/>
    <cellStyle name="Обычный 5 2 93 4 2" xfId="55687"/>
    <cellStyle name="Обычный 5 2 93 5" xfId="34327"/>
    <cellStyle name="Обычный 5 2 94" xfId="2311"/>
    <cellStyle name="Обычный 5 2 94 2" xfId="7653"/>
    <cellStyle name="Обычный 5 2 94 2 2" xfId="18333"/>
    <cellStyle name="Обычный 5 2 94 2 2 2" xfId="50377"/>
    <cellStyle name="Обычный 5 2 94 2 3" xfId="29014"/>
    <cellStyle name="Обычный 5 2 94 2 3 2" xfId="61057"/>
    <cellStyle name="Обычный 5 2 94 2 4" xfId="39697"/>
    <cellStyle name="Обычный 5 2 94 3" xfId="12993"/>
    <cellStyle name="Обычный 5 2 94 3 2" xfId="45037"/>
    <cellStyle name="Обычный 5 2 94 4" xfId="23674"/>
    <cellStyle name="Обычный 5 2 94 4 2" xfId="55717"/>
    <cellStyle name="Обычный 5 2 94 5" xfId="34357"/>
    <cellStyle name="Обычный 5 2 95" xfId="2341"/>
    <cellStyle name="Обычный 5 2 95 2" xfId="7683"/>
    <cellStyle name="Обычный 5 2 95 2 2" xfId="18363"/>
    <cellStyle name="Обычный 5 2 95 2 2 2" xfId="50407"/>
    <cellStyle name="Обычный 5 2 95 2 3" xfId="29044"/>
    <cellStyle name="Обычный 5 2 95 2 3 2" xfId="61087"/>
    <cellStyle name="Обычный 5 2 95 2 4" xfId="39727"/>
    <cellStyle name="Обычный 5 2 95 3" xfId="13023"/>
    <cellStyle name="Обычный 5 2 95 3 2" xfId="45067"/>
    <cellStyle name="Обычный 5 2 95 4" xfId="23704"/>
    <cellStyle name="Обычный 5 2 95 4 2" xfId="55747"/>
    <cellStyle name="Обычный 5 2 95 5" xfId="34387"/>
    <cellStyle name="Обычный 5 2 96" xfId="2371"/>
    <cellStyle name="Обычный 5 2 96 2" xfId="7713"/>
    <cellStyle name="Обычный 5 2 96 2 2" xfId="18393"/>
    <cellStyle name="Обычный 5 2 96 2 2 2" xfId="50437"/>
    <cellStyle name="Обычный 5 2 96 2 3" xfId="29074"/>
    <cellStyle name="Обычный 5 2 96 2 3 2" xfId="61117"/>
    <cellStyle name="Обычный 5 2 96 2 4" xfId="39757"/>
    <cellStyle name="Обычный 5 2 96 3" xfId="13053"/>
    <cellStyle name="Обычный 5 2 96 3 2" xfId="45097"/>
    <cellStyle name="Обычный 5 2 96 4" xfId="23734"/>
    <cellStyle name="Обычный 5 2 96 4 2" xfId="55777"/>
    <cellStyle name="Обычный 5 2 96 5" xfId="34417"/>
    <cellStyle name="Обычный 5 2 97" xfId="2401"/>
    <cellStyle name="Обычный 5 2 97 2" xfId="7743"/>
    <cellStyle name="Обычный 5 2 97 2 2" xfId="18423"/>
    <cellStyle name="Обычный 5 2 97 2 2 2" xfId="50467"/>
    <cellStyle name="Обычный 5 2 97 2 3" xfId="29104"/>
    <cellStyle name="Обычный 5 2 97 2 3 2" xfId="61147"/>
    <cellStyle name="Обычный 5 2 97 2 4" xfId="39787"/>
    <cellStyle name="Обычный 5 2 97 3" xfId="13083"/>
    <cellStyle name="Обычный 5 2 97 3 2" xfId="45127"/>
    <cellStyle name="Обычный 5 2 97 4" xfId="23764"/>
    <cellStyle name="Обычный 5 2 97 4 2" xfId="55807"/>
    <cellStyle name="Обычный 5 2 97 5" xfId="34447"/>
    <cellStyle name="Обычный 5 2 98" xfId="2431"/>
    <cellStyle name="Обычный 5 2 98 2" xfId="7773"/>
    <cellStyle name="Обычный 5 2 98 2 2" xfId="18453"/>
    <cellStyle name="Обычный 5 2 98 2 2 2" xfId="50497"/>
    <cellStyle name="Обычный 5 2 98 2 3" xfId="29134"/>
    <cellStyle name="Обычный 5 2 98 2 3 2" xfId="61177"/>
    <cellStyle name="Обычный 5 2 98 2 4" xfId="39817"/>
    <cellStyle name="Обычный 5 2 98 3" xfId="13113"/>
    <cellStyle name="Обычный 5 2 98 3 2" xfId="45157"/>
    <cellStyle name="Обычный 5 2 98 4" xfId="23794"/>
    <cellStyle name="Обычный 5 2 98 4 2" xfId="55837"/>
    <cellStyle name="Обычный 5 2 98 5" xfId="34477"/>
    <cellStyle name="Обычный 5 2 99" xfId="2461"/>
    <cellStyle name="Обычный 5 2 99 2" xfId="7803"/>
    <cellStyle name="Обычный 5 2 99 2 2" xfId="18483"/>
    <cellStyle name="Обычный 5 2 99 2 2 2" xfId="50527"/>
    <cellStyle name="Обычный 5 2 99 2 3" xfId="29164"/>
    <cellStyle name="Обычный 5 2 99 2 3 2" xfId="61207"/>
    <cellStyle name="Обычный 5 2 99 2 4" xfId="39847"/>
    <cellStyle name="Обычный 5 2 99 3" xfId="13143"/>
    <cellStyle name="Обычный 5 2 99 3 2" xfId="45187"/>
    <cellStyle name="Обычный 5 2 99 4" xfId="23824"/>
    <cellStyle name="Обычный 5 2 99 4 2" xfId="55867"/>
    <cellStyle name="Обычный 5 2 99 5" xfId="34507"/>
    <cellStyle name="Обычный 5 20" xfId="192"/>
    <cellStyle name="Обычный 5 20 2" xfId="660"/>
    <cellStyle name="Обычный 5 20 2 2" xfId="6003"/>
    <cellStyle name="Обычный 5 20 2 2 2" xfId="16683"/>
    <cellStyle name="Обычный 5 20 2 2 2 2" xfId="48727"/>
    <cellStyle name="Обычный 5 20 2 2 3" xfId="27364"/>
    <cellStyle name="Обычный 5 20 2 2 3 2" xfId="59407"/>
    <cellStyle name="Обычный 5 20 2 2 4" xfId="38047"/>
    <cellStyle name="Обычный 5 20 2 3" xfId="11343"/>
    <cellStyle name="Обычный 5 20 2 3 2" xfId="43387"/>
    <cellStyle name="Обычный 5 20 2 4" xfId="22024"/>
    <cellStyle name="Обычный 5 20 2 4 2" xfId="54067"/>
    <cellStyle name="Обычный 5 20 2 5" xfId="32707"/>
    <cellStyle name="Обычный 5 20 3" xfId="5536"/>
    <cellStyle name="Обычный 5 20 3 2" xfId="16216"/>
    <cellStyle name="Обычный 5 20 3 2 2" xfId="48260"/>
    <cellStyle name="Обычный 5 20 3 3" xfId="26897"/>
    <cellStyle name="Обычный 5 20 3 3 2" xfId="58940"/>
    <cellStyle name="Обычный 5 20 3 4" xfId="37580"/>
    <cellStyle name="Обычный 5 20 4" xfId="10876"/>
    <cellStyle name="Обычный 5 20 4 2" xfId="42920"/>
    <cellStyle name="Обычный 5 20 5" xfId="21557"/>
    <cellStyle name="Обычный 5 20 5 2" xfId="53600"/>
    <cellStyle name="Обычный 5 20 6" xfId="32240"/>
    <cellStyle name="Обычный 5 21" xfId="202"/>
    <cellStyle name="Обычный 5 21 2" xfId="670"/>
    <cellStyle name="Обычный 5 21 2 2" xfId="6013"/>
    <cellStyle name="Обычный 5 21 2 2 2" xfId="16693"/>
    <cellStyle name="Обычный 5 21 2 2 2 2" xfId="48737"/>
    <cellStyle name="Обычный 5 21 2 2 3" xfId="27374"/>
    <cellStyle name="Обычный 5 21 2 2 3 2" xfId="59417"/>
    <cellStyle name="Обычный 5 21 2 2 4" xfId="38057"/>
    <cellStyle name="Обычный 5 21 2 3" xfId="11353"/>
    <cellStyle name="Обычный 5 21 2 3 2" xfId="43397"/>
    <cellStyle name="Обычный 5 21 2 4" xfId="22034"/>
    <cellStyle name="Обычный 5 21 2 4 2" xfId="54077"/>
    <cellStyle name="Обычный 5 21 2 5" xfId="32717"/>
    <cellStyle name="Обычный 5 21 3" xfId="5546"/>
    <cellStyle name="Обычный 5 21 3 2" xfId="16226"/>
    <cellStyle name="Обычный 5 21 3 2 2" xfId="48270"/>
    <cellStyle name="Обычный 5 21 3 3" xfId="26907"/>
    <cellStyle name="Обычный 5 21 3 3 2" xfId="58950"/>
    <cellStyle name="Обычный 5 21 3 4" xfId="37590"/>
    <cellStyle name="Обычный 5 21 4" xfId="10886"/>
    <cellStyle name="Обычный 5 21 4 2" xfId="42930"/>
    <cellStyle name="Обычный 5 21 5" xfId="21567"/>
    <cellStyle name="Обычный 5 21 5 2" xfId="53610"/>
    <cellStyle name="Обычный 5 21 6" xfId="32250"/>
    <cellStyle name="Обычный 5 22" xfId="212"/>
    <cellStyle name="Обычный 5 22 2" xfId="680"/>
    <cellStyle name="Обычный 5 22 2 2" xfId="6023"/>
    <cellStyle name="Обычный 5 22 2 2 2" xfId="16703"/>
    <cellStyle name="Обычный 5 22 2 2 2 2" xfId="48747"/>
    <cellStyle name="Обычный 5 22 2 2 3" xfId="27384"/>
    <cellStyle name="Обычный 5 22 2 2 3 2" xfId="59427"/>
    <cellStyle name="Обычный 5 22 2 2 4" xfId="38067"/>
    <cellStyle name="Обычный 5 22 2 3" xfId="11363"/>
    <cellStyle name="Обычный 5 22 2 3 2" xfId="43407"/>
    <cellStyle name="Обычный 5 22 2 4" xfId="22044"/>
    <cellStyle name="Обычный 5 22 2 4 2" xfId="54087"/>
    <cellStyle name="Обычный 5 22 2 5" xfId="32727"/>
    <cellStyle name="Обычный 5 22 3" xfId="5556"/>
    <cellStyle name="Обычный 5 22 3 2" xfId="16236"/>
    <cellStyle name="Обычный 5 22 3 2 2" xfId="48280"/>
    <cellStyle name="Обычный 5 22 3 3" xfId="26917"/>
    <cellStyle name="Обычный 5 22 3 3 2" xfId="58960"/>
    <cellStyle name="Обычный 5 22 3 4" xfId="37600"/>
    <cellStyle name="Обычный 5 22 4" xfId="10896"/>
    <cellStyle name="Обычный 5 22 4 2" xfId="42940"/>
    <cellStyle name="Обычный 5 22 5" xfId="21577"/>
    <cellStyle name="Обычный 5 22 5 2" xfId="53620"/>
    <cellStyle name="Обычный 5 22 6" xfId="32260"/>
    <cellStyle name="Обычный 5 23" xfId="222"/>
    <cellStyle name="Обычный 5 23 2" xfId="690"/>
    <cellStyle name="Обычный 5 23 2 2" xfId="6033"/>
    <cellStyle name="Обычный 5 23 2 2 2" xfId="16713"/>
    <cellStyle name="Обычный 5 23 2 2 2 2" xfId="48757"/>
    <cellStyle name="Обычный 5 23 2 2 3" xfId="27394"/>
    <cellStyle name="Обычный 5 23 2 2 3 2" xfId="59437"/>
    <cellStyle name="Обычный 5 23 2 2 4" xfId="38077"/>
    <cellStyle name="Обычный 5 23 2 3" xfId="11373"/>
    <cellStyle name="Обычный 5 23 2 3 2" xfId="43417"/>
    <cellStyle name="Обычный 5 23 2 4" xfId="22054"/>
    <cellStyle name="Обычный 5 23 2 4 2" xfId="54097"/>
    <cellStyle name="Обычный 5 23 2 5" xfId="32737"/>
    <cellStyle name="Обычный 5 23 3" xfId="5566"/>
    <cellStyle name="Обычный 5 23 3 2" xfId="16246"/>
    <cellStyle name="Обычный 5 23 3 2 2" xfId="48290"/>
    <cellStyle name="Обычный 5 23 3 3" xfId="26927"/>
    <cellStyle name="Обычный 5 23 3 3 2" xfId="58970"/>
    <cellStyle name="Обычный 5 23 3 4" xfId="37610"/>
    <cellStyle name="Обычный 5 23 4" xfId="10906"/>
    <cellStyle name="Обычный 5 23 4 2" xfId="42950"/>
    <cellStyle name="Обычный 5 23 5" xfId="21587"/>
    <cellStyle name="Обычный 5 23 5 2" xfId="53630"/>
    <cellStyle name="Обычный 5 23 6" xfId="32270"/>
    <cellStyle name="Обычный 5 24" xfId="232"/>
    <cellStyle name="Обычный 5 24 2" xfId="700"/>
    <cellStyle name="Обычный 5 24 2 2" xfId="6043"/>
    <cellStyle name="Обычный 5 24 2 2 2" xfId="16723"/>
    <cellStyle name="Обычный 5 24 2 2 2 2" xfId="48767"/>
    <cellStyle name="Обычный 5 24 2 2 3" xfId="27404"/>
    <cellStyle name="Обычный 5 24 2 2 3 2" xfId="59447"/>
    <cellStyle name="Обычный 5 24 2 2 4" xfId="38087"/>
    <cellStyle name="Обычный 5 24 2 3" xfId="11383"/>
    <cellStyle name="Обычный 5 24 2 3 2" xfId="43427"/>
    <cellStyle name="Обычный 5 24 2 4" xfId="22064"/>
    <cellStyle name="Обычный 5 24 2 4 2" xfId="54107"/>
    <cellStyle name="Обычный 5 24 2 5" xfId="32747"/>
    <cellStyle name="Обычный 5 24 3" xfId="5576"/>
    <cellStyle name="Обычный 5 24 3 2" xfId="16256"/>
    <cellStyle name="Обычный 5 24 3 2 2" xfId="48300"/>
    <cellStyle name="Обычный 5 24 3 3" xfId="26937"/>
    <cellStyle name="Обычный 5 24 3 3 2" xfId="58980"/>
    <cellStyle name="Обычный 5 24 3 4" xfId="37620"/>
    <cellStyle name="Обычный 5 24 4" xfId="10916"/>
    <cellStyle name="Обычный 5 24 4 2" xfId="42960"/>
    <cellStyle name="Обычный 5 24 5" xfId="21597"/>
    <cellStyle name="Обычный 5 24 5 2" xfId="53640"/>
    <cellStyle name="Обычный 5 24 6" xfId="32280"/>
    <cellStyle name="Обычный 5 25" xfId="242"/>
    <cellStyle name="Обычный 5 25 2" xfId="710"/>
    <cellStyle name="Обычный 5 25 2 2" xfId="6053"/>
    <cellStyle name="Обычный 5 25 2 2 2" xfId="16733"/>
    <cellStyle name="Обычный 5 25 2 2 2 2" xfId="48777"/>
    <cellStyle name="Обычный 5 25 2 2 3" xfId="27414"/>
    <cellStyle name="Обычный 5 25 2 2 3 2" xfId="59457"/>
    <cellStyle name="Обычный 5 25 2 2 4" xfId="38097"/>
    <cellStyle name="Обычный 5 25 2 3" xfId="11393"/>
    <cellStyle name="Обычный 5 25 2 3 2" xfId="43437"/>
    <cellStyle name="Обычный 5 25 2 4" xfId="22074"/>
    <cellStyle name="Обычный 5 25 2 4 2" xfId="54117"/>
    <cellStyle name="Обычный 5 25 2 5" xfId="32757"/>
    <cellStyle name="Обычный 5 25 3" xfId="5586"/>
    <cellStyle name="Обычный 5 25 3 2" xfId="16266"/>
    <cellStyle name="Обычный 5 25 3 2 2" xfId="48310"/>
    <cellStyle name="Обычный 5 25 3 3" xfId="26947"/>
    <cellStyle name="Обычный 5 25 3 3 2" xfId="58990"/>
    <cellStyle name="Обычный 5 25 3 4" xfId="37630"/>
    <cellStyle name="Обычный 5 25 4" xfId="10926"/>
    <cellStyle name="Обычный 5 25 4 2" xfId="42970"/>
    <cellStyle name="Обычный 5 25 5" xfId="21607"/>
    <cellStyle name="Обычный 5 25 5 2" xfId="53650"/>
    <cellStyle name="Обычный 5 25 6" xfId="32290"/>
    <cellStyle name="Обычный 5 26" xfId="252"/>
    <cellStyle name="Обычный 5 26 2" xfId="720"/>
    <cellStyle name="Обычный 5 26 2 2" xfId="6063"/>
    <cellStyle name="Обычный 5 26 2 2 2" xfId="16743"/>
    <cellStyle name="Обычный 5 26 2 2 2 2" xfId="48787"/>
    <cellStyle name="Обычный 5 26 2 2 3" xfId="27424"/>
    <cellStyle name="Обычный 5 26 2 2 3 2" xfId="59467"/>
    <cellStyle name="Обычный 5 26 2 2 4" xfId="38107"/>
    <cellStyle name="Обычный 5 26 2 3" xfId="11403"/>
    <cellStyle name="Обычный 5 26 2 3 2" xfId="43447"/>
    <cellStyle name="Обычный 5 26 2 4" xfId="22084"/>
    <cellStyle name="Обычный 5 26 2 4 2" xfId="54127"/>
    <cellStyle name="Обычный 5 26 2 5" xfId="32767"/>
    <cellStyle name="Обычный 5 26 3" xfId="5596"/>
    <cellStyle name="Обычный 5 26 3 2" xfId="16276"/>
    <cellStyle name="Обычный 5 26 3 2 2" xfId="48320"/>
    <cellStyle name="Обычный 5 26 3 3" xfId="26957"/>
    <cellStyle name="Обычный 5 26 3 3 2" xfId="59000"/>
    <cellStyle name="Обычный 5 26 3 4" xfId="37640"/>
    <cellStyle name="Обычный 5 26 4" xfId="10936"/>
    <cellStyle name="Обычный 5 26 4 2" xfId="42980"/>
    <cellStyle name="Обычный 5 26 5" xfId="21617"/>
    <cellStyle name="Обычный 5 26 5 2" xfId="53660"/>
    <cellStyle name="Обычный 5 26 6" xfId="32300"/>
    <cellStyle name="Обычный 5 27" xfId="262"/>
    <cellStyle name="Обычный 5 27 2" xfId="730"/>
    <cellStyle name="Обычный 5 27 2 2" xfId="6073"/>
    <cellStyle name="Обычный 5 27 2 2 2" xfId="16753"/>
    <cellStyle name="Обычный 5 27 2 2 2 2" xfId="48797"/>
    <cellStyle name="Обычный 5 27 2 2 3" xfId="27434"/>
    <cellStyle name="Обычный 5 27 2 2 3 2" xfId="59477"/>
    <cellStyle name="Обычный 5 27 2 2 4" xfId="38117"/>
    <cellStyle name="Обычный 5 27 2 3" xfId="11413"/>
    <cellStyle name="Обычный 5 27 2 3 2" xfId="43457"/>
    <cellStyle name="Обычный 5 27 2 4" xfId="22094"/>
    <cellStyle name="Обычный 5 27 2 4 2" xfId="54137"/>
    <cellStyle name="Обычный 5 27 2 5" xfId="32777"/>
    <cellStyle name="Обычный 5 27 3" xfId="5606"/>
    <cellStyle name="Обычный 5 27 3 2" xfId="16286"/>
    <cellStyle name="Обычный 5 27 3 2 2" xfId="48330"/>
    <cellStyle name="Обычный 5 27 3 3" xfId="26967"/>
    <cellStyle name="Обычный 5 27 3 3 2" xfId="59010"/>
    <cellStyle name="Обычный 5 27 3 4" xfId="37650"/>
    <cellStyle name="Обычный 5 27 4" xfId="10946"/>
    <cellStyle name="Обычный 5 27 4 2" xfId="42990"/>
    <cellStyle name="Обычный 5 27 5" xfId="21627"/>
    <cellStyle name="Обычный 5 27 5 2" xfId="53670"/>
    <cellStyle name="Обычный 5 27 6" xfId="32310"/>
    <cellStyle name="Обычный 5 28" xfId="272"/>
    <cellStyle name="Обычный 5 28 2" xfId="740"/>
    <cellStyle name="Обычный 5 28 2 2" xfId="6083"/>
    <cellStyle name="Обычный 5 28 2 2 2" xfId="16763"/>
    <cellStyle name="Обычный 5 28 2 2 2 2" xfId="48807"/>
    <cellStyle name="Обычный 5 28 2 2 3" xfId="27444"/>
    <cellStyle name="Обычный 5 28 2 2 3 2" xfId="59487"/>
    <cellStyle name="Обычный 5 28 2 2 4" xfId="38127"/>
    <cellStyle name="Обычный 5 28 2 3" xfId="11423"/>
    <cellStyle name="Обычный 5 28 2 3 2" xfId="43467"/>
    <cellStyle name="Обычный 5 28 2 4" xfId="22104"/>
    <cellStyle name="Обычный 5 28 2 4 2" xfId="54147"/>
    <cellStyle name="Обычный 5 28 2 5" xfId="32787"/>
    <cellStyle name="Обычный 5 28 3" xfId="5616"/>
    <cellStyle name="Обычный 5 28 3 2" xfId="16296"/>
    <cellStyle name="Обычный 5 28 3 2 2" xfId="48340"/>
    <cellStyle name="Обычный 5 28 3 3" xfId="26977"/>
    <cellStyle name="Обычный 5 28 3 3 2" xfId="59020"/>
    <cellStyle name="Обычный 5 28 3 4" xfId="37660"/>
    <cellStyle name="Обычный 5 28 4" xfId="10956"/>
    <cellStyle name="Обычный 5 28 4 2" xfId="43000"/>
    <cellStyle name="Обычный 5 28 5" xfId="21637"/>
    <cellStyle name="Обычный 5 28 5 2" xfId="53680"/>
    <cellStyle name="Обычный 5 28 6" xfId="32320"/>
    <cellStyle name="Обычный 5 29" xfId="282"/>
    <cellStyle name="Обычный 5 29 2" xfId="750"/>
    <cellStyle name="Обычный 5 29 2 2" xfId="6093"/>
    <cellStyle name="Обычный 5 29 2 2 2" xfId="16773"/>
    <cellStyle name="Обычный 5 29 2 2 2 2" xfId="48817"/>
    <cellStyle name="Обычный 5 29 2 2 3" xfId="27454"/>
    <cellStyle name="Обычный 5 29 2 2 3 2" xfId="59497"/>
    <cellStyle name="Обычный 5 29 2 2 4" xfId="38137"/>
    <cellStyle name="Обычный 5 29 2 3" xfId="11433"/>
    <cellStyle name="Обычный 5 29 2 3 2" xfId="43477"/>
    <cellStyle name="Обычный 5 29 2 4" xfId="22114"/>
    <cellStyle name="Обычный 5 29 2 4 2" xfId="54157"/>
    <cellStyle name="Обычный 5 29 2 5" xfId="32797"/>
    <cellStyle name="Обычный 5 29 3" xfId="5626"/>
    <cellStyle name="Обычный 5 29 3 2" xfId="16306"/>
    <cellStyle name="Обычный 5 29 3 2 2" xfId="48350"/>
    <cellStyle name="Обычный 5 29 3 3" xfId="26987"/>
    <cellStyle name="Обычный 5 29 3 3 2" xfId="59030"/>
    <cellStyle name="Обычный 5 29 3 4" xfId="37670"/>
    <cellStyle name="Обычный 5 29 4" xfId="10966"/>
    <cellStyle name="Обычный 5 29 4 2" xfId="43010"/>
    <cellStyle name="Обычный 5 29 5" xfId="21647"/>
    <cellStyle name="Обычный 5 29 5 2" xfId="53690"/>
    <cellStyle name="Обычный 5 29 6" xfId="32330"/>
    <cellStyle name="Обычный 5 3" xfId="56"/>
    <cellStyle name="Обычный 5 3 10" xfId="1158"/>
    <cellStyle name="Обычный 5 3 10 2" xfId="6501"/>
    <cellStyle name="Обычный 5 3 10 2 2" xfId="17181"/>
    <cellStyle name="Обычный 5 3 10 2 2 2" xfId="49225"/>
    <cellStyle name="Обычный 5 3 10 2 3" xfId="27862"/>
    <cellStyle name="Обычный 5 3 10 2 3 2" xfId="59905"/>
    <cellStyle name="Обычный 5 3 10 2 4" xfId="38545"/>
    <cellStyle name="Обычный 5 3 10 3" xfId="11841"/>
    <cellStyle name="Обычный 5 3 10 3 2" xfId="43885"/>
    <cellStyle name="Обычный 5 3 10 4" xfId="22522"/>
    <cellStyle name="Обычный 5 3 10 4 2" xfId="54565"/>
    <cellStyle name="Обычный 5 3 10 5" xfId="33205"/>
    <cellStyle name="Обычный 5 3 100" xfId="3818"/>
    <cellStyle name="Обычный 5 3 100 2" xfId="9159"/>
    <cellStyle name="Обычный 5 3 100 2 2" xfId="19839"/>
    <cellStyle name="Обычный 5 3 100 2 2 2" xfId="51883"/>
    <cellStyle name="Обычный 5 3 100 2 3" xfId="30520"/>
    <cellStyle name="Обычный 5 3 100 2 3 2" xfId="62563"/>
    <cellStyle name="Обычный 5 3 100 2 4" xfId="41203"/>
    <cellStyle name="Обычный 5 3 100 3" xfId="14499"/>
    <cellStyle name="Обычный 5 3 100 3 2" xfId="46543"/>
    <cellStyle name="Обычный 5 3 100 4" xfId="25180"/>
    <cellStyle name="Обычный 5 3 100 4 2" xfId="57223"/>
    <cellStyle name="Обычный 5 3 100 5" xfId="35863"/>
    <cellStyle name="Обычный 5 3 101" xfId="3850"/>
    <cellStyle name="Обычный 5 3 101 2" xfId="9191"/>
    <cellStyle name="Обычный 5 3 101 2 2" xfId="19871"/>
    <cellStyle name="Обычный 5 3 101 2 2 2" xfId="51915"/>
    <cellStyle name="Обычный 5 3 101 2 3" xfId="30552"/>
    <cellStyle name="Обычный 5 3 101 2 3 2" xfId="62595"/>
    <cellStyle name="Обычный 5 3 101 2 4" xfId="41235"/>
    <cellStyle name="Обычный 5 3 101 3" xfId="14531"/>
    <cellStyle name="Обычный 5 3 101 3 2" xfId="46575"/>
    <cellStyle name="Обычный 5 3 101 4" xfId="25212"/>
    <cellStyle name="Обычный 5 3 101 4 2" xfId="57255"/>
    <cellStyle name="Обычный 5 3 101 5" xfId="35895"/>
    <cellStyle name="Обычный 5 3 102" xfId="3882"/>
    <cellStyle name="Обычный 5 3 102 2" xfId="9223"/>
    <cellStyle name="Обычный 5 3 102 2 2" xfId="19903"/>
    <cellStyle name="Обычный 5 3 102 2 2 2" xfId="51947"/>
    <cellStyle name="Обычный 5 3 102 2 3" xfId="30584"/>
    <cellStyle name="Обычный 5 3 102 2 3 2" xfId="62627"/>
    <cellStyle name="Обычный 5 3 102 2 4" xfId="41267"/>
    <cellStyle name="Обычный 5 3 102 3" xfId="14563"/>
    <cellStyle name="Обычный 5 3 102 3 2" xfId="46607"/>
    <cellStyle name="Обычный 5 3 102 4" xfId="25244"/>
    <cellStyle name="Обычный 5 3 102 4 2" xfId="57287"/>
    <cellStyle name="Обычный 5 3 102 5" xfId="35927"/>
    <cellStyle name="Обычный 5 3 103" xfId="3914"/>
    <cellStyle name="Обычный 5 3 103 2" xfId="9255"/>
    <cellStyle name="Обычный 5 3 103 2 2" xfId="19935"/>
    <cellStyle name="Обычный 5 3 103 2 2 2" xfId="51979"/>
    <cellStyle name="Обычный 5 3 103 2 3" xfId="30616"/>
    <cellStyle name="Обычный 5 3 103 2 3 2" xfId="62659"/>
    <cellStyle name="Обычный 5 3 103 2 4" xfId="41299"/>
    <cellStyle name="Обычный 5 3 103 3" xfId="14595"/>
    <cellStyle name="Обычный 5 3 103 3 2" xfId="46639"/>
    <cellStyle name="Обычный 5 3 103 4" xfId="25276"/>
    <cellStyle name="Обычный 5 3 103 4 2" xfId="57319"/>
    <cellStyle name="Обычный 5 3 103 5" xfId="35959"/>
    <cellStyle name="Обычный 5 3 104" xfId="3946"/>
    <cellStyle name="Обычный 5 3 104 2" xfId="9287"/>
    <cellStyle name="Обычный 5 3 104 2 2" xfId="19967"/>
    <cellStyle name="Обычный 5 3 104 2 2 2" xfId="52011"/>
    <cellStyle name="Обычный 5 3 104 2 3" xfId="30648"/>
    <cellStyle name="Обычный 5 3 104 2 3 2" xfId="62691"/>
    <cellStyle name="Обычный 5 3 104 2 4" xfId="41331"/>
    <cellStyle name="Обычный 5 3 104 3" xfId="14627"/>
    <cellStyle name="Обычный 5 3 104 3 2" xfId="46671"/>
    <cellStyle name="Обычный 5 3 104 4" xfId="25308"/>
    <cellStyle name="Обычный 5 3 104 4 2" xfId="57351"/>
    <cellStyle name="Обычный 5 3 104 5" xfId="35991"/>
    <cellStyle name="Обычный 5 3 105" xfId="3978"/>
    <cellStyle name="Обычный 5 3 105 2" xfId="9319"/>
    <cellStyle name="Обычный 5 3 105 2 2" xfId="19999"/>
    <cellStyle name="Обычный 5 3 105 2 2 2" xfId="52043"/>
    <cellStyle name="Обычный 5 3 105 2 3" xfId="30680"/>
    <cellStyle name="Обычный 5 3 105 2 3 2" xfId="62723"/>
    <cellStyle name="Обычный 5 3 105 2 4" xfId="41363"/>
    <cellStyle name="Обычный 5 3 105 3" xfId="14659"/>
    <cellStyle name="Обычный 5 3 105 3 2" xfId="46703"/>
    <cellStyle name="Обычный 5 3 105 4" xfId="25340"/>
    <cellStyle name="Обычный 5 3 105 4 2" xfId="57383"/>
    <cellStyle name="Обычный 5 3 105 5" xfId="36023"/>
    <cellStyle name="Обычный 5 3 106" xfId="4010"/>
    <cellStyle name="Обычный 5 3 106 2" xfId="9351"/>
    <cellStyle name="Обычный 5 3 106 2 2" xfId="20031"/>
    <cellStyle name="Обычный 5 3 106 2 2 2" xfId="52075"/>
    <cellStyle name="Обычный 5 3 106 2 3" xfId="30712"/>
    <cellStyle name="Обычный 5 3 106 2 3 2" xfId="62755"/>
    <cellStyle name="Обычный 5 3 106 2 4" xfId="41395"/>
    <cellStyle name="Обычный 5 3 106 3" xfId="14691"/>
    <cellStyle name="Обычный 5 3 106 3 2" xfId="46735"/>
    <cellStyle name="Обычный 5 3 106 4" xfId="25372"/>
    <cellStyle name="Обычный 5 3 106 4 2" xfId="57415"/>
    <cellStyle name="Обычный 5 3 106 5" xfId="36055"/>
    <cellStyle name="Обычный 5 3 107" xfId="4042"/>
    <cellStyle name="Обычный 5 3 107 2" xfId="9383"/>
    <cellStyle name="Обычный 5 3 107 2 2" xfId="20063"/>
    <cellStyle name="Обычный 5 3 107 2 2 2" xfId="52107"/>
    <cellStyle name="Обычный 5 3 107 2 3" xfId="30744"/>
    <cellStyle name="Обычный 5 3 107 2 3 2" xfId="62787"/>
    <cellStyle name="Обычный 5 3 107 2 4" xfId="41427"/>
    <cellStyle name="Обычный 5 3 107 3" xfId="14723"/>
    <cellStyle name="Обычный 5 3 107 3 2" xfId="46767"/>
    <cellStyle name="Обычный 5 3 107 4" xfId="25404"/>
    <cellStyle name="Обычный 5 3 107 4 2" xfId="57447"/>
    <cellStyle name="Обычный 5 3 107 5" xfId="36087"/>
    <cellStyle name="Обычный 5 3 108" xfId="4074"/>
    <cellStyle name="Обычный 5 3 108 2" xfId="9415"/>
    <cellStyle name="Обычный 5 3 108 2 2" xfId="20095"/>
    <cellStyle name="Обычный 5 3 108 2 2 2" xfId="52139"/>
    <cellStyle name="Обычный 5 3 108 2 3" xfId="30776"/>
    <cellStyle name="Обычный 5 3 108 2 3 2" xfId="62819"/>
    <cellStyle name="Обычный 5 3 108 2 4" xfId="41459"/>
    <cellStyle name="Обычный 5 3 108 3" xfId="14755"/>
    <cellStyle name="Обычный 5 3 108 3 2" xfId="46799"/>
    <cellStyle name="Обычный 5 3 108 4" xfId="25436"/>
    <cellStyle name="Обычный 5 3 108 4 2" xfId="57479"/>
    <cellStyle name="Обычный 5 3 108 5" xfId="36119"/>
    <cellStyle name="Обычный 5 3 109" xfId="4106"/>
    <cellStyle name="Обычный 5 3 109 2" xfId="9447"/>
    <cellStyle name="Обычный 5 3 109 2 2" xfId="20127"/>
    <cellStyle name="Обычный 5 3 109 2 2 2" xfId="52171"/>
    <cellStyle name="Обычный 5 3 109 2 3" xfId="30808"/>
    <cellStyle name="Обычный 5 3 109 2 3 2" xfId="62851"/>
    <cellStyle name="Обычный 5 3 109 2 4" xfId="41491"/>
    <cellStyle name="Обычный 5 3 109 3" xfId="14787"/>
    <cellStyle name="Обычный 5 3 109 3 2" xfId="46831"/>
    <cellStyle name="Обычный 5 3 109 4" xfId="25468"/>
    <cellStyle name="Обычный 5 3 109 4 2" xfId="57511"/>
    <cellStyle name="Обычный 5 3 109 5" xfId="36151"/>
    <cellStyle name="Обычный 5 3 11" xfId="1184"/>
    <cellStyle name="Обычный 5 3 11 2" xfId="6527"/>
    <cellStyle name="Обычный 5 3 11 2 2" xfId="17207"/>
    <cellStyle name="Обычный 5 3 11 2 2 2" xfId="49251"/>
    <cellStyle name="Обычный 5 3 11 2 3" xfId="27888"/>
    <cellStyle name="Обычный 5 3 11 2 3 2" xfId="59931"/>
    <cellStyle name="Обычный 5 3 11 2 4" xfId="38571"/>
    <cellStyle name="Обычный 5 3 11 3" xfId="11867"/>
    <cellStyle name="Обычный 5 3 11 3 2" xfId="43911"/>
    <cellStyle name="Обычный 5 3 11 4" xfId="22548"/>
    <cellStyle name="Обычный 5 3 11 4 2" xfId="54591"/>
    <cellStyle name="Обычный 5 3 11 5" xfId="33231"/>
    <cellStyle name="Обычный 5 3 110" xfId="4138"/>
    <cellStyle name="Обычный 5 3 110 2" xfId="9479"/>
    <cellStyle name="Обычный 5 3 110 2 2" xfId="20159"/>
    <cellStyle name="Обычный 5 3 110 2 2 2" xfId="52203"/>
    <cellStyle name="Обычный 5 3 110 2 3" xfId="30840"/>
    <cellStyle name="Обычный 5 3 110 2 3 2" xfId="62883"/>
    <cellStyle name="Обычный 5 3 110 2 4" xfId="41523"/>
    <cellStyle name="Обычный 5 3 110 3" xfId="14819"/>
    <cellStyle name="Обычный 5 3 110 3 2" xfId="46863"/>
    <cellStyle name="Обычный 5 3 110 4" xfId="25500"/>
    <cellStyle name="Обычный 5 3 110 4 2" xfId="57543"/>
    <cellStyle name="Обычный 5 3 110 5" xfId="36183"/>
    <cellStyle name="Обычный 5 3 111" xfId="4170"/>
    <cellStyle name="Обычный 5 3 111 2" xfId="9511"/>
    <cellStyle name="Обычный 5 3 111 2 2" xfId="20191"/>
    <cellStyle name="Обычный 5 3 111 2 2 2" xfId="52235"/>
    <cellStyle name="Обычный 5 3 111 2 3" xfId="30872"/>
    <cellStyle name="Обычный 5 3 111 2 3 2" xfId="62915"/>
    <cellStyle name="Обычный 5 3 111 2 4" xfId="41555"/>
    <cellStyle name="Обычный 5 3 111 3" xfId="14851"/>
    <cellStyle name="Обычный 5 3 111 3 2" xfId="46895"/>
    <cellStyle name="Обычный 5 3 111 4" xfId="25532"/>
    <cellStyle name="Обычный 5 3 111 4 2" xfId="57575"/>
    <cellStyle name="Обычный 5 3 111 5" xfId="36215"/>
    <cellStyle name="Обычный 5 3 112" xfId="4202"/>
    <cellStyle name="Обычный 5 3 112 2" xfId="9543"/>
    <cellStyle name="Обычный 5 3 112 2 2" xfId="20223"/>
    <cellStyle name="Обычный 5 3 112 2 2 2" xfId="52267"/>
    <cellStyle name="Обычный 5 3 112 2 3" xfId="30904"/>
    <cellStyle name="Обычный 5 3 112 2 3 2" xfId="62947"/>
    <cellStyle name="Обычный 5 3 112 2 4" xfId="41587"/>
    <cellStyle name="Обычный 5 3 112 3" xfId="14883"/>
    <cellStyle name="Обычный 5 3 112 3 2" xfId="46927"/>
    <cellStyle name="Обычный 5 3 112 4" xfId="25564"/>
    <cellStyle name="Обычный 5 3 112 4 2" xfId="57607"/>
    <cellStyle name="Обычный 5 3 112 5" xfId="36247"/>
    <cellStyle name="Обычный 5 3 113" xfId="4234"/>
    <cellStyle name="Обычный 5 3 113 2" xfId="9575"/>
    <cellStyle name="Обычный 5 3 113 2 2" xfId="20255"/>
    <cellStyle name="Обычный 5 3 113 2 2 2" xfId="52299"/>
    <cellStyle name="Обычный 5 3 113 2 3" xfId="30936"/>
    <cellStyle name="Обычный 5 3 113 2 3 2" xfId="62979"/>
    <cellStyle name="Обычный 5 3 113 2 4" xfId="41619"/>
    <cellStyle name="Обычный 5 3 113 3" xfId="14915"/>
    <cellStyle name="Обычный 5 3 113 3 2" xfId="46959"/>
    <cellStyle name="Обычный 5 3 113 4" xfId="25596"/>
    <cellStyle name="Обычный 5 3 113 4 2" xfId="57639"/>
    <cellStyle name="Обычный 5 3 113 5" xfId="36279"/>
    <cellStyle name="Обычный 5 3 114" xfId="4266"/>
    <cellStyle name="Обычный 5 3 114 2" xfId="9607"/>
    <cellStyle name="Обычный 5 3 114 2 2" xfId="20287"/>
    <cellStyle name="Обычный 5 3 114 2 2 2" xfId="52331"/>
    <cellStyle name="Обычный 5 3 114 2 3" xfId="30968"/>
    <cellStyle name="Обычный 5 3 114 2 3 2" xfId="63011"/>
    <cellStyle name="Обычный 5 3 114 2 4" xfId="41651"/>
    <cellStyle name="Обычный 5 3 114 3" xfId="14947"/>
    <cellStyle name="Обычный 5 3 114 3 2" xfId="46991"/>
    <cellStyle name="Обычный 5 3 114 4" xfId="25628"/>
    <cellStyle name="Обычный 5 3 114 4 2" xfId="57671"/>
    <cellStyle name="Обычный 5 3 114 5" xfId="36311"/>
    <cellStyle name="Обычный 5 3 115" xfId="4298"/>
    <cellStyle name="Обычный 5 3 115 2" xfId="9639"/>
    <cellStyle name="Обычный 5 3 115 2 2" xfId="20319"/>
    <cellStyle name="Обычный 5 3 115 2 2 2" xfId="52363"/>
    <cellStyle name="Обычный 5 3 115 2 3" xfId="31000"/>
    <cellStyle name="Обычный 5 3 115 2 3 2" xfId="63043"/>
    <cellStyle name="Обычный 5 3 115 2 4" xfId="41683"/>
    <cellStyle name="Обычный 5 3 115 3" xfId="14979"/>
    <cellStyle name="Обычный 5 3 115 3 2" xfId="47023"/>
    <cellStyle name="Обычный 5 3 115 4" xfId="25660"/>
    <cellStyle name="Обычный 5 3 115 4 2" xfId="57703"/>
    <cellStyle name="Обычный 5 3 115 5" xfId="36343"/>
    <cellStyle name="Обычный 5 3 116" xfId="4330"/>
    <cellStyle name="Обычный 5 3 116 2" xfId="9671"/>
    <cellStyle name="Обычный 5 3 116 2 2" xfId="20351"/>
    <cellStyle name="Обычный 5 3 116 2 2 2" xfId="52395"/>
    <cellStyle name="Обычный 5 3 116 2 3" xfId="31032"/>
    <cellStyle name="Обычный 5 3 116 2 3 2" xfId="63075"/>
    <cellStyle name="Обычный 5 3 116 2 4" xfId="41715"/>
    <cellStyle name="Обычный 5 3 116 3" xfId="15011"/>
    <cellStyle name="Обычный 5 3 116 3 2" xfId="47055"/>
    <cellStyle name="Обычный 5 3 116 4" xfId="25692"/>
    <cellStyle name="Обычный 5 3 116 4 2" xfId="57735"/>
    <cellStyle name="Обычный 5 3 116 5" xfId="36375"/>
    <cellStyle name="Обычный 5 3 117" xfId="4362"/>
    <cellStyle name="Обычный 5 3 117 2" xfId="9703"/>
    <cellStyle name="Обычный 5 3 117 2 2" xfId="20383"/>
    <cellStyle name="Обычный 5 3 117 2 2 2" xfId="52427"/>
    <cellStyle name="Обычный 5 3 117 2 3" xfId="31064"/>
    <cellStyle name="Обычный 5 3 117 2 3 2" xfId="63107"/>
    <cellStyle name="Обычный 5 3 117 2 4" xfId="41747"/>
    <cellStyle name="Обычный 5 3 117 3" xfId="15043"/>
    <cellStyle name="Обычный 5 3 117 3 2" xfId="47087"/>
    <cellStyle name="Обычный 5 3 117 4" xfId="25724"/>
    <cellStyle name="Обычный 5 3 117 4 2" xfId="57767"/>
    <cellStyle name="Обычный 5 3 117 5" xfId="36407"/>
    <cellStyle name="Обычный 5 3 118" xfId="4394"/>
    <cellStyle name="Обычный 5 3 118 2" xfId="9735"/>
    <cellStyle name="Обычный 5 3 118 2 2" xfId="20415"/>
    <cellStyle name="Обычный 5 3 118 2 2 2" xfId="52459"/>
    <cellStyle name="Обычный 5 3 118 2 3" xfId="31096"/>
    <cellStyle name="Обычный 5 3 118 2 3 2" xfId="63139"/>
    <cellStyle name="Обычный 5 3 118 2 4" xfId="41779"/>
    <cellStyle name="Обычный 5 3 118 3" xfId="15075"/>
    <cellStyle name="Обычный 5 3 118 3 2" xfId="47119"/>
    <cellStyle name="Обычный 5 3 118 4" xfId="25756"/>
    <cellStyle name="Обычный 5 3 118 4 2" xfId="57799"/>
    <cellStyle name="Обычный 5 3 118 5" xfId="36439"/>
    <cellStyle name="Обычный 5 3 119" xfId="4426"/>
    <cellStyle name="Обычный 5 3 119 2" xfId="9767"/>
    <cellStyle name="Обычный 5 3 119 2 2" xfId="20447"/>
    <cellStyle name="Обычный 5 3 119 2 2 2" xfId="52491"/>
    <cellStyle name="Обычный 5 3 119 2 3" xfId="31128"/>
    <cellStyle name="Обычный 5 3 119 2 3 2" xfId="63171"/>
    <cellStyle name="Обычный 5 3 119 2 4" xfId="41811"/>
    <cellStyle name="Обычный 5 3 119 3" xfId="15107"/>
    <cellStyle name="Обычный 5 3 119 3 2" xfId="47151"/>
    <cellStyle name="Обычный 5 3 119 4" xfId="25788"/>
    <cellStyle name="Обычный 5 3 119 4 2" xfId="57831"/>
    <cellStyle name="Обычный 5 3 119 5" xfId="36471"/>
    <cellStyle name="Обычный 5 3 12" xfId="1210"/>
    <cellStyle name="Обычный 5 3 12 2" xfId="6553"/>
    <cellStyle name="Обычный 5 3 12 2 2" xfId="17233"/>
    <cellStyle name="Обычный 5 3 12 2 2 2" xfId="49277"/>
    <cellStyle name="Обычный 5 3 12 2 3" xfId="27914"/>
    <cellStyle name="Обычный 5 3 12 2 3 2" xfId="59957"/>
    <cellStyle name="Обычный 5 3 12 2 4" xfId="38597"/>
    <cellStyle name="Обычный 5 3 12 3" xfId="11893"/>
    <cellStyle name="Обычный 5 3 12 3 2" xfId="43937"/>
    <cellStyle name="Обычный 5 3 12 4" xfId="22574"/>
    <cellStyle name="Обычный 5 3 12 4 2" xfId="54617"/>
    <cellStyle name="Обычный 5 3 12 5" xfId="33257"/>
    <cellStyle name="Обычный 5 3 120" xfId="4458"/>
    <cellStyle name="Обычный 5 3 120 2" xfId="9799"/>
    <cellStyle name="Обычный 5 3 120 2 2" xfId="20479"/>
    <cellStyle name="Обычный 5 3 120 2 2 2" xfId="52523"/>
    <cellStyle name="Обычный 5 3 120 2 3" xfId="31160"/>
    <cellStyle name="Обычный 5 3 120 2 3 2" xfId="63203"/>
    <cellStyle name="Обычный 5 3 120 2 4" xfId="41843"/>
    <cellStyle name="Обычный 5 3 120 3" xfId="15139"/>
    <cellStyle name="Обычный 5 3 120 3 2" xfId="47183"/>
    <cellStyle name="Обычный 5 3 120 4" xfId="25820"/>
    <cellStyle name="Обычный 5 3 120 4 2" xfId="57863"/>
    <cellStyle name="Обычный 5 3 120 5" xfId="36503"/>
    <cellStyle name="Обычный 5 3 121" xfId="4490"/>
    <cellStyle name="Обычный 5 3 121 2" xfId="9831"/>
    <cellStyle name="Обычный 5 3 121 2 2" xfId="20511"/>
    <cellStyle name="Обычный 5 3 121 2 2 2" xfId="52555"/>
    <cellStyle name="Обычный 5 3 121 2 3" xfId="31192"/>
    <cellStyle name="Обычный 5 3 121 2 3 2" xfId="63235"/>
    <cellStyle name="Обычный 5 3 121 2 4" xfId="41875"/>
    <cellStyle name="Обычный 5 3 121 3" xfId="15171"/>
    <cellStyle name="Обычный 5 3 121 3 2" xfId="47215"/>
    <cellStyle name="Обычный 5 3 121 4" xfId="25852"/>
    <cellStyle name="Обычный 5 3 121 4 2" xfId="57895"/>
    <cellStyle name="Обычный 5 3 121 5" xfId="36535"/>
    <cellStyle name="Обычный 5 3 122" xfId="4522"/>
    <cellStyle name="Обычный 5 3 122 2" xfId="9863"/>
    <cellStyle name="Обычный 5 3 122 2 2" xfId="20543"/>
    <cellStyle name="Обычный 5 3 122 2 2 2" xfId="52587"/>
    <cellStyle name="Обычный 5 3 122 2 3" xfId="31224"/>
    <cellStyle name="Обычный 5 3 122 2 3 2" xfId="63267"/>
    <cellStyle name="Обычный 5 3 122 2 4" xfId="41907"/>
    <cellStyle name="Обычный 5 3 122 3" xfId="15203"/>
    <cellStyle name="Обычный 5 3 122 3 2" xfId="47247"/>
    <cellStyle name="Обычный 5 3 122 4" xfId="25884"/>
    <cellStyle name="Обычный 5 3 122 4 2" xfId="57927"/>
    <cellStyle name="Обычный 5 3 122 5" xfId="36567"/>
    <cellStyle name="Обычный 5 3 123" xfId="4554"/>
    <cellStyle name="Обычный 5 3 123 2" xfId="9895"/>
    <cellStyle name="Обычный 5 3 123 2 2" xfId="20575"/>
    <cellStyle name="Обычный 5 3 123 2 2 2" xfId="52619"/>
    <cellStyle name="Обычный 5 3 123 2 3" xfId="31256"/>
    <cellStyle name="Обычный 5 3 123 2 3 2" xfId="63299"/>
    <cellStyle name="Обычный 5 3 123 2 4" xfId="41939"/>
    <cellStyle name="Обычный 5 3 123 3" xfId="15235"/>
    <cellStyle name="Обычный 5 3 123 3 2" xfId="47279"/>
    <cellStyle name="Обычный 5 3 123 4" xfId="25916"/>
    <cellStyle name="Обычный 5 3 123 4 2" xfId="57959"/>
    <cellStyle name="Обычный 5 3 123 5" xfId="36599"/>
    <cellStyle name="Обычный 5 3 124" xfId="4586"/>
    <cellStyle name="Обычный 5 3 124 2" xfId="9927"/>
    <cellStyle name="Обычный 5 3 124 2 2" xfId="20607"/>
    <cellStyle name="Обычный 5 3 124 2 2 2" xfId="52651"/>
    <cellStyle name="Обычный 5 3 124 2 3" xfId="31288"/>
    <cellStyle name="Обычный 5 3 124 2 3 2" xfId="63331"/>
    <cellStyle name="Обычный 5 3 124 2 4" xfId="41971"/>
    <cellStyle name="Обычный 5 3 124 3" xfId="15267"/>
    <cellStyle name="Обычный 5 3 124 3 2" xfId="47311"/>
    <cellStyle name="Обычный 5 3 124 4" xfId="25948"/>
    <cellStyle name="Обычный 5 3 124 4 2" xfId="57991"/>
    <cellStyle name="Обычный 5 3 124 5" xfId="36631"/>
    <cellStyle name="Обычный 5 3 125" xfId="4618"/>
    <cellStyle name="Обычный 5 3 125 2" xfId="9959"/>
    <cellStyle name="Обычный 5 3 125 2 2" xfId="20639"/>
    <cellStyle name="Обычный 5 3 125 2 2 2" xfId="52683"/>
    <cellStyle name="Обычный 5 3 125 2 3" xfId="31320"/>
    <cellStyle name="Обычный 5 3 125 2 3 2" xfId="63363"/>
    <cellStyle name="Обычный 5 3 125 2 4" xfId="42003"/>
    <cellStyle name="Обычный 5 3 125 3" xfId="15299"/>
    <cellStyle name="Обычный 5 3 125 3 2" xfId="47343"/>
    <cellStyle name="Обычный 5 3 125 4" xfId="25980"/>
    <cellStyle name="Обычный 5 3 125 4 2" xfId="58023"/>
    <cellStyle name="Обычный 5 3 125 5" xfId="36663"/>
    <cellStyle name="Обычный 5 3 126" xfId="4650"/>
    <cellStyle name="Обычный 5 3 126 2" xfId="9991"/>
    <cellStyle name="Обычный 5 3 126 2 2" xfId="20671"/>
    <cellStyle name="Обычный 5 3 126 2 2 2" xfId="52715"/>
    <cellStyle name="Обычный 5 3 126 2 3" xfId="31352"/>
    <cellStyle name="Обычный 5 3 126 2 3 2" xfId="63395"/>
    <cellStyle name="Обычный 5 3 126 2 4" xfId="42035"/>
    <cellStyle name="Обычный 5 3 126 3" xfId="15331"/>
    <cellStyle name="Обычный 5 3 126 3 2" xfId="47375"/>
    <cellStyle name="Обычный 5 3 126 4" xfId="26012"/>
    <cellStyle name="Обычный 5 3 126 4 2" xfId="58055"/>
    <cellStyle name="Обычный 5 3 126 5" xfId="36695"/>
    <cellStyle name="Обычный 5 3 127" xfId="4682"/>
    <cellStyle name="Обычный 5 3 127 2" xfId="10023"/>
    <cellStyle name="Обычный 5 3 127 2 2" xfId="20703"/>
    <cellStyle name="Обычный 5 3 127 2 2 2" xfId="52747"/>
    <cellStyle name="Обычный 5 3 127 2 3" xfId="31384"/>
    <cellStyle name="Обычный 5 3 127 2 3 2" xfId="63427"/>
    <cellStyle name="Обычный 5 3 127 2 4" xfId="42067"/>
    <cellStyle name="Обычный 5 3 127 3" xfId="15363"/>
    <cellStyle name="Обычный 5 3 127 3 2" xfId="47407"/>
    <cellStyle name="Обычный 5 3 127 4" xfId="26044"/>
    <cellStyle name="Обычный 5 3 127 4 2" xfId="58087"/>
    <cellStyle name="Обычный 5 3 127 5" xfId="36727"/>
    <cellStyle name="Обычный 5 3 128" xfId="4716"/>
    <cellStyle name="Обычный 5 3 128 2" xfId="10057"/>
    <cellStyle name="Обычный 5 3 128 2 2" xfId="20737"/>
    <cellStyle name="Обычный 5 3 128 2 2 2" xfId="52781"/>
    <cellStyle name="Обычный 5 3 128 2 3" xfId="31418"/>
    <cellStyle name="Обычный 5 3 128 2 3 2" xfId="63461"/>
    <cellStyle name="Обычный 5 3 128 2 4" xfId="42101"/>
    <cellStyle name="Обычный 5 3 128 3" xfId="15397"/>
    <cellStyle name="Обычный 5 3 128 3 2" xfId="47441"/>
    <cellStyle name="Обычный 5 3 128 4" xfId="26078"/>
    <cellStyle name="Обычный 5 3 128 4 2" xfId="58121"/>
    <cellStyle name="Обычный 5 3 128 5" xfId="36761"/>
    <cellStyle name="Обычный 5 3 129" xfId="4748"/>
    <cellStyle name="Обычный 5 3 129 2" xfId="10089"/>
    <cellStyle name="Обычный 5 3 129 2 2" xfId="20769"/>
    <cellStyle name="Обычный 5 3 129 2 2 2" xfId="52813"/>
    <cellStyle name="Обычный 5 3 129 2 3" xfId="31450"/>
    <cellStyle name="Обычный 5 3 129 2 3 2" xfId="63493"/>
    <cellStyle name="Обычный 5 3 129 2 4" xfId="42133"/>
    <cellStyle name="Обычный 5 3 129 3" xfId="15429"/>
    <cellStyle name="Обычный 5 3 129 3 2" xfId="47473"/>
    <cellStyle name="Обычный 5 3 129 4" xfId="26110"/>
    <cellStyle name="Обычный 5 3 129 4 2" xfId="58153"/>
    <cellStyle name="Обычный 5 3 129 5" xfId="36793"/>
    <cellStyle name="Обычный 5 3 13" xfId="1236"/>
    <cellStyle name="Обычный 5 3 13 2" xfId="6579"/>
    <cellStyle name="Обычный 5 3 13 2 2" xfId="17259"/>
    <cellStyle name="Обычный 5 3 13 2 2 2" xfId="49303"/>
    <cellStyle name="Обычный 5 3 13 2 3" xfId="27940"/>
    <cellStyle name="Обычный 5 3 13 2 3 2" xfId="59983"/>
    <cellStyle name="Обычный 5 3 13 2 4" xfId="38623"/>
    <cellStyle name="Обычный 5 3 13 3" xfId="11919"/>
    <cellStyle name="Обычный 5 3 13 3 2" xfId="43963"/>
    <cellStyle name="Обычный 5 3 13 4" xfId="22600"/>
    <cellStyle name="Обычный 5 3 13 4 2" xfId="54643"/>
    <cellStyle name="Обычный 5 3 13 5" xfId="33283"/>
    <cellStyle name="Обычный 5 3 130" xfId="4780"/>
    <cellStyle name="Обычный 5 3 130 2" xfId="10121"/>
    <cellStyle name="Обычный 5 3 130 2 2" xfId="20801"/>
    <cellStyle name="Обычный 5 3 130 2 2 2" xfId="52845"/>
    <cellStyle name="Обычный 5 3 130 2 3" xfId="31482"/>
    <cellStyle name="Обычный 5 3 130 2 3 2" xfId="63525"/>
    <cellStyle name="Обычный 5 3 130 2 4" xfId="42165"/>
    <cellStyle name="Обычный 5 3 130 3" xfId="15461"/>
    <cellStyle name="Обычный 5 3 130 3 2" xfId="47505"/>
    <cellStyle name="Обычный 5 3 130 4" xfId="26142"/>
    <cellStyle name="Обычный 5 3 130 4 2" xfId="58185"/>
    <cellStyle name="Обычный 5 3 130 5" xfId="36825"/>
    <cellStyle name="Обычный 5 3 131" xfId="4812"/>
    <cellStyle name="Обычный 5 3 131 2" xfId="10153"/>
    <cellStyle name="Обычный 5 3 131 2 2" xfId="20833"/>
    <cellStyle name="Обычный 5 3 131 2 2 2" xfId="52877"/>
    <cellStyle name="Обычный 5 3 131 2 3" xfId="31514"/>
    <cellStyle name="Обычный 5 3 131 2 3 2" xfId="63557"/>
    <cellStyle name="Обычный 5 3 131 2 4" xfId="42197"/>
    <cellStyle name="Обычный 5 3 131 3" xfId="15493"/>
    <cellStyle name="Обычный 5 3 131 3 2" xfId="47537"/>
    <cellStyle name="Обычный 5 3 131 4" xfId="26174"/>
    <cellStyle name="Обычный 5 3 131 4 2" xfId="58217"/>
    <cellStyle name="Обычный 5 3 131 5" xfId="36857"/>
    <cellStyle name="Обычный 5 3 132" xfId="4844"/>
    <cellStyle name="Обычный 5 3 132 2" xfId="10185"/>
    <cellStyle name="Обычный 5 3 132 2 2" xfId="20865"/>
    <cellStyle name="Обычный 5 3 132 2 2 2" xfId="52909"/>
    <cellStyle name="Обычный 5 3 132 2 3" xfId="31546"/>
    <cellStyle name="Обычный 5 3 132 2 3 2" xfId="63589"/>
    <cellStyle name="Обычный 5 3 132 2 4" xfId="42229"/>
    <cellStyle name="Обычный 5 3 132 3" xfId="15525"/>
    <cellStyle name="Обычный 5 3 132 3 2" xfId="47569"/>
    <cellStyle name="Обычный 5 3 132 4" xfId="26206"/>
    <cellStyle name="Обычный 5 3 132 4 2" xfId="58249"/>
    <cellStyle name="Обычный 5 3 132 5" xfId="36889"/>
    <cellStyle name="Обычный 5 3 133" xfId="4876"/>
    <cellStyle name="Обычный 5 3 133 2" xfId="10217"/>
    <cellStyle name="Обычный 5 3 133 2 2" xfId="20897"/>
    <cellStyle name="Обычный 5 3 133 2 2 2" xfId="52941"/>
    <cellStyle name="Обычный 5 3 133 2 3" xfId="31578"/>
    <cellStyle name="Обычный 5 3 133 2 3 2" xfId="63621"/>
    <cellStyle name="Обычный 5 3 133 2 4" xfId="42261"/>
    <cellStyle name="Обычный 5 3 133 3" xfId="15557"/>
    <cellStyle name="Обычный 5 3 133 3 2" xfId="47601"/>
    <cellStyle name="Обычный 5 3 133 4" xfId="26238"/>
    <cellStyle name="Обычный 5 3 133 4 2" xfId="58281"/>
    <cellStyle name="Обычный 5 3 133 5" xfId="36921"/>
    <cellStyle name="Обычный 5 3 134" xfId="4908"/>
    <cellStyle name="Обычный 5 3 134 2" xfId="10249"/>
    <cellStyle name="Обычный 5 3 134 2 2" xfId="20929"/>
    <cellStyle name="Обычный 5 3 134 2 2 2" xfId="52973"/>
    <cellStyle name="Обычный 5 3 134 2 3" xfId="31610"/>
    <cellStyle name="Обычный 5 3 134 2 3 2" xfId="63653"/>
    <cellStyle name="Обычный 5 3 134 2 4" xfId="42293"/>
    <cellStyle name="Обычный 5 3 134 3" xfId="15589"/>
    <cellStyle name="Обычный 5 3 134 3 2" xfId="47633"/>
    <cellStyle name="Обычный 5 3 134 4" xfId="26270"/>
    <cellStyle name="Обычный 5 3 134 4 2" xfId="58313"/>
    <cellStyle name="Обычный 5 3 134 5" xfId="36953"/>
    <cellStyle name="Обычный 5 3 135" xfId="4940"/>
    <cellStyle name="Обычный 5 3 135 2" xfId="10281"/>
    <cellStyle name="Обычный 5 3 135 2 2" xfId="20961"/>
    <cellStyle name="Обычный 5 3 135 2 2 2" xfId="53005"/>
    <cellStyle name="Обычный 5 3 135 2 3" xfId="31642"/>
    <cellStyle name="Обычный 5 3 135 2 3 2" xfId="63685"/>
    <cellStyle name="Обычный 5 3 135 2 4" xfId="42325"/>
    <cellStyle name="Обычный 5 3 135 3" xfId="15621"/>
    <cellStyle name="Обычный 5 3 135 3 2" xfId="47665"/>
    <cellStyle name="Обычный 5 3 135 4" xfId="26302"/>
    <cellStyle name="Обычный 5 3 135 4 2" xfId="58345"/>
    <cellStyle name="Обычный 5 3 135 5" xfId="36985"/>
    <cellStyle name="Обычный 5 3 136" xfId="4972"/>
    <cellStyle name="Обычный 5 3 136 2" xfId="10313"/>
    <cellStyle name="Обычный 5 3 136 2 2" xfId="20993"/>
    <cellStyle name="Обычный 5 3 136 2 2 2" xfId="53037"/>
    <cellStyle name="Обычный 5 3 136 2 3" xfId="31674"/>
    <cellStyle name="Обычный 5 3 136 2 3 2" xfId="63717"/>
    <cellStyle name="Обычный 5 3 136 2 4" xfId="42357"/>
    <cellStyle name="Обычный 5 3 136 3" xfId="15653"/>
    <cellStyle name="Обычный 5 3 136 3 2" xfId="47697"/>
    <cellStyle name="Обычный 5 3 136 4" xfId="26334"/>
    <cellStyle name="Обычный 5 3 136 4 2" xfId="58377"/>
    <cellStyle name="Обычный 5 3 136 5" xfId="37017"/>
    <cellStyle name="Обычный 5 3 137" xfId="5004"/>
    <cellStyle name="Обычный 5 3 137 2" xfId="10345"/>
    <cellStyle name="Обычный 5 3 137 2 2" xfId="21025"/>
    <cellStyle name="Обычный 5 3 137 2 2 2" xfId="53069"/>
    <cellStyle name="Обычный 5 3 137 2 3" xfId="31706"/>
    <cellStyle name="Обычный 5 3 137 2 3 2" xfId="63749"/>
    <cellStyle name="Обычный 5 3 137 2 4" xfId="42389"/>
    <cellStyle name="Обычный 5 3 137 3" xfId="15685"/>
    <cellStyle name="Обычный 5 3 137 3 2" xfId="47729"/>
    <cellStyle name="Обычный 5 3 137 4" xfId="26366"/>
    <cellStyle name="Обычный 5 3 137 4 2" xfId="58409"/>
    <cellStyle name="Обычный 5 3 137 5" xfId="37049"/>
    <cellStyle name="Обычный 5 3 138" xfId="5036"/>
    <cellStyle name="Обычный 5 3 138 2" xfId="10377"/>
    <cellStyle name="Обычный 5 3 138 2 2" xfId="21057"/>
    <cellStyle name="Обычный 5 3 138 2 2 2" xfId="53101"/>
    <cellStyle name="Обычный 5 3 138 2 3" xfId="31738"/>
    <cellStyle name="Обычный 5 3 138 2 3 2" xfId="63781"/>
    <cellStyle name="Обычный 5 3 138 2 4" xfId="42421"/>
    <cellStyle name="Обычный 5 3 138 3" xfId="15717"/>
    <cellStyle name="Обычный 5 3 138 3 2" xfId="47761"/>
    <cellStyle name="Обычный 5 3 138 4" xfId="26398"/>
    <cellStyle name="Обычный 5 3 138 4 2" xfId="58441"/>
    <cellStyle name="Обычный 5 3 138 5" xfId="37081"/>
    <cellStyle name="Обычный 5 3 139" xfId="5068"/>
    <cellStyle name="Обычный 5 3 139 2" xfId="10409"/>
    <cellStyle name="Обычный 5 3 139 2 2" xfId="21089"/>
    <cellStyle name="Обычный 5 3 139 2 2 2" xfId="53133"/>
    <cellStyle name="Обычный 5 3 139 2 3" xfId="31770"/>
    <cellStyle name="Обычный 5 3 139 2 3 2" xfId="63813"/>
    <cellStyle name="Обычный 5 3 139 2 4" xfId="42453"/>
    <cellStyle name="Обычный 5 3 139 3" xfId="15749"/>
    <cellStyle name="Обычный 5 3 139 3 2" xfId="47793"/>
    <cellStyle name="Обычный 5 3 139 4" xfId="26430"/>
    <cellStyle name="Обычный 5 3 139 4 2" xfId="58473"/>
    <cellStyle name="Обычный 5 3 139 5" xfId="37113"/>
    <cellStyle name="Обычный 5 3 14" xfId="1262"/>
    <cellStyle name="Обычный 5 3 14 2" xfId="6605"/>
    <cellStyle name="Обычный 5 3 14 2 2" xfId="17285"/>
    <cellStyle name="Обычный 5 3 14 2 2 2" xfId="49329"/>
    <cellStyle name="Обычный 5 3 14 2 3" xfId="27966"/>
    <cellStyle name="Обычный 5 3 14 2 3 2" xfId="60009"/>
    <cellStyle name="Обычный 5 3 14 2 4" xfId="38649"/>
    <cellStyle name="Обычный 5 3 14 3" xfId="11945"/>
    <cellStyle name="Обычный 5 3 14 3 2" xfId="43989"/>
    <cellStyle name="Обычный 5 3 14 4" xfId="22626"/>
    <cellStyle name="Обычный 5 3 14 4 2" xfId="54669"/>
    <cellStyle name="Обычный 5 3 14 5" xfId="33309"/>
    <cellStyle name="Обычный 5 3 140" xfId="5100"/>
    <cellStyle name="Обычный 5 3 140 2" xfId="10441"/>
    <cellStyle name="Обычный 5 3 140 2 2" xfId="21121"/>
    <cellStyle name="Обычный 5 3 140 2 2 2" xfId="53165"/>
    <cellStyle name="Обычный 5 3 140 2 3" xfId="31802"/>
    <cellStyle name="Обычный 5 3 140 2 3 2" xfId="63845"/>
    <cellStyle name="Обычный 5 3 140 2 4" xfId="42485"/>
    <cellStyle name="Обычный 5 3 140 3" xfId="15781"/>
    <cellStyle name="Обычный 5 3 140 3 2" xfId="47825"/>
    <cellStyle name="Обычный 5 3 140 4" xfId="26462"/>
    <cellStyle name="Обычный 5 3 140 4 2" xfId="58505"/>
    <cellStyle name="Обычный 5 3 140 5" xfId="37145"/>
    <cellStyle name="Обычный 5 3 141" xfId="5132"/>
    <cellStyle name="Обычный 5 3 141 2" xfId="10473"/>
    <cellStyle name="Обычный 5 3 141 2 2" xfId="21153"/>
    <cellStyle name="Обычный 5 3 141 2 2 2" xfId="53197"/>
    <cellStyle name="Обычный 5 3 141 2 3" xfId="31834"/>
    <cellStyle name="Обычный 5 3 141 2 3 2" xfId="63877"/>
    <cellStyle name="Обычный 5 3 141 2 4" xfId="42517"/>
    <cellStyle name="Обычный 5 3 141 3" xfId="15813"/>
    <cellStyle name="Обычный 5 3 141 3 2" xfId="47857"/>
    <cellStyle name="Обычный 5 3 141 4" xfId="26494"/>
    <cellStyle name="Обычный 5 3 141 4 2" xfId="58537"/>
    <cellStyle name="Обычный 5 3 141 5" xfId="37177"/>
    <cellStyle name="Обычный 5 3 142" xfId="5164"/>
    <cellStyle name="Обычный 5 3 142 2" xfId="10505"/>
    <cellStyle name="Обычный 5 3 142 2 2" xfId="21185"/>
    <cellStyle name="Обычный 5 3 142 2 2 2" xfId="53229"/>
    <cellStyle name="Обычный 5 3 142 2 3" xfId="31866"/>
    <cellStyle name="Обычный 5 3 142 2 3 2" xfId="63909"/>
    <cellStyle name="Обычный 5 3 142 2 4" xfId="42549"/>
    <cellStyle name="Обычный 5 3 142 3" xfId="15845"/>
    <cellStyle name="Обычный 5 3 142 3 2" xfId="47889"/>
    <cellStyle name="Обычный 5 3 142 4" xfId="26526"/>
    <cellStyle name="Обычный 5 3 142 4 2" xfId="58569"/>
    <cellStyle name="Обычный 5 3 142 5" xfId="37209"/>
    <cellStyle name="Обычный 5 3 143" xfId="5196"/>
    <cellStyle name="Обычный 5 3 143 2" xfId="10537"/>
    <cellStyle name="Обычный 5 3 143 2 2" xfId="21217"/>
    <cellStyle name="Обычный 5 3 143 2 2 2" xfId="53261"/>
    <cellStyle name="Обычный 5 3 143 2 3" xfId="31898"/>
    <cellStyle name="Обычный 5 3 143 2 3 2" xfId="63941"/>
    <cellStyle name="Обычный 5 3 143 2 4" xfId="42581"/>
    <cellStyle name="Обычный 5 3 143 3" xfId="15877"/>
    <cellStyle name="Обычный 5 3 143 3 2" xfId="47921"/>
    <cellStyle name="Обычный 5 3 143 4" xfId="26558"/>
    <cellStyle name="Обычный 5 3 143 4 2" xfId="58601"/>
    <cellStyle name="Обычный 5 3 143 5" xfId="37241"/>
    <cellStyle name="Обычный 5 3 144" xfId="5228"/>
    <cellStyle name="Обычный 5 3 144 2" xfId="10569"/>
    <cellStyle name="Обычный 5 3 144 2 2" xfId="21249"/>
    <cellStyle name="Обычный 5 3 144 2 2 2" xfId="53293"/>
    <cellStyle name="Обычный 5 3 144 2 3" xfId="31930"/>
    <cellStyle name="Обычный 5 3 144 2 3 2" xfId="63973"/>
    <cellStyle name="Обычный 5 3 144 2 4" xfId="42613"/>
    <cellStyle name="Обычный 5 3 144 3" xfId="15909"/>
    <cellStyle name="Обычный 5 3 144 3 2" xfId="47953"/>
    <cellStyle name="Обычный 5 3 144 4" xfId="26590"/>
    <cellStyle name="Обычный 5 3 144 4 2" xfId="58633"/>
    <cellStyle name="Обычный 5 3 144 5" xfId="37273"/>
    <cellStyle name="Обычный 5 3 145" xfId="5260"/>
    <cellStyle name="Обычный 5 3 145 2" xfId="10601"/>
    <cellStyle name="Обычный 5 3 145 2 2" xfId="21281"/>
    <cellStyle name="Обычный 5 3 145 2 2 2" xfId="53325"/>
    <cellStyle name="Обычный 5 3 145 2 3" xfId="31962"/>
    <cellStyle name="Обычный 5 3 145 2 3 2" xfId="64005"/>
    <cellStyle name="Обычный 5 3 145 2 4" xfId="42645"/>
    <cellStyle name="Обычный 5 3 145 3" xfId="15941"/>
    <cellStyle name="Обычный 5 3 145 3 2" xfId="47985"/>
    <cellStyle name="Обычный 5 3 145 4" xfId="26622"/>
    <cellStyle name="Обычный 5 3 145 4 2" xfId="58665"/>
    <cellStyle name="Обычный 5 3 145 5" xfId="37305"/>
    <cellStyle name="Обычный 5 3 146" xfId="5292"/>
    <cellStyle name="Обычный 5 3 146 2" xfId="10633"/>
    <cellStyle name="Обычный 5 3 146 2 2" xfId="21313"/>
    <cellStyle name="Обычный 5 3 146 2 2 2" xfId="53357"/>
    <cellStyle name="Обычный 5 3 146 2 3" xfId="31994"/>
    <cellStyle name="Обычный 5 3 146 2 3 2" xfId="64037"/>
    <cellStyle name="Обычный 5 3 146 2 4" xfId="42677"/>
    <cellStyle name="Обычный 5 3 146 3" xfId="15973"/>
    <cellStyle name="Обычный 5 3 146 3 2" xfId="48017"/>
    <cellStyle name="Обычный 5 3 146 4" xfId="26654"/>
    <cellStyle name="Обычный 5 3 146 4 2" xfId="58697"/>
    <cellStyle name="Обычный 5 3 146 5" xfId="37337"/>
    <cellStyle name="Обычный 5 3 147" xfId="5324"/>
    <cellStyle name="Обычный 5 3 147 2" xfId="10665"/>
    <cellStyle name="Обычный 5 3 147 2 2" xfId="21345"/>
    <cellStyle name="Обычный 5 3 147 2 2 2" xfId="53389"/>
    <cellStyle name="Обычный 5 3 147 2 3" xfId="32026"/>
    <cellStyle name="Обычный 5 3 147 2 3 2" xfId="64069"/>
    <cellStyle name="Обычный 5 3 147 2 4" xfId="42709"/>
    <cellStyle name="Обычный 5 3 147 3" xfId="16005"/>
    <cellStyle name="Обычный 5 3 147 3 2" xfId="48049"/>
    <cellStyle name="Обычный 5 3 147 4" xfId="26686"/>
    <cellStyle name="Обычный 5 3 147 4 2" xfId="58729"/>
    <cellStyle name="Обычный 5 3 147 5" xfId="37369"/>
    <cellStyle name="Обычный 5 3 148" xfId="5356"/>
    <cellStyle name="Обычный 5 3 148 2" xfId="10697"/>
    <cellStyle name="Обычный 5 3 148 2 2" xfId="21377"/>
    <cellStyle name="Обычный 5 3 148 2 2 2" xfId="53421"/>
    <cellStyle name="Обычный 5 3 148 2 3" xfId="32058"/>
    <cellStyle name="Обычный 5 3 148 2 3 2" xfId="64101"/>
    <cellStyle name="Обычный 5 3 148 2 4" xfId="42741"/>
    <cellStyle name="Обычный 5 3 148 3" xfId="16037"/>
    <cellStyle name="Обычный 5 3 148 3 2" xfId="48081"/>
    <cellStyle name="Обычный 5 3 148 4" xfId="26718"/>
    <cellStyle name="Обычный 5 3 148 4 2" xfId="58761"/>
    <cellStyle name="Обычный 5 3 148 5" xfId="37401"/>
    <cellStyle name="Обычный 5 3 149" xfId="5400"/>
    <cellStyle name="Обычный 5 3 149 2" xfId="16080"/>
    <cellStyle name="Обычный 5 3 149 2 2" xfId="48124"/>
    <cellStyle name="Обычный 5 3 149 3" xfId="26761"/>
    <cellStyle name="Обычный 5 3 149 3 2" xfId="58804"/>
    <cellStyle name="Обычный 5 3 149 4" xfId="37444"/>
    <cellStyle name="Обычный 5 3 15" xfId="1288"/>
    <cellStyle name="Обычный 5 3 15 2" xfId="6631"/>
    <cellStyle name="Обычный 5 3 15 2 2" xfId="17311"/>
    <cellStyle name="Обычный 5 3 15 2 2 2" xfId="49355"/>
    <cellStyle name="Обычный 5 3 15 2 3" xfId="27992"/>
    <cellStyle name="Обычный 5 3 15 2 3 2" xfId="60035"/>
    <cellStyle name="Обычный 5 3 15 2 4" xfId="38675"/>
    <cellStyle name="Обычный 5 3 15 3" xfId="11971"/>
    <cellStyle name="Обычный 5 3 15 3 2" xfId="44015"/>
    <cellStyle name="Обычный 5 3 15 4" xfId="22652"/>
    <cellStyle name="Обычный 5 3 15 4 2" xfId="54695"/>
    <cellStyle name="Обычный 5 3 15 5" xfId="33335"/>
    <cellStyle name="Обычный 5 3 150" xfId="10740"/>
    <cellStyle name="Обычный 5 3 150 2" xfId="42784"/>
    <cellStyle name="Обычный 5 3 151" xfId="21421"/>
    <cellStyle name="Обычный 5 3 151 2" xfId="53464"/>
    <cellStyle name="Обычный 5 3 152" xfId="32104"/>
    <cellStyle name="Обычный 5 3 16" xfId="1315"/>
    <cellStyle name="Обычный 5 3 16 2" xfId="6657"/>
    <cellStyle name="Обычный 5 3 16 2 2" xfId="17337"/>
    <cellStyle name="Обычный 5 3 16 2 2 2" xfId="49381"/>
    <cellStyle name="Обычный 5 3 16 2 3" xfId="28018"/>
    <cellStyle name="Обычный 5 3 16 2 3 2" xfId="60061"/>
    <cellStyle name="Обычный 5 3 16 2 4" xfId="38701"/>
    <cellStyle name="Обычный 5 3 16 3" xfId="11997"/>
    <cellStyle name="Обычный 5 3 16 3 2" xfId="44041"/>
    <cellStyle name="Обычный 5 3 16 4" xfId="22678"/>
    <cellStyle name="Обычный 5 3 16 4 2" xfId="54721"/>
    <cellStyle name="Обычный 5 3 16 5" xfId="33361"/>
    <cellStyle name="Обычный 5 3 17" xfId="1341"/>
    <cellStyle name="Обычный 5 3 17 2" xfId="6683"/>
    <cellStyle name="Обычный 5 3 17 2 2" xfId="17363"/>
    <cellStyle name="Обычный 5 3 17 2 2 2" xfId="49407"/>
    <cellStyle name="Обычный 5 3 17 2 3" xfId="28044"/>
    <cellStyle name="Обычный 5 3 17 2 3 2" xfId="60087"/>
    <cellStyle name="Обычный 5 3 17 2 4" xfId="38727"/>
    <cellStyle name="Обычный 5 3 17 3" xfId="12023"/>
    <cellStyle name="Обычный 5 3 17 3 2" xfId="44067"/>
    <cellStyle name="Обычный 5 3 17 4" xfId="22704"/>
    <cellStyle name="Обычный 5 3 17 4 2" xfId="54747"/>
    <cellStyle name="Обычный 5 3 17 5" xfId="33387"/>
    <cellStyle name="Обычный 5 3 18" xfId="1367"/>
    <cellStyle name="Обычный 5 3 18 2" xfId="6709"/>
    <cellStyle name="Обычный 5 3 18 2 2" xfId="17389"/>
    <cellStyle name="Обычный 5 3 18 2 2 2" xfId="49433"/>
    <cellStyle name="Обычный 5 3 18 2 3" xfId="28070"/>
    <cellStyle name="Обычный 5 3 18 2 3 2" xfId="60113"/>
    <cellStyle name="Обычный 5 3 18 2 4" xfId="38753"/>
    <cellStyle name="Обычный 5 3 18 3" xfId="12049"/>
    <cellStyle name="Обычный 5 3 18 3 2" xfId="44093"/>
    <cellStyle name="Обычный 5 3 18 4" xfId="22730"/>
    <cellStyle name="Обычный 5 3 18 4 2" xfId="54773"/>
    <cellStyle name="Обычный 5 3 18 5" xfId="33413"/>
    <cellStyle name="Обычный 5 3 19" xfId="1393"/>
    <cellStyle name="Обычный 5 3 19 2" xfId="6735"/>
    <cellStyle name="Обычный 5 3 19 2 2" xfId="17415"/>
    <cellStyle name="Обычный 5 3 19 2 2 2" xfId="49459"/>
    <cellStyle name="Обычный 5 3 19 2 3" xfId="28096"/>
    <cellStyle name="Обычный 5 3 19 2 3 2" xfId="60139"/>
    <cellStyle name="Обычный 5 3 19 2 4" xfId="38779"/>
    <cellStyle name="Обычный 5 3 19 3" xfId="12075"/>
    <cellStyle name="Обычный 5 3 19 3 2" xfId="44119"/>
    <cellStyle name="Обычный 5 3 19 4" xfId="22756"/>
    <cellStyle name="Обычный 5 3 19 4 2" xfId="54799"/>
    <cellStyle name="Обычный 5 3 19 5" xfId="33439"/>
    <cellStyle name="Обычный 5 3 2" xfId="524"/>
    <cellStyle name="Обычный 5 3 2 2" xfId="5867"/>
    <cellStyle name="Обычный 5 3 2 2 2" xfId="16547"/>
    <cellStyle name="Обычный 5 3 2 2 2 2" xfId="48591"/>
    <cellStyle name="Обычный 5 3 2 2 3" xfId="27228"/>
    <cellStyle name="Обычный 5 3 2 2 3 2" xfId="59271"/>
    <cellStyle name="Обычный 5 3 2 2 4" xfId="37911"/>
    <cellStyle name="Обычный 5 3 2 3" xfId="11207"/>
    <cellStyle name="Обычный 5 3 2 3 2" xfId="43251"/>
    <cellStyle name="Обычный 5 3 2 4" xfId="21888"/>
    <cellStyle name="Обычный 5 3 2 4 2" xfId="53931"/>
    <cellStyle name="Обычный 5 3 2 5" xfId="32571"/>
    <cellStyle name="Обычный 5 3 20" xfId="1419"/>
    <cellStyle name="Обычный 5 3 20 2" xfId="6761"/>
    <cellStyle name="Обычный 5 3 20 2 2" xfId="17441"/>
    <cellStyle name="Обычный 5 3 20 2 2 2" xfId="49485"/>
    <cellStyle name="Обычный 5 3 20 2 3" xfId="28122"/>
    <cellStyle name="Обычный 5 3 20 2 3 2" xfId="60165"/>
    <cellStyle name="Обычный 5 3 20 2 4" xfId="38805"/>
    <cellStyle name="Обычный 5 3 20 3" xfId="12101"/>
    <cellStyle name="Обычный 5 3 20 3 2" xfId="44145"/>
    <cellStyle name="Обычный 5 3 20 4" xfId="22782"/>
    <cellStyle name="Обычный 5 3 20 4 2" xfId="54825"/>
    <cellStyle name="Обычный 5 3 20 5" xfId="33465"/>
    <cellStyle name="Обычный 5 3 21" xfId="1445"/>
    <cellStyle name="Обычный 5 3 21 2" xfId="6787"/>
    <cellStyle name="Обычный 5 3 21 2 2" xfId="17467"/>
    <cellStyle name="Обычный 5 3 21 2 2 2" xfId="49511"/>
    <cellStyle name="Обычный 5 3 21 2 3" xfId="28148"/>
    <cellStyle name="Обычный 5 3 21 2 3 2" xfId="60191"/>
    <cellStyle name="Обычный 5 3 21 2 4" xfId="38831"/>
    <cellStyle name="Обычный 5 3 21 3" xfId="12127"/>
    <cellStyle name="Обычный 5 3 21 3 2" xfId="44171"/>
    <cellStyle name="Обычный 5 3 21 4" xfId="22808"/>
    <cellStyle name="Обычный 5 3 21 4 2" xfId="54851"/>
    <cellStyle name="Обычный 5 3 21 5" xfId="33491"/>
    <cellStyle name="Обычный 5 3 22" xfId="1471"/>
    <cellStyle name="Обычный 5 3 22 2" xfId="6813"/>
    <cellStyle name="Обычный 5 3 22 2 2" xfId="17493"/>
    <cellStyle name="Обычный 5 3 22 2 2 2" xfId="49537"/>
    <cellStyle name="Обычный 5 3 22 2 3" xfId="28174"/>
    <cellStyle name="Обычный 5 3 22 2 3 2" xfId="60217"/>
    <cellStyle name="Обычный 5 3 22 2 4" xfId="38857"/>
    <cellStyle name="Обычный 5 3 22 3" xfId="12153"/>
    <cellStyle name="Обычный 5 3 22 3 2" xfId="44197"/>
    <cellStyle name="Обычный 5 3 22 4" xfId="22834"/>
    <cellStyle name="Обычный 5 3 22 4 2" xfId="54877"/>
    <cellStyle name="Обычный 5 3 22 5" xfId="33517"/>
    <cellStyle name="Обычный 5 3 23" xfId="1497"/>
    <cellStyle name="Обычный 5 3 23 2" xfId="6839"/>
    <cellStyle name="Обычный 5 3 23 2 2" xfId="17519"/>
    <cellStyle name="Обычный 5 3 23 2 2 2" xfId="49563"/>
    <cellStyle name="Обычный 5 3 23 2 3" xfId="28200"/>
    <cellStyle name="Обычный 5 3 23 2 3 2" xfId="60243"/>
    <cellStyle name="Обычный 5 3 23 2 4" xfId="38883"/>
    <cellStyle name="Обычный 5 3 23 3" xfId="12179"/>
    <cellStyle name="Обычный 5 3 23 3 2" xfId="44223"/>
    <cellStyle name="Обычный 5 3 23 4" xfId="22860"/>
    <cellStyle name="Обычный 5 3 23 4 2" xfId="54903"/>
    <cellStyle name="Обычный 5 3 23 5" xfId="33543"/>
    <cellStyle name="Обычный 5 3 24" xfId="1523"/>
    <cellStyle name="Обычный 5 3 24 2" xfId="6865"/>
    <cellStyle name="Обычный 5 3 24 2 2" xfId="17545"/>
    <cellStyle name="Обычный 5 3 24 2 2 2" xfId="49589"/>
    <cellStyle name="Обычный 5 3 24 2 3" xfId="28226"/>
    <cellStyle name="Обычный 5 3 24 2 3 2" xfId="60269"/>
    <cellStyle name="Обычный 5 3 24 2 4" xfId="38909"/>
    <cellStyle name="Обычный 5 3 24 3" xfId="12205"/>
    <cellStyle name="Обычный 5 3 24 3 2" xfId="44249"/>
    <cellStyle name="Обычный 5 3 24 4" xfId="22886"/>
    <cellStyle name="Обычный 5 3 24 4 2" xfId="54929"/>
    <cellStyle name="Обычный 5 3 24 5" xfId="33569"/>
    <cellStyle name="Обычный 5 3 25" xfId="1549"/>
    <cellStyle name="Обычный 5 3 25 2" xfId="6891"/>
    <cellStyle name="Обычный 5 3 25 2 2" xfId="17571"/>
    <cellStyle name="Обычный 5 3 25 2 2 2" xfId="49615"/>
    <cellStyle name="Обычный 5 3 25 2 3" xfId="28252"/>
    <cellStyle name="Обычный 5 3 25 2 3 2" xfId="60295"/>
    <cellStyle name="Обычный 5 3 25 2 4" xfId="38935"/>
    <cellStyle name="Обычный 5 3 25 3" xfId="12231"/>
    <cellStyle name="Обычный 5 3 25 3 2" xfId="44275"/>
    <cellStyle name="Обычный 5 3 25 4" xfId="22912"/>
    <cellStyle name="Обычный 5 3 25 4 2" xfId="54955"/>
    <cellStyle name="Обычный 5 3 25 5" xfId="33595"/>
    <cellStyle name="Обычный 5 3 26" xfId="1575"/>
    <cellStyle name="Обычный 5 3 26 2" xfId="6917"/>
    <cellStyle name="Обычный 5 3 26 2 2" xfId="17597"/>
    <cellStyle name="Обычный 5 3 26 2 2 2" xfId="49641"/>
    <cellStyle name="Обычный 5 3 26 2 3" xfId="28278"/>
    <cellStyle name="Обычный 5 3 26 2 3 2" xfId="60321"/>
    <cellStyle name="Обычный 5 3 26 2 4" xfId="38961"/>
    <cellStyle name="Обычный 5 3 26 3" xfId="12257"/>
    <cellStyle name="Обычный 5 3 26 3 2" xfId="44301"/>
    <cellStyle name="Обычный 5 3 26 4" xfId="22938"/>
    <cellStyle name="Обычный 5 3 26 4 2" xfId="54981"/>
    <cellStyle name="Обычный 5 3 26 5" xfId="33621"/>
    <cellStyle name="Обычный 5 3 27" xfId="1601"/>
    <cellStyle name="Обычный 5 3 27 2" xfId="6943"/>
    <cellStyle name="Обычный 5 3 27 2 2" xfId="17623"/>
    <cellStyle name="Обычный 5 3 27 2 2 2" xfId="49667"/>
    <cellStyle name="Обычный 5 3 27 2 3" xfId="28304"/>
    <cellStyle name="Обычный 5 3 27 2 3 2" xfId="60347"/>
    <cellStyle name="Обычный 5 3 27 2 4" xfId="38987"/>
    <cellStyle name="Обычный 5 3 27 3" xfId="12283"/>
    <cellStyle name="Обычный 5 3 27 3 2" xfId="44327"/>
    <cellStyle name="Обычный 5 3 27 4" xfId="22964"/>
    <cellStyle name="Обычный 5 3 27 4 2" xfId="55007"/>
    <cellStyle name="Обычный 5 3 27 5" xfId="33647"/>
    <cellStyle name="Обычный 5 3 28" xfId="1627"/>
    <cellStyle name="Обычный 5 3 28 2" xfId="6969"/>
    <cellStyle name="Обычный 5 3 28 2 2" xfId="17649"/>
    <cellStyle name="Обычный 5 3 28 2 2 2" xfId="49693"/>
    <cellStyle name="Обычный 5 3 28 2 3" xfId="28330"/>
    <cellStyle name="Обычный 5 3 28 2 3 2" xfId="60373"/>
    <cellStyle name="Обычный 5 3 28 2 4" xfId="39013"/>
    <cellStyle name="Обычный 5 3 28 3" xfId="12309"/>
    <cellStyle name="Обычный 5 3 28 3 2" xfId="44353"/>
    <cellStyle name="Обычный 5 3 28 4" xfId="22990"/>
    <cellStyle name="Обычный 5 3 28 4 2" xfId="55033"/>
    <cellStyle name="Обычный 5 3 28 5" xfId="33673"/>
    <cellStyle name="Обычный 5 3 29" xfId="1653"/>
    <cellStyle name="Обычный 5 3 29 2" xfId="6995"/>
    <cellStyle name="Обычный 5 3 29 2 2" xfId="17675"/>
    <cellStyle name="Обычный 5 3 29 2 2 2" xfId="49719"/>
    <cellStyle name="Обычный 5 3 29 2 3" xfId="28356"/>
    <cellStyle name="Обычный 5 3 29 2 3 2" xfId="60399"/>
    <cellStyle name="Обычный 5 3 29 2 4" xfId="39039"/>
    <cellStyle name="Обычный 5 3 29 3" xfId="12335"/>
    <cellStyle name="Обычный 5 3 29 3 2" xfId="44379"/>
    <cellStyle name="Обычный 5 3 29 4" xfId="23016"/>
    <cellStyle name="Обычный 5 3 29 4 2" xfId="55059"/>
    <cellStyle name="Обычный 5 3 29 5" xfId="33699"/>
    <cellStyle name="Обычный 5 3 3" xfId="980"/>
    <cellStyle name="Обычный 5 3 3 2" xfId="6323"/>
    <cellStyle name="Обычный 5 3 3 2 2" xfId="17003"/>
    <cellStyle name="Обычный 5 3 3 2 2 2" xfId="49047"/>
    <cellStyle name="Обычный 5 3 3 2 3" xfId="27684"/>
    <cellStyle name="Обычный 5 3 3 2 3 2" xfId="59727"/>
    <cellStyle name="Обычный 5 3 3 2 4" xfId="38367"/>
    <cellStyle name="Обычный 5 3 3 3" xfId="11663"/>
    <cellStyle name="Обычный 5 3 3 3 2" xfId="43707"/>
    <cellStyle name="Обычный 5 3 3 4" xfId="22344"/>
    <cellStyle name="Обычный 5 3 3 4 2" xfId="54387"/>
    <cellStyle name="Обычный 5 3 3 5" xfId="33027"/>
    <cellStyle name="Обычный 5 3 30" xfId="1679"/>
    <cellStyle name="Обычный 5 3 30 2" xfId="7021"/>
    <cellStyle name="Обычный 5 3 30 2 2" xfId="17701"/>
    <cellStyle name="Обычный 5 3 30 2 2 2" xfId="49745"/>
    <cellStyle name="Обычный 5 3 30 2 3" xfId="28382"/>
    <cellStyle name="Обычный 5 3 30 2 3 2" xfId="60425"/>
    <cellStyle name="Обычный 5 3 30 2 4" xfId="39065"/>
    <cellStyle name="Обычный 5 3 30 3" xfId="12361"/>
    <cellStyle name="Обычный 5 3 30 3 2" xfId="44405"/>
    <cellStyle name="Обычный 5 3 30 4" xfId="23042"/>
    <cellStyle name="Обычный 5 3 30 4 2" xfId="55085"/>
    <cellStyle name="Обычный 5 3 30 5" xfId="33725"/>
    <cellStyle name="Обычный 5 3 31" xfId="1705"/>
    <cellStyle name="Обычный 5 3 31 2" xfId="7047"/>
    <cellStyle name="Обычный 5 3 31 2 2" xfId="17727"/>
    <cellStyle name="Обычный 5 3 31 2 2 2" xfId="49771"/>
    <cellStyle name="Обычный 5 3 31 2 3" xfId="28408"/>
    <cellStyle name="Обычный 5 3 31 2 3 2" xfId="60451"/>
    <cellStyle name="Обычный 5 3 31 2 4" xfId="39091"/>
    <cellStyle name="Обычный 5 3 31 3" xfId="12387"/>
    <cellStyle name="Обычный 5 3 31 3 2" xfId="44431"/>
    <cellStyle name="Обычный 5 3 31 4" xfId="23068"/>
    <cellStyle name="Обычный 5 3 31 4 2" xfId="55111"/>
    <cellStyle name="Обычный 5 3 31 5" xfId="33751"/>
    <cellStyle name="Обычный 5 3 32" xfId="1731"/>
    <cellStyle name="Обычный 5 3 32 2" xfId="7073"/>
    <cellStyle name="Обычный 5 3 32 2 2" xfId="17753"/>
    <cellStyle name="Обычный 5 3 32 2 2 2" xfId="49797"/>
    <cellStyle name="Обычный 5 3 32 2 3" xfId="28434"/>
    <cellStyle name="Обычный 5 3 32 2 3 2" xfId="60477"/>
    <cellStyle name="Обычный 5 3 32 2 4" xfId="39117"/>
    <cellStyle name="Обычный 5 3 32 3" xfId="12413"/>
    <cellStyle name="Обычный 5 3 32 3 2" xfId="44457"/>
    <cellStyle name="Обычный 5 3 32 4" xfId="23094"/>
    <cellStyle name="Обычный 5 3 32 4 2" xfId="55137"/>
    <cellStyle name="Обычный 5 3 32 5" xfId="33777"/>
    <cellStyle name="Обычный 5 3 33" xfId="1757"/>
    <cellStyle name="Обычный 5 3 33 2" xfId="7099"/>
    <cellStyle name="Обычный 5 3 33 2 2" xfId="17779"/>
    <cellStyle name="Обычный 5 3 33 2 2 2" xfId="49823"/>
    <cellStyle name="Обычный 5 3 33 2 3" xfId="28460"/>
    <cellStyle name="Обычный 5 3 33 2 3 2" xfId="60503"/>
    <cellStyle name="Обычный 5 3 33 2 4" xfId="39143"/>
    <cellStyle name="Обычный 5 3 33 3" xfId="12439"/>
    <cellStyle name="Обычный 5 3 33 3 2" xfId="44483"/>
    <cellStyle name="Обычный 5 3 33 4" xfId="23120"/>
    <cellStyle name="Обычный 5 3 33 4 2" xfId="55163"/>
    <cellStyle name="Обычный 5 3 33 5" xfId="33803"/>
    <cellStyle name="Обычный 5 3 34" xfId="1783"/>
    <cellStyle name="Обычный 5 3 34 2" xfId="7125"/>
    <cellStyle name="Обычный 5 3 34 2 2" xfId="17805"/>
    <cellStyle name="Обычный 5 3 34 2 2 2" xfId="49849"/>
    <cellStyle name="Обычный 5 3 34 2 3" xfId="28486"/>
    <cellStyle name="Обычный 5 3 34 2 3 2" xfId="60529"/>
    <cellStyle name="Обычный 5 3 34 2 4" xfId="39169"/>
    <cellStyle name="Обычный 5 3 34 3" xfId="12465"/>
    <cellStyle name="Обычный 5 3 34 3 2" xfId="44509"/>
    <cellStyle name="Обычный 5 3 34 4" xfId="23146"/>
    <cellStyle name="Обычный 5 3 34 4 2" xfId="55189"/>
    <cellStyle name="Обычный 5 3 34 5" xfId="33829"/>
    <cellStyle name="Обычный 5 3 35" xfId="1809"/>
    <cellStyle name="Обычный 5 3 35 2" xfId="7151"/>
    <cellStyle name="Обычный 5 3 35 2 2" xfId="17831"/>
    <cellStyle name="Обычный 5 3 35 2 2 2" xfId="49875"/>
    <cellStyle name="Обычный 5 3 35 2 3" xfId="28512"/>
    <cellStyle name="Обычный 5 3 35 2 3 2" xfId="60555"/>
    <cellStyle name="Обычный 5 3 35 2 4" xfId="39195"/>
    <cellStyle name="Обычный 5 3 35 3" xfId="12491"/>
    <cellStyle name="Обычный 5 3 35 3 2" xfId="44535"/>
    <cellStyle name="Обычный 5 3 35 4" xfId="23172"/>
    <cellStyle name="Обычный 5 3 35 4 2" xfId="55215"/>
    <cellStyle name="Обычный 5 3 35 5" xfId="33855"/>
    <cellStyle name="Обычный 5 3 36" xfId="1835"/>
    <cellStyle name="Обычный 5 3 36 2" xfId="7177"/>
    <cellStyle name="Обычный 5 3 36 2 2" xfId="17857"/>
    <cellStyle name="Обычный 5 3 36 2 2 2" xfId="49901"/>
    <cellStyle name="Обычный 5 3 36 2 3" xfId="28538"/>
    <cellStyle name="Обычный 5 3 36 2 3 2" xfId="60581"/>
    <cellStyle name="Обычный 5 3 36 2 4" xfId="39221"/>
    <cellStyle name="Обычный 5 3 36 3" xfId="12517"/>
    <cellStyle name="Обычный 5 3 36 3 2" xfId="44561"/>
    <cellStyle name="Обычный 5 3 36 4" xfId="23198"/>
    <cellStyle name="Обычный 5 3 36 4 2" xfId="55241"/>
    <cellStyle name="Обычный 5 3 36 5" xfId="33881"/>
    <cellStyle name="Обычный 5 3 37" xfId="1861"/>
    <cellStyle name="Обычный 5 3 37 2" xfId="7203"/>
    <cellStyle name="Обычный 5 3 37 2 2" xfId="17883"/>
    <cellStyle name="Обычный 5 3 37 2 2 2" xfId="49927"/>
    <cellStyle name="Обычный 5 3 37 2 3" xfId="28564"/>
    <cellStyle name="Обычный 5 3 37 2 3 2" xfId="60607"/>
    <cellStyle name="Обычный 5 3 37 2 4" xfId="39247"/>
    <cellStyle name="Обычный 5 3 37 3" xfId="12543"/>
    <cellStyle name="Обычный 5 3 37 3 2" xfId="44587"/>
    <cellStyle name="Обычный 5 3 37 4" xfId="23224"/>
    <cellStyle name="Обычный 5 3 37 4 2" xfId="55267"/>
    <cellStyle name="Обычный 5 3 37 5" xfId="33907"/>
    <cellStyle name="Обычный 5 3 38" xfId="1887"/>
    <cellStyle name="Обычный 5 3 38 2" xfId="7229"/>
    <cellStyle name="Обычный 5 3 38 2 2" xfId="17909"/>
    <cellStyle name="Обычный 5 3 38 2 2 2" xfId="49953"/>
    <cellStyle name="Обычный 5 3 38 2 3" xfId="28590"/>
    <cellStyle name="Обычный 5 3 38 2 3 2" xfId="60633"/>
    <cellStyle name="Обычный 5 3 38 2 4" xfId="39273"/>
    <cellStyle name="Обычный 5 3 38 3" xfId="12569"/>
    <cellStyle name="Обычный 5 3 38 3 2" xfId="44613"/>
    <cellStyle name="Обычный 5 3 38 4" xfId="23250"/>
    <cellStyle name="Обычный 5 3 38 4 2" xfId="55293"/>
    <cellStyle name="Обычный 5 3 38 5" xfId="33933"/>
    <cellStyle name="Обычный 5 3 39" xfId="1913"/>
    <cellStyle name="Обычный 5 3 39 2" xfId="7255"/>
    <cellStyle name="Обычный 5 3 39 2 2" xfId="17935"/>
    <cellStyle name="Обычный 5 3 39 2 2 2" xfId="49979"/>
    <cellStyle name="Обычный 5 3 39 2 3" xfId="28616"/>
    <cellStyle name="Обычный 5 3 39 2 3 2" xfId="60659"/>
    <cellStyle name="Обычный 5 3 39 2 4" xfId="39299"/>
    <cellStyle name="Обычный 5 3 39 3" xfId="12595"/>
    <cellStyle name="Обычный 5 3 39 3 2" xfId="44639"/>
    <cellStyle name="Обычный 5 3 39 4" xfId="23276"/>
    <cellStyle name="Обычный 5 3 39 4 2" xfId="55319"/>
    <cellStyle name="Обычный 5 3 39 5" xfId="33959"/>
    <cellStyle name="Обычный 5 3 4" xfId="1004"/>
    <cellStyle name="Обычный 5 3 4 2" xfId="6347"/>
    <cellStyle name="Обычный 5 3 4 2 2" xfId="17027"/>
    <cellStyle name="Обычный 5 3 4 2 2 2" xfId="49071"/>
    <cellStyle name="Обычный 5 3 4 2 3" xfId="27708"/>
    <cellStyle name="Обычный 5 3 4 2 3 2" xfId="59751"/>
    <cellStyle name="Обычный 5 3 4 2 4" xfId="38391"/>
    <cellStyle name="Обычный 5 3 4 3" xfId="11687"/>
    <cellStyle name="Обычный 5 3 4 3 2" xfId="43731"/>
    <cellStyle name="Обычный 5 3 4 4" xfId="22368"/>
    <cellStyle name="Обычный 5 3 4 4 2" xfId="54411"/>
    <cellStyle name="Обычный 5 3 4 5" xfId="33051"/>
    <cellStyle name="Обычный 5 3 40" xfId="1941"/>
    <cellStyle name="Обычный 5 3 40 2" xfId="7283"/>
    <cellStyle name="Обычный 5 3 40 2 2" xfId="17963"/>
    <cellStyle name="Обычный 5 3 40 2 2 2" xfId="50007"/>
    <cellStyle name="Обычный 5 3 40 2 3" xfId="28644"/>
    <cellStyle name="Обычный 5 3 40 2 3 2" xfId="60687"/>
    <cellStyle name="Обычный 5 3 40 2 4" xfId="39327"/>
    <cellStyle name="Обычный 5 3 40 3" xfId="12623"/>
    <cellStyle name="Обычный 5 3 40 3 2" xfId="44667"/>
    <cellStyle name="Обычный 5 3 40 4" xfId="23304"/>
    <cellStyle name="Обычный 5 3 40 4 2" xfId="55347"/>
    <cellStyle name="Обычный 5 3 40 5" xfId="33987"/>
    <cellStyle name="Обычный 5 3 41" xfId="1969"/>
    <cellStyle name="Обычный 5 3 41 2" xfId="7311"/>
    <cellStyle name="Обычный 5 3 41 2 2" xfId="17991"/>
    <cellStyle name="Обычный 5 3 41 2 2 2" xfId="50035"/>
    <cellStyle name="Обычный 5 3 41 2 3" xfId="28672"/>
    <cellStyle name="Обычный 5 3 41 2 3 2" xfId="60715"/>
    <cellStyle name="Обычный 5 3 41 2 4" xfId="39355"/>
    <cellStyle name="Обычный 5 3 41 3" xfId="12651"/>
    <cellStyle name="Обычный 5 3 41 3 2" xfId="44695"/>
    <cellStyle name="Обычный 5 3 41 4" xfId="23332"/>
    <cellStyle name="Обычный 5 3 41 4 2" xfId="55375"/>
    <cellStyle name="Обычный 5 3 41 5" xfId="34015"/>
    <cellStyle name="Обычный 5 3 42" xfId="1997"/>
    <cellStyle name="Обычный 5 3 42 2" xfId="7339"/>
    <cellStyle name="Обычный 5 3 42 2 2" xfId="18019"/>
    <cellStyle name="Обычный 5 3 42 2 2 2" xfId="50063"/>
    <cellStyle name="Обычный 5 3 42 2 3" xfId="28700"/>
    <cellStyle name="Обычный 5 3 42 2 3 2" xfId="60743"/>
    <cellStyle name="Обычный 5 3 42 2 4" xfId="39383"/>
    <cellStyle name="Обычный 5 3 42 3" xfId="12679"/>
    <cellStyle name="Обычный 5 3 42 3 2" xfId="44723"/>
    <cellStyle name="Обычный 5 3 42 4" xfId="23360"/>
    <cellStyle name="Обычный 5 3 42 4 2" xfId="55403"/>
    <cellStyle name="Обычный 5 3 42 5" xfId="34043"/>
    <cellStyle name="Обычный 5 3 43" xfId="2025"/>
    <cellStyle name="Обычный 5 3 43 2" xfId="7367"/>
    <cellStyle name="Обычный 5 3 43 2 2" xfId="18047"/>
    <cellStyle name="Обычный 5 3 43 2 2 2" xfId="50091"/>
    <cellStyle name="Обычный 5 3 43 2 3" xfId="28728"/>
    <cellStyle name="Обычный 5 3 43 2 3 2" xfId="60771"/>
    <cellStyle name="Обычный 5 3 43 2 4" xfId="39411"/>
    <cellStyle name="Обычный 5 3 43 3" xfId="12707"/>
    <cellStyle name="Обычный 5 3 43 3 2" xfId="44751"/>
    <cellStyle name="Обычный 5 3 43 4" xfId="23388"/>
    <cellStyle name="Обычный 5 3 43 4 2" xfId="55431"/>
    <cellStyle name="Обычный 5 3 43 5" xfId="34071"/>
    <cellStyle name="Обычный 5 3 44" xfId="2053"/>
    <cellStyle name="Обычный 5 3 44 2" xfId="7395"/>
    <cellStyle name="Обычный 5 3 44 2 2" xfId="18075"/>
    <cellStyle name="Обычный 5 3 44 2 2 2" xfId="50119"/>
    <cellStyle name="Обычный 5 3 44 2 3" xfId="28756"/>
    <cellStyle name="Обычный 5 3 44 2 3 2" xfId="60799"/>
    <cellStyle name="Обычный 5 3 44 2 4" xfId="39439"/>
    <cellStyle name="Обычный 5 3 44 3" xfId="12735"/>
    <cellStyle name="Обычный 5 3 44 3 2" xfId="44779"/>
    <cellStyle name="Обычный 5 3 44 4" xfId="23416"/>
    <cellStyle name="Обычный 5 3 44 4 2" xfId="55459"/>
    <cellStyle name="Обычный 5 3 44 5" xfId="34099"/>
    <cellStyle name="Обычный 5 3 45" xfId="2081"/>
    <cellStyle name="Обычный 5 3 45 2" xfId="7423"/>
    <cellStyle name="Обычный 5 3 45 2 2" xfId="18103"/>
    <cellStyle name="Обычный 5 3 45 2 2 2" xfId="50147"/>
    <cellStyle name="Обычный 5 3 45 2 3" xfId="28784"/>
    <cellStyle name="Обычный 5 3 45 2 3 2" xfId="60827"/>
    <cellStyle name="Обычный 5 3 45 2 4" xfId="39467"/>
    <cellStyle name="Обычный 5 3 45 3" xfId="12763"/>
    <cellStyle name="Обычный 5 3 45 3 2" xfId="44807"/>
    <cellStyle name="Обычный 5 3 45 4" xfId="23444"/>
    <cellStyle name="Обычный 5 3 45 4 2" xfId="55487"/>
    <cellStyle name="Обычный 5 3 45 5" xfId="34127"/>
    <cellStyle name="Обычный 5 3 46" xfId="2109"/>
    <cellStyle name="Обычный 5 3 46 2" xfId="7451"/>
    <cellStyle name="Обычный 5 3 46 2 2" xfId="18131"/>
    <cellStyle name="Обычный 5 3 46 2 2 2" xfId="50175"/>
    <cellStyle name="Обычный 5 3 46 2 3" xfId="28812"/>
    <cellStyle name="Обычный 5 3 46 2 3 2" xfId="60855"/>
    <cellStyle name="Обычный 5 3 46 2 4" xfId="39495"/>
    <cellStyle name="Обычный 5 3 46 3" xfId="12791"/>
    <cellStyle name="Обычный 5 3 46 3 2" xfId="44835"/>
    <cellStyle name="Обычный 5 3 46 4" xfId="23472"/>
    <cellStyle name="Обычный 5 3 46 4 2" xfId="55515"/>
    <cellStyle name="Обычный 5 3 46 5" xfId="34155"/>
    <cellStyle name="Обычный 5 3 47" xfId="2139"/>
    <cellStyle name="Обычный 5 3 47 2" xfId="7481"/>
    <cellStyle name="Обычный 5 3 47 2 2" xfId="18161"/>
    <cellStyle name="Обычный 5 3 47 2 2 2" xfId="50205"/>
    <cellStyle name="Обычный 5 3 47 2 3" xfId="28842"/>
    <cellStyle name="Обычный 5 3 47 2 3 2" xfId="60885"/>
    <cellStyle name="Обычный 5 3 47 2 4" xfId="39525"/>
    <cellStyle name="Обычный 5 3 47 3" xfId="12821"/>
    <cellStyle name="Обычный 5 3 47 3 2" xfId="44865"/>
    <cellStyle name="Обычный 5 3 47 4" xfId="23502"/>
    <cellStyle name="Обычный 5 3 47 4 2" xfId="55545"/>
    <cellStyle name="Обычный 5 3 47 5" xfId="34185"/>
    <cellStyle name="Обычный 5 3 48" xfId="2169"/>
    <cellStyle name="Обычный 5 3 48 2" xfId="7511"/>
    <cellStyle name="Обычный 5 3 48 2 2" xfId="18191"/>
    <cellStyle name="Обычный 5 3 48 2 2 2" xfId="50235"/>
    <cellStyle name="Обычный 5 3 48 2 3" xfId="28872"/>
    <cellStyle name="Обычный 5 3 48 2 3 2" xfId="60915"/>
    <cellStyle name="Обычный 5 3 48 2 4" xfId="39555"/>
    <cellStyle name="Обычный 5 3 48 3" xfId="12851"/>
    <cellStyle name="Обычный 5 3 48 3 2" xfId="44895"/>
    <cellStyle name="Обычный 5 3 48 4" xfId="23532"/>
    <cellStyle name="Обычный 5 3 48 4 2" xfId="55575"/>
    <cellStyle name="Обычный 5 3 48 5" xfId="34215"/>
    <cellStyle name="Обычный 5 3 49" xfId="2199"/>
    <cellStyle name="Обычный 5 3 49 2" xfId="7541"/>
    <cellStyle name="Обычный 5 3 49 2 2" xfId="18221"/>
    <cellStyle name="Обычный 5 3 49 2 2 2" xfId="50265"/>
    <cellStyle name="Обычный 5 3 49 2 3" xfId="28902"/>
    <cellStyle name="Обычный 5 3 49 2 3 2" xfId="60945"/>
    <cellStyle name="Обычный 5 3 49 2 4" xfId="39585"/>
    <cellStyle name="Обычный 5 3 49 3" xfId="12881"/>
    <cellStyle name="Обычный 5 3 49 3 2" xfId="44925"/>
    <cellStyle name="Обычный 5 3 49 4" xfId="23562"/>
    <cellStyle name="Обычный 5 3 49 4 2" xfId="55605"/>
    <cellStyle name="Обычный 5 3 49 5" xfId="34245"/>
    <cellStyle name="Обычный 5 3 5" xfId="1028"/>
    <cellStyle name="Обычный 5 3 5 2" xfId="6371"/>
    <cellStyle name="Обычный 5 3 5 2 2" xfId="17051"/>
    <cellStyle name="Обычный 5 3 5 2 2 2" xfId="49095"/>
    <cellStyle name="Обычный 5 3 5 2 3" xfId="27732"/>
    <cellStyle name="Обычный 5 3 5 2 3 2" xfId="59775"/>
    <cellStyle name="Обычный 5 3 5 2 4" xfId="38415"/>
    <cellStyle name="Обычный 5 3 5 3" xfId="11711"/>
    <cellStyle name="Обычный 5 3 5 3 2" xfId="43755"/>
    <cellStyle name="Обычный 5 3 5 4" xfId="22392"/>
    <cellStyle name="Обычный 5 3 5 4 2" xfId="54435"/>
    <cellStyle name="Обычный 5 3 5 5" xfId="33075"/>
    <cellStyle name="Обычный 5 3 50" xfId="2229"/>
    <cellStyle name="Обычный 5 3 50 2" xfId="7571"/>
    <cellStyle name="Обычный 5 3 50 2 2" xfId="18251"/>
    <cellStyle name="Обычный 5 3 50 2 2 2" xfId="50295"/>
    <cellStyle name="Обычный 5 3 50 2 3" xfId="28932"/>
    <cellStyle name="Обычный 5 3 50 2 3 2" xfId="60975"/>
    <cellStyle name="Обычный 5 3 50 2 4" xfId="39615"/>
    <cellStyle name="Обычный 5 3 50 3" xfId="12911"/>
    <cellStyle name="Обычный 5 3 50 3 2" xfId="44955"/>
    <cellStyle name="Обычный 5 3 50 4" xfId="23592"/>
    <cellStyle name="Обычный 5 3 50 4 2" xfId="55635"/>
    <cellStyle name="Обычный 5 3 50 5" xfId="34275"/>
    <cellStyle name="Обычный 5 3 51" xfId="2259"/>
    <cellStyle name="Обычный 5 3 51 2" xfId="7601"/>
    <cellStyle name="Обычный 5 3 51 2 2" xfId="18281"/>
    <cellStyle name="Обычный 5 3 51 2 2 2" xfId="50325"/>
    <cellStyle name="Обычный 5 3 51 2 3" xfId="28962"/>
    <cellStyle name="Обычный 5 3 51 2 3 2" xfId="61005"/>
    <cellStyle name="Обычный 5 3 51 2 4" xfId="39645"/>
    <cellStyle name="Обычный 5 3 51 3" xfId="12941"/>
    <cellStyle name="Обычный 5 3 51 3 2" xfId="44985"/>
    <cellStyle name="Обычный 5 3 51 4" xfId="23622"/>
    <cellStyle name="Обычный 5 3 51 4 2" xfId="55665"/>
    <cellStyle name="Обычный 5 3 51 5" xfId="34305"/>
    <cellStyle name="Обычный 5 3 52" xfId="2289"/>
    <cellStyle name="Обычный 5 3 52 2" xfId="7631"/>
    <cellStyle name="Обычный 5 3 52 2 2" xfId="18311"/>
    <cellStyle name="Обычный 5 3 52 2 2 2" xfId="50355"/>
    <cellStyle name="Обычный 5 3 52 2 3" xfId="28992"/>
    <cellStyle name="Обычный 5 3 52 2 3 2" xfId="61035"/>
    <cellStyle name="Обычный 5 3 52 2 4" xfId="39675"/>
    <cellStyle name="Обычный 5 3 52 3" xfId="12971"/>
    <cellStyle name="Обычный 5 3 52 3 2" xfId="45015"/>
    <cellStyle name="Обычный 5 3 52 4" xfId="23652"/>
    <cellStyle name="Обычный 5 3 52 4 2" xfId="55695"/>
    <cellStyle name="Обычный 5 3 52 5" xfId="34335"/>
    <cellStyle name="Обычный 5 3 53" xfId="2319"/>
    <cellStyle name="Обычный 5 3 53 2" xfId="7661"/>
    <cellStyle name="Обычный 5 3 53 2 2" xfId="18341"/>
    <cellStyle name="Обычный 5 3 53 2 2 2" xfId="50385"/>
    <cellStyle name="Обычный 5 3 53 2 3" xfId="29022"/>
    <cellStyle name="Обычный 5 3 53 2 3 2" xfId="61065"/>
    <cellStyle name="Обычный 5 3 53 2 4" xfId="39705"/>
    <cellStyle name="Обычный 5 3 53 3" xfId="13001"/>
    <cellStyle name="Обычный 5 3 53 3 2" xfId="45045"/>
    <cellStyle name="Обычный 5 3 53 4" xfId="23682"/>
    <cellStyle name="Обычный 5 3 53 4 2" xfId="55725"/>
    <cellStyle name="Обычный 5 3 53 5" xfId="34365"/>
    <cellStyle name="Обычный 5 3 54" xfId="2349"/>
    <cellStyle name="Обычный 5 3 54 2" xfId="7691"/>
    <cellStyle name="Обычный 5 3 54 2 2" xfId="18371"/>
    <cellStyle name="Обычный 5 3 54 2 2 2" xfId="50415"/>
    <cellStyle name="Обычный 5 3 54 2 3" xfId="29052"/>
    <cellStyle name="Обычный 5 3 54 2 3 2" xfId="61095"/>
    <cellStyle name="Обычный 5 3 54 2 4" xfId="39735"/>
    <cellStyle name="Обычный 5 3 54 3" xfId="13031"/>
    <cellStyle name="Обычный 5 3 54 3 2" xfId="45075"/>
    <cellStyle name="Обычный 5 3 54 4" xfId="23712"/>
    <cellStyle name="Обычный 5 3 54 4 2" xfId="55755"/>
    <cellStyle name="Обычный 5 3 54 5" xfId="34395"/>
    <cellStyle name="Обычный 5 3 55" xfId="2379"/>
    <cellStyle name="Обычный 5 3 55 2" xfId="7721"/>
    <cellStyle name="Обычный 5 3 55 2 2" xfId="18401"/>
    <cellStyle name="Обычный 5 3 55 2 2 2" xfId="50445"/>
    <cellStyle name="Обычный 5 3 55 2 3" xfId="29082"/>
    <cellStyle name="Обычный 5 3 55 2 3 2" xfId="61125"/>
    <cellStyle name="Обычный 5 3 55 2 4" xfId="39765"/>
    <cellStyle name="Обычный 5 3 55 3" xfId="13061"/>
    <cellStyle name="Обычный 5 3 55 3 2" xfId="45105"/>
    <cellStyle name="Обычный 5 3 55 4" xfId="23742"/>
    <cellStyle name="Обычный 5 3 55 4 2" xfId="55785"/>
    <cellStyle name="Обычный 5 3 55 5" xfId="34425"/>
    <cellStyle name="Обычный 5 3 56" xfId="2409"/>
    <cellStyle name="Обычный 5 3 56 2" xfId="7751"/>
    <cellStyle name="Обычный 5 3 56 2 2" xfId="18431"/>
    <cellStyle name="Обычный 5 3 56 2 2 2" xfId="50475"/>
    <cellStyle name="Обычный 5 3 56 2 3" xfId="29112"/>
    <cellStyle name="Обычный 5 3 56 2 3 2" xfId="61155"/>
    <cellStyle name="Обычный 5 3 56 2 4" xfId="39795"/>
    <cellStyle name="Обычный 5 3 56 3" xfId="13091"/>
    <cellStyle name="Обычный 5 3 56 3 2" xfId="45135"/>
    <cellStyle name="Обычный 5 3 56 4" xfId="23772"/>
    <cellStyle name="Обычный 5 3 56 4 2" xfId="55815"/>
    <cellStyle name="Обычный 5 3 56 5" xfId="34455"/>
    <cellStyle name="Обычный 5 3 57" xfId="2439"/>
    <cellStyle name="Обычный 5 3 57 2" xfId="7781"/>
    <cellStyle name="Обычный 5 3 57 2 2" xfId="18461"/>
    <cellStyle name="Обычный 5 3 57 2 2 2" xfId="50505"/>
    <cellStyle name="Обычный 5 3 57 2 3" xfId="29142"/>
    <cellStyle name="Обычный 5 3 57 2 3 2" xfId="61185"/>
    <cellStyle name="Обычный 5 3 57 2 4" xfId="39825"/>
    <cellStyle name="Обычный 5 3 57 3" xfId="13121"/>
    <cellStyle name="Обычный 5 3 57 3 2" xfId="45165"/>
    <cellStyle name="Обычный 5 3 57 4" xfId="23802"/>
    <cellStyle name="Обычный 5 3 57 4 2" xfId="55845"/>
    <cellStyle name="Обычный 5 3 57 5" xfId="34485"/>
    <cellStyle name="Обычный 5 3 58" xfId="2469"/>
    <cellStyle name="Обычный 5 3 58 2" xfId="7811"/>
    <cellStyle name="Обычный 5 3 58 2 2" xfId="18491"/>
    <cellStyle name="Обычный 5 3 58 2 2 2" xfId="50535"/>
    <cellStyle name="Обычный 5 3 58 2 3" xfId="29172"/>
    <cellStyle name="Обычный 5 3 58 2 3 2" xfId="61215"/>
    <cellStyle name="Обычный 5 3 58 2 4" xfId="39855"/>
    <cellStyle name="Обычный 5 3 58 3" xfId="13151"/>
    <cellStyle name="Обычный 5 3 58 3 2" xfId="45195"/>
    <cellStyle name="Обычный 5 3 58 4" xfId="23832"/>
    <cellStyle name="Обычный 5 3 58 4 2" xfId="55875"/>
    <cellStyle name="Обычный 5 3 58 5" xfId="34515"/>
    <cellStyle name="Обычный 5 3 59" xfId="2501"/>
    <cellStyle name="Обычный 5 3 59 2" xfId="7843"/>
    <cellStyle name="Обычный 5 3 59 2 2" xfId="18523"/>
    <cellStyle name="Обычный 5 3 59 2 2 2" xfId="50567"/>
    <cellStyle name="Обычный 5 3 59 2 3" xfId="29204"/>
    <cellStyle name="Обычный 5 3 59 2 3 2" xfId="61247"/>
    <cellStyle name="Обычный 5 3 59 2 4" xfId="39887"/>
    <cellStyle name="Обычный 5 3 59 3" xfId="13183"/>
    <cellStyle name="Обычный 5 3 59 3 2" xfId="45227"/>
    <cellStyle name="Обычный 5 3 59 4" xfId="23864"/>
    <cellStyle name="Обычный 5 3 59 4 2" xfId="55907"/>
    <cellStyle name="Обычный 5 3 59 5" xfId="34547"/>
    <cellStyle name="Обычный 5 3 6" xfId="1054"/>
    <cellStyle name="Обычный 5 3 6 2" xfId="6397"/>
    <cellStyle name="Обычный 5 3 6 2 2" xfId="17077"/>
    <cellStyle name="Обычный 5 3 6 2 2 2" xfId="49121"/>
    <cellStyle name="Обычный 5 3 6 2 3" xfId="27758"/>
    <cellStyle name="Обычный 5 3 6 2 3 2" xfId="59801"/>
    <cellStyle name="Обычный 5 3 6 2 4" xfId="38441"/>
    <cellStyle name="Обычный 5 3 6 3" xfId="11737"/>
    <cellStyle name="Обычный 5 3 6 3 2" xfId="43781"/>
    <cellStyle name="Обычный 5 3 6 4" xfId="22418"/>
    <cellStyle name="Обычный 5 3 6 4 2" xfId="54461"/>
    <cellStyle name="Обычный 5 3 6 5" xfId="33101"/>
    <cellStyle name="Обычный 5 3 60" xfId="2535"/>
    <cellStyle name="Обычный 5 3 60 2" xfId="7877"/>
    <cellStyle name="Обычный 5 3 60 2 2" xfId="18557"/>
    <cellStyle name="Обычный 5 3 60 2 2 2" xfId="50601"/>
    <cellStyle name="Обычный 5 3 60 2 3" xfId="29238"/>
    <cellStyle name="Обычный 5 3 60 2 3 2" xfId="61281"/>
    <cellStyle name="Обычный 5 3 60 2 4" xfId="39921"/>
    <cellStyle name="Обычный 5 3 60 3" xfId="13217"/>
    <cellStyle name="Обычный 5 3 60 3 2" xfId="45261"/>
    <cellStyle name="Обычный 5 3 60 4" xfId="23898"/>
    <cellStyle name="Обычный 5 3 60 4 2" xfId="55941"/>
    <cellStyle name="Обычный 5 3 60 5" xfId="34581"/>
    <cellStyle name="Обычный 5 3 61" xfId="2567"/>
    <cellStyle name="Обычный 5 3 61 2" xfId="7909"/>
    <cellStyle name="Обычный 5 3 61 2 2" xfId="18589"/>
    <cellStyle name="Обычный 5 3 61 2 2 2" xfId="50633"/>
    <cellStyle name="Обычный 5 3 61 2 3" xfId="29270"/>
    <cellStyle name="Обычный 5 3 61 2 3 2" xfId="61313"/>
    <cellStyle name="Обычный 5 3 61 2 4" xfId="39953"/>
    <cellStyle name="Обычный 5 3 61 3" xfId="13249"/>
    <cellStyle name="Обычный 5 3 61 3 2" xfId="45293"/>
    <cellStyle name="Обычный 5 3 61 4" xfId="23930"/>
    <cellStyle name="Обычный 5 3 61 4 2" xfId="55973"/>
    <cellStyle name="Обычный 5 3 61 5" xfId="34613"/>
    <cellStyle name="Обычный 5 3 62" xfId="2599"/>
    <cellStyle name="Обычный 5 3 62 2" xfId="7941"/>
    <cellStyle name="Обычный 5 3 62 2 2" xfId="18621"/>
    <cellStyle name="Обычный 5 3 62 2 2 2" xfId="50665"/>
    <cellStyle name="Обычный 5 3 62 2 3" xfId="29302"/>
    <cellStyle name="Обычный 5 3 62 2 3 2" xfId="61345"/>
    <cellStyle name="Обычный 5 3 62 2 4" xfId="39985"/>
    <cellStyle name="Обычный 5 3 62 3" xfId="13281"/>
    <cellStyle name="Обычный 5 3 62 3 2" xfId="45325"/>
    <cellStyle name="Обычный 5 3 62 4" xfId="23962"/>
    <cellStyle name="Обычный 5 3 62 4 2" xfId="56005"/>
    <cellStyle name="Обычный 5 3 62 5" xfId="34645"/>
    <cellStyle name="Обычный 5 3 63" xfId="2631"/>
    <cellStyle name="Обычный 5 3 63 2" xfId="7973"/>
    <cellStyle name="Обычный 5 3 63 2 2" xfId="18653"/>
    <cellStyle name="Обычный 5 3 63 2 2 2" xfId="50697"/>
    <cellStyle name="Обычный 5 3 63 2 3" xfId="29334"/>
    <cellStyle name="Обычный 5 3 63 2 3 2" xfId="61377"/>
    <cellStyle name="Обычный 5 3 63 2 4" xfId="40017"/>
    <cellStyle name="Обычный 5 3 63 3" xfId="13313"/>
    <cellStyle name="Обычный 5 3 63 3 2" xfId="45357"/>
    <cellStyle name="Обычный 5 3 63 4" xfId="23994"/>
    <cellStyle name="Обычный 5 3 63 4 2" xfId="56037"/>
    <cellStyle name="Обычный 5 3 63 5" xfId="34677"/>
    <cellStyle name="Обычный 5 3 64" xfId="2663"/>
    <cellStyle name="Обычный 5 3 64 2" xfId="8005"/>
    <cellStyle name="Обычный 5 3 64 2 2" xfId="18685"/>
    <cellStyle name="Обычный 5 3 64 2 2 2" xfId="50729"/>
    <cellStyle name="Обычный 5 3 64 2 3" xfId="29366"/>
    <cellStyle name="Обычный 5 3 64 2 3 2" xfId="61409"/>
    <cellStyle name="Обычный 5 3 64 2 4" xfId="40049"/>
    <cellStyle name="Обычный 5 3 64 3" xfId="13345"/>
    <cellStyle name="Обычный 5 3 64 3 2" xfId="45389"/>
    <cellStyle name="Обычный 5 3 64 4" xfId="24026"/>
    <cellStyle name="Обычный 5 3 64 4 2" xfId="56069"/>
    <cellStyle name="Обычный 5 3 64 5" xfId="34709"/>
    <cellStyle name="Обычный 5 3 65" xfId="2695"/>
    <cellStyle name="Обычный 5 3 65 2" xfId="8037"/>
    <cellStyle name="Обычный 5 3 65 2 2" xfId="18717"/>
    <cellStyle name="Обычный 5 3 65 2 2 2" xfId="50761"/>
    <cellStyle name="Обычный 5 3 65 2 3" xfId="29398"/>
    <cellStyle name="Обычный 5 3 65 2 3 2" xfId="61441"/>
    <cellStyle name="Обычный 5 3 65 2 4" xfId="40081"/>
    <cellStyle name="Обычный 5 3 65 3" xfId="13377"/>
    <cellStyle name="Обычный 5 3 65 3 2" xfId="45421"/>
    <cellStyle name="Обычный 5 3 65 4" xfId="24058"/>
    <cellStyle name="Обычный 5 3 65 4 2" xfId="56101"/>
    <cellStyle name="Обычный 5 3 65 5" xfId="34741"/>
    <cellStyle name="Обычный 5 3 66" xfId="2727"/>
    <cellStyle name="Обычный 5 3 66 2" xfId="8069"/>
    <cellStyle name="Обычный 5 3 66 2 2" xfId="18749"/>
    <cellStyle name="Обычный 5 3 66 2 2 2" xfId="50793"/>
    <cellStyle name="Обычный 5 3 66 2 3" xfId="29430"/>
    <cellStyle name="Обычный 5 3 66 2 3 2" xfId="61473"/>
    <cellStyle name="Обычный 5 3 66 2 4" xfId="40113"/>
    <cellStyle name="Обычный 5 3 66 3" xfId="13409"/>
    <cellStyle name="Обычный 5 3 66 3 2" xfId="45453"/>
    <cellStyle name="Обычный 5 3 66 4" xfId="24090"/>
    <cellStyle name="Обычный 5 3 66 4 2" xfId="56133"/>
    <cellStyle name="Обычный 5 3 66 5" xfId="34773"/>
    <cellStyle name="Обычный 5 3 67" xfId="2761"/>
    <cellStyle name="Обычный 5 3 67 2" xfId="8103"/>
    <cellStyle name="Обычный 5 3 67 2 2" xfId="18783"/>
    <cellStyle name="Обычный 5 3 67 2 2 2" xfId="50827"/>
    <cellStyle name="Обычный 5 3 67 2 3" xfId="29464"/>
    <cellStyle name="Обычный 5 3 67 2 3 2" xfId="61507"/>
    <cellStyle name="Обычный 5 3 67 2 4" xfId="40147"/>
    <cellStyle name="Обычный 5 3 67 3" xfId="13443"/>
    <cellStyle name="Обычный 5 3 67 3 2" xfId="45487"/>
    <cellStyle name="Обычный 5 3 67 4" xfId="24124"/>
    <cellStyle name="Обычный 5 3 67 4 2" xfId="56167"/>
    <cellStyle name="Обычный 5 3 67 5" xfId="34807"/>
    <cellStyle name="Обычный 5 3 68" xfId="2793"/>
    <cellStyle name="Обычный 5 3 68 2" xfId="8135"/>
    <cellStyle name="Обычный 5 3 68 2 2" xfId="18815"/>
    <cellStyle name="Обычный 5 3 68 2 2 2" xfId="50859"/>
    <cellStyle name="Обычный 5 3 68 2 3" xfId="29496"/>
    <cellStyle name="Обычный 5 3 68 2 3 2" xfId="61539"/>
    <cellStyle name="Обычный 5 3 68 2 4" xfId="40179"/>
    <cellStyle name="Обычный 5 3 68 3" xfId="13475"/>
    <cellStyle name="Обычный 5 3 68 3 2" xfId="45519"/>
    <cellStyle name="Обычный 5 3 68 4" xfId="24156"/>
    <cellStyle name="Обычный 5 3 68 4 2" xfId="56199"/>
    <cellStyle name="Обычный 5 3 68 5" xfId="34839"/>
    <cellStyle name="Обычный 5 3 69" xfId="2825"/>
    <cellStyle name="Обычный 5 3 69 2" xfId="8167"/>
    <cellStyle name="Обычный 5 3 69 2 2" xfId="18847"/>
    <cellStyle name="Обычный 5 3 69 2 2 2" xfId="50891"/>
    <cellStyle name="Обычный 5 3 69 2 3" xfId="29528"/>
    <cellStyle name="Обычный 5 3 69 2 3 2" xfId="61571"/>
    <cellStyle name="Обычный 5 3 69 2 4" xfId="40211"/>
    <cellStyle name="Обычный 5 3 69 3" xfId="13507"/>
    <cellStyle name="Обычный 5 3 69 3 2" xfId="45551"/>
    <cellStyle name="Обычный 5 3 69 4" xfId="24188"/>
    <cellStyle name="Обычный 5 3 69 4 2" xfId="56231"/>
    <cellStyle name="Обычный 5 3 69 5" xfId="34871"/>
    <cellStyle name="Обычный 5 3 7" xfId="1080"/>
    <cellStyle name="Обычный 5 3 7 2" xfId="6423"/>
    <cellStyle name="Обычный 5 3 7 2 2" xfId="17103"/>
    <cellStyle name="Обычный 5 3 7 2 2 2" xfId="49147"/>
    <cellStyle name="Обычный 5 3 7 2 3" xfId="27784"/>
    <cellStyle name="Обычный 5 3 7 2 3 2" xfId="59827"/>
    <cellStyle name="Обычный 5 3 7 2 4" xfId="38467"/>
    <cellStyle name="Обычный 5 3 7 3" xfId="11763"/>
    <cellStyle name="Обычный 5 3 7 3 2" xfId="43807"/>
    <cellStyle name="Обычный 5 3 7 4" xfId="22444"/>
    <cellStyle name="Обычный 5 3 7 4 2" xfId="54487"/>
    <cellStyle name="Обычный 5 3 7 5" xfId="33127"/>
    <cellStyle name="Обычный 5 3 70" xfId="2857"/>
    <cellStyle name="Обычный 5 3 70 2" xfId="8199"/>
    <cellStyle name="Обычный 5 3 70 2 2" xfId="18879"/>
    <cellStyle name="Обычный 5 3 70 2 2 2" xfId="50923"/>
    <cellStyle name="Обычный 5 3 70 2 3" xfId="29560"/>
    <cellStyle name="Обычный 5 3 70 2 3 2" xfId="61603"/>
    <cellStyle name="Обычный 5 3 70 2 4" xfId="40243"/>
    <cellStyle name="Обычный 5 3 70 3" xfId="13539"/>
    <cellStyle name="Обычный 5 3 70 3 2" xfId="45583"/>
    <cellStyle name="Обычный 5 3 70 4" xfId="24220"/>
    <cellStyle name="Обычный 5 3 70 4 2" xfId="56263"/>
    <cellStyle name="Обычный 5 3 70 5" xfId="34903"/>
    <cellStyle name="Обычный 5 3 71" xfId="2889"/>
    <cellStyle name="Обычный 5 3 71 2" xfId="8231"/>
    <cellStyle name="Обычный 5 3 71 2 2" xfId="18911"/>
    <cellStyle name="Обычный 5 3 71 2 2 2" xfId="50955"/>
    <cellStyle name="Обычный 5 3 71 2 3" xfId="29592"/>
    <cellStyle name="Обычный 5 3 71 2 3 2" xfId="61635"/>
    <cellStyle name="Обычный 5 3 71 2 4" xfId="40275"/>
    <cellStyle name="Обычный 5 3 71 3" xfId="13571"/>
    <cellStyle name="Обычный 5 3 71 3 2" xfId="45615"/>
    <cellStyle name="Обычный 5 3 71 4" xfId="24252"/>
    <cellStyle name="Обычный 5 3 71 4 2" xfId="56295"/>
    <cellStyle name="Обычный 5 3 71 5" xfId="34935"/>
    <cellStyle name="Обычный 5 3 72" xfId="2921"/>
    <cellStyle name="Обычный 5 3 72 2" xfId="8263"/>
    <cellStyle name="Обычный 5 3 72 2 2" xfId="18943"/>
    <cellStyle name="Обычный 5 3 72 2 2 2" xfId="50987"/>
    <cellStyle name="Обычный 5 3 72 2 3" xfId="29624"/>
    <cellStyle name="Обычный 5 3 72 2 3 2" xfId="61667"/>
    <cellStyle name="Обычный 5 3 72 2 4" xfId="40307"/>
    <cellStyle name="Обычный 5 3 72 3" xfId="13603"/>
    <cellStyle name="Обычный 5 3 72 3 2" xfId="45647"/>
    <cellStyle name="Обычный 5 3 72 4" xfId="24284"/>
    <cellStyle name="Обычный 5 3 72 4 2" xfId="56327"/>
    <cellStyle name="Обычный 5 3 72 5" xfId="34967"/>
    <cellStyle name="Обычный 5 3 73" xfId="2953"/>
    <cellStyle name="Обычный 5 3 73 2" xfId="8295"/>
    <cellStyle name="Обычный 5 3 73 2 2" xfId="18975"/>
    <cellStyle name="Обычный 5 3 73 2 2 2" xfId="51019"/>
    <cellStyle name="Обычный 5 3 73 2 3" xfId="29656"/>
    <cellStyle name="Обычный 5 3 73 2 3 2" xfId="61699"/>
    <cellStyle name="Обычный 5 3 73 2 4" xfId="40339"/>
    <cellStyle name="Обычный 5 3 73 3" xfId="13635"/>
    <cellStyle name="Обычный 5 3 73 3 2" xfId="45679"/>
    <cellStyle name="Обычный 5 3 73 4" xfId="24316"/>
    <cellStyle name="Обычный 5 3 73 4 2" xfId="56359"/>
    <cellStyle name="Обычный 5 3 73 5" xfId="34999"/>
    <cellStyle name="Обычный 5 3 74" xfId="2985"/>
    <cellStyle name="Обычный 5 3 74 2" xfId="8327"/>
    <cellStyle name="Обычный 5 3 74 2 2" xfId="19007"/>
    <cellStyle name="Обычный 5 3 74 2 2 2" xfId="51051"/>
    <cellStyle name="Обычный 5 3 74 2 3" xfId="29688"/>
    <cellStyle name="Обычный 5 3 74 2 3 2" xfId="61731"/>
    <cellStyle name="Обычный 5 3 74 2 4" xfId="40371"/>
    <cellStyle name="Обычный 5 3 74 3" xfId="13667"/>
    <cellStyle name="Обычный 5 3 74 3 2" xfId="45711"/>
    <cellStyle name="Обычный 5 3 74 4" xfId="24348"/>
    <cellStyle name="Обычный 5 3 74 4 2" xfId="56391"/>
    <cellStyle name="Обычный 5 3 74 5" xfId="35031"/>
    <cellStyle name="Обычный 5 3 75" xfId="3017"/>
    <cellStyle name="Обычный 5 3 75 2" xfId="8359"/>
    <cellStyle name="Обычный 5 3 75 2 2" xfId="19039"/>
    <cellStyle name="Обычный 5 3 75 2 2 2" xfId="51083"/>
    <cellStyle name="Обычный 5 3 75 2 3" xfId="29720"/>
    <cellStyle name="Обычный 5 3 75 2 3 2" xfId="61763"/>
    <cellStyle name="Обычный 5 3 75 2 4" xfId="40403"/>
    <cellStyle name="Обычный 5 3 75 3" xfId="13699"/>
    <cellStyle name="Обычный 5 3 75 3 2" xfId="45743"/>
    <cellStyle name="Обычный 5 3 75 4" xfId="24380"/>
    <cellStyle name="Обычный 5 3 75 4 2" xfId="56423"/>
    <cellStyle name="Обычный 5 3 75 5" xfId="35063"/>
    <cellStyle name="Обычный 5 3 76" xfId="3049"/>
    <cellStyle name="Обычный 5 3 76 2" xfId="8391"/>
    <cellStyle name="Обычный 5 3 76 2 2" xfId="19071"/>
    <cellStyle name="Обычный 5 3 76 2 2 2" xfId="51115"/>
    <cellStyle name="Обычный 5 3 76 2 3" xfId="29752"/>
    <cellStyle name="Обычный 5 3 76 2 3 2" xfId="61795"/>
    <cellStyle name="Обычный 5 3 76 2 4" xfId="40435"/>
    <cellStyle name="Обычный 5 3 76 3" xfId="13731"/>
    <cellStyle name="Обычный 5 3 76 3 2" xfId="45775"/>
    <cellStyle name="Обычный 5 3 76 4" xfId="24412"/>
    <cellStyle name="Обычный 5 3 76 4 2" xfId="56455"/>
    <cellStyle name="Обычный 5 3 76 5" xfId="35095"/>
    <cellStyle name="Обычный 5 3 77" xfId="3081"/>
    <cellStyle name="Обычный 5 3 77 2" xfId="8423"/>
    <cellStyle name="Обычный 5 3 77 2 2" xfId="19103"/>
    <cellStyle name="Обычный 5 3 77 2 2 2" xfId="51147"/>
    <cellStyle name="Обычный 5 3 77 2 3" xfId="29784"/>
    <cellStyle name="Обычный 5 3 77 2 3 2" xfId="61827"/>
    <cellStyle name="Обычный 5 3 77 2 4" xfId="40467"/>
    <cellStyle name="Обычный 5 3 77 3" xfId="13763"/>
    <cellStyle name="Обычный 5 3 77 3 2" xfId="45807"/>
    <cellStyle name="Обычный 5 3 77 4" xfId="24444"/>
    <cellStyle name="Обычный 5 3 77 4 2" xfId="56487"/>
    <cellStyle name="Обычный 5 3 77 5" xfId="35127"/>
    <cellStyle name="Обычный 5 3 78" xfId="3114"/>
    <cellStyle name="Обычный 5 3 78 2" xfId="8455"/>
    <cellStyle name="Обычный 5 3 78 2 2" xfId="19135"/>
    <cellStyle name="Обычный 5 3 78 2 2 2" xfId="51179"/>
    <cellStyle name="Обычный 5 3 78 2 3" xfId="29816"/>
    <cellStyle name="Обычный 5 3 78 2 3 2" xfId="61859"/>
    <cellStyle name="Обычный 5 3 78 2 4" xfId="40499"/>
    <cellStyle name="Обычный 5 3 78 3" xfId="13795"/>
    <cellStyle name="Обычный 5 3 78 3 2" xfId="45839"/>
    <cellStyle name="Обычный 5 3 78 4" xfId="24476"/>
    <cellStyle name="Обычный 5 3 78 4 2" xfId="56519"/>
    <cellStyle name="Обычный 5 3 78 5" xfId="35159"/>
    <cellStyle name="Обычный 5 3 79" xfId="3146"/>
    <cellStyle name="Обычный 5 3 79 2" xfId="8487"/>
    <cellStyle name="Обычный 5 3 79 2 2" xfId="19167"/>
    <cellStyle name="Обычный 5 3 79 2 2 2" xfId="51211"/>
    <cellStyle name="Обычный 5 3 79 2 3" xfId="29848"/>
    <cellStyle name="Обычный 5 3 79 2 3 2" xfId="61891"/>
    <cellStyle name="Обычный 5 3 79 2 4" xfId="40531"/>
    <cellStyle name="Обычный 5 3 79 3" xfId="13827"/>
    <cellStyle name="Обычный 5 3 79 3 2" xfId="45871"/>
    <cellStyle name="Обычный 5 3 79 4" xfId="24508"/>
    <cellStyle name="Обычный 5 3 79 4 2" xfId="56551"/>
    <cellStyle name="Обычный 5 3 79 5" xfId="35191"/>
    <cellStyle name="Обычный 5 3 8" xfId="1106"/>
    <cellStyle name="Обычный 5 3 8 2" xfId="6449"/>
    <cellStyle name="Обычный 5 3 8 2 2" xfId="17129"/>
    <cellStyle name="Обычный 5 3 8 2 2 2" xfId="49173"/>
    <cellStyle name="Обычный 5 3 8 2 3" xfId="27810"/>
    <cellStyle name="Обычный 5 3 8 2 3 2" xfId="59853"/>
    <cellStyle name="Обычный 5 3 8 2 4" xfId="38493"/>
    <cellStyle name="Обычный 5 3 8 3" xfId="11789"/>
    <cellStyle name="Обычный 5 3 8 3 2" xfId="43833"/>
    <cellStyle name="Обычный 5 3 8 4" xfId="22470"/>
    <cellStyle name="Обычный 5 3 8 4 2" xfId="54513"/>
    <cellStyle name="Обычный 5 3 8 5" xfId="33153"/>
    <cellStyle name="Обычный 5 3 80" xfId="3178"/>
    <cellStyle name="Обычный 5 3 80 2" xfId="8519"/>
    <cellStyle name="Обычный 5 3 80 2 2" xfId="19199"/>
    <cellStyle name="Обычный 5 3 80 2 2 2" xfId="51243"/>
    <cellStyle name="Обычный 5 3 80 2 3" xfId="29880"/>
    <cellStyle name="Обычный 5 3 80 2 3 2" xfId="61923"/>
    <cellStyle name="Обычный 5 3 80 2 4" xfId="40563"/>
    <cellStyle name="Обычный 5 3 80 3" xfId="13859"/>
    <cellStyle name="Обычный 5 3 80 3 2" xfId="45903"/>
    <cellStyle name="Обычный 5 3 80 4" xfId="24540"/>
    <cellStyle name="Обычный 5 3 80 4 2" xfId="56583"/>
    <cellStyle name="Обычный 5 3 80 5" xfId="35223"/>
    <cellStyle name="Обычный 5 3 81" xfId="3210"/>
    <cellStyle name="Обычный 5 3 81 2" xfId="8551"/>
    <cellStyle name="Обычный 5 3 81 2 2" xfId="19231"/>
    <cellStyle name="Обычный 5 3 81 2 2 2" xfId="51275"/>
    <cellStyle name="Обычный 5 3 81 2 3" xfId="29912"/>
    <cellStyle name="Обычный 5 3 81 2 3 2" xfId="61955"/>
    <cellStyle name="Обычный 5 3 81 2 4" xfId="40595"/>
    <cellStyle name="Обычный 5 3 81 3" xfId="13891"/>
    <cellStyle name="Обычный 5 3 81 3 2" xfId="45935"/>
    <cellStyle name="Обычный 5 3 81 4" xfId="24572"/>
    <cellStyle name="Обычный 5 3 81 4 2" xfId="56615"/>
    <cellStyle name="Обычный 5 3 81 5" xfId="35255"/>
    <cellStyle name="Обычный 5 3 82" xfId="3242"/>
    <cellStyle name="Обычный 5 3 82 2" xfId="8583"/>
    <cellStyle name="Обычный 5 3 82 2 2" xfId="19263"/>
    <cellStyle name="Обычный 5 3 82 2 2 2" xfId="51307"/>
    <cellStyle name="Обычный 5 3 82 2 3" xfId="29944"/>
    <cellStyle name="Обычный 5 3 82 2 3 2" xfId="61987"/>
    <cellStyle name="Обычный 5 3 82 2 4" xfId="40627"/>
    <cellStyle name="Обычный 5 3 82 3" xfId="13923"/>
    <cellStyle name="Обычный 5 3 82 3 2" xfId="45967"/>
    <cellStyle name="Обычный 5 3 82 4" xfId="24604"/>
    <cellStyle name="Обычный 5 3 82 4 2" xfId="56647"/>
    <cellStyle name="Обычный 5 3 82 5" xfId="35287"/>
    <cellStyle name="Обычный 5 3 83" xfId="3274"/>
    <cellStyle name="Обычный 5 3 83 2" xfId="8615"/>
    <cellStyle name="Обычный 5 3 83 2 2" xfId="19295"/>
    <cellStyle name="Обычный 5 3 83 2 2 2" xfId="51339"/>
    <cellStyle name="Обычный 5 3 83 2 3" xfId="29976"/>
    <cellStyle name="Обычный 5 3 83 2 3 2" xfId="62019"/>
    <cellStyle name="Обычный 5 3 83 2 4" xfId="40659"/>
    <cellStyle name="Обычный 5 3 83 3" xfId="13955"/>
    <cellStyle name="Обычный 5 3 83 3 2" xfId="45999"/>
    <cellStyle name="Обычный 5 3 83 4" xfId="24636"/>
    <cellStyle name="Обычный 5 3 83 4 2" xfId="56679"/>
    <cellStyle name="Обычный 5 3 83 5" xfId="35319"/>
    <cellStyle name="Обычный 5 3 84" xfId="3306"/>
    <cellStyle name="Обычный 5 3 84 2" xfId="8647"/>
    <cellStyle name="Обычный 5 3 84 2 2" xfId="19327"/>
    <cellStyle name="Обычный 5 3 84 2 2 2" xfId="51371"/>
    <cellStyle name="Обычный 5 3 84 2 3" xfId="30008"/>
    <cellStyle name="Обычный 5 3 84 2 3 2" xfId="62051"/>
    <cellStyle name="Обычный 5 3 84 2 4" xfId="40691"/>
    <cellStyle name="Обычный 5 3 84 3" xfId="13987"/>
    <cellStyle name="Обычный 5 3 84 3 2" xfId="46031"/>
    <cellStyle name="Обычный 5 3 84 4" xfId="24668"/>
    <cellStyle name="Обычный 5 3 84 4 2" xfId="56711"/>
    <cellStyle name="Обычный 5 3 84 5" xfId="35351"/>
    <cellStyle name="Обычный 5 3 85" xfId="3338"/>
    <cellStyle name="Обычный 5 3 85 2" xfId="8679"/>
    <cellStyle name="Обычный 5 3 85 2 2" xfId="19359"/>
    <cellStyle name="Обычный 5 3 85 2 2 2" xfId="51403"/>
    <cellStyle name="Обычный 5 3 85 2 3" xfId="30040"/>
    <cellStyle name="Обычный 5 3 85 2 3 2" xfId="62083"/>
    <cellStyle name="Обычный 5 3 85 2 4" xfId="40723"/>
    <cellStyle name="Обычный 5 3 85 3" xfId="14019"/>
    <cellStyle name="Обычный 5 3 85 3 2" xfId="46063"/>
    <cellStyle name="Обычный 5 3 85 4" xfId="24700"/>
    <cellStyle name="Обычный 5 3 85 4 2" xfId="56743"/>
    <cellStyle name="Обычный 5 3 85 5" xfId="35383"/>
    <cellStyle name="Обычный 5 3 86" xfId="3370"/>
    <cellStyle name="Обычный 5 3 86 2" xfId="8711"/>
    <cellStyle name="Обычный 5 3 86 2 2" xfId="19391"/>
    <cellStyle name="Обычный 5 3 86 2 2 2" xfId="51435"/>
    <cellStyle name="Обычный 5 3 86 2 3" xfId="30072"/>
    <cellStyle name="Обычный 5 3 86 2 3 2" xfId="62115"/>
    <cellStyle name="Обычный 5 3 86 2 4" xfId="40755"/>
    <cellStyle name="Обычный 5 3 86 3" xfId="14051"/>
    <cellStyle name="Обычный 5 3 86 3 2" xfId="46095"/>
    <cellStyle name="Обычный 5 3 86 4" xfId="24732"/>
    <cellStyle name="Обычный 5 3 86 4 2" xfId="56775"/>
    <cellStyle name="Обычный 5 3 86 5" xfId="35415"/>
    <cellStyle name="Обычный 5 3 87" xfId="3402"/>
    <cellStyle name="Обычный 5 3 87 2" xfId="8743"/>
    <cellStyle name="Обычный 5 3 87 2 2" xfId="19423"/>
    <cellStyle name="Обычный 5 3 87 2 2 2" xfId="51467"/>
    <cellStyle name="Обычный 5 3 87 2 3" xfId="30104"/>
    <cellStyle name="Обычный 5 3 87 2 3 2" xfId="62147"/>
    <cellStyle name="Обычный 5 3 87 2 4" xfId="40787"/>
    <cellStyle name="Обычный 5 3 87 3" xfId="14083"/>
    <cellStyle name="Обычный 5 3 87 3 2" xfId="46127"/>
    <cellStyle name="Обычный 5 3 87 4" xfId="24764"/>
    <cellStyle name="Обычный 5 3 87 4 2" xfId="56807"/>
    <cellStyle name="Обычный 5 3 87 5" xfId="35447"/>
    <cellStyle name="Обычный 5 3 88" xfId="3434"/>
    <cellStyle name="Обычный 5 3 88 2" xfId="8775"/>
    <cellStyle name="Обычный 5 3 88 2 2" xfId="19455"/>
    <cellStyle name="Обычный 5 3 88 2 2 2" xfId="51499"/>
    <cellStyle name="Обычный 5 3 88 2 3" xfId="30136"/>
    <cellStyle name="Обычный 5 3 88 2 3 2" xfId="62179"/>
    <cellStyle name="Обычный 5 3 88 2 4" xfId="40819"/>
    <cellStyle name="Обычный 5 3 88 3" xfId="14115"/>
    <cellStyle name="Обычный 5 3 88 3 2" xfId="46159"/>
    <cellStyle name="Обычный 5 3 88 4" xfId="24796"/>
    <cellStyle name="Обычный 5 3 88 4 2" xfId="56839"/>
    <cellStyle name="Обычный 5 3 88 5" xfId="35479"/>
    <cellStyle name="Обычный 5 3 89" xfId="3466"/>
    <cellStyle name="Обычный 5 3 89 2" xfId="8807"/>
    <cellStyle name="Обычный 5 3 89 2 2" xfId="19487"/>
    <cellStyle name="Обычный 5 3 89 2 2 2" xfId="51531"/>
    <cellStyle name="Обычный 5 3 89 2 3" xfId="30168"/>
    <cellStyle name="Обычный 5 3 89 2 3 2" xfId="62211"/>
    <cellStyle name="Обычный 5 3 89 2 4" xfId="40851"/>
    <cellStyle name="Обычный 5 3 89 3" xfId="14147"/>
    <cellStyle name="Обычный 5 3 89 3 2" xfId="46191"/>
    <cellStyle name="Обычный 5 3 89 4" xfId="24828"/>
    <cellStyle name="Обычный 5 3 89 4 2" xfId="56871"/>
    <cellStyle name="Обычный 5 3 89 5" xfId="35511"/>
    <cellStyle name="Обычный 5 3 9" xfId="1132"/>
    <cellStyle name="Обычный 5 3 9 2" xfId="6475"/>
    <cellStyle name="Обычный 5 3 9 2 2" xfId="17155"/>
    <cellStyle name="Обычный 5 3 9 2 2 2" xfId="49199"/>
    <cellStyle name="Обычный 5 3 9 2 3" xfId="27836"/>
    <cellStyle name="Обычный 5 3 9 2 3 2" xfId="59879"/>
    <cellStyle name="Обычный 5 3 9 2 4" xfId="38519"/>
    <cellStyle name="Обычный 5 3 9 3" xfId="11815"/>
    <cellStyle name="Обычный 5 3 9 3 2" xfId="43859"/>
    <cellStyle name="Обычный 5 3 9 4" xfId="22496"/>
    <cellStyle name="Обычный 5 3 9 4 2" xfId="54539"/>
    <cellStyle name="Обычный 5 3 9 5" xfId="33179"/>
    <cellStyle name="Обычный 5 3 90" xfId="3498"/>
    <cellStyle name="Обычный 5 3 90 2" xfId="8839"/>
    <cellStyle name="Обычный 5 3 90 2 2" xfId="19519"/>
    <cellStyle name="Обычный 5 3 90 2 2 2" xfId="51563"/>
    <cellStyle name="Обычный 5 3 90 2 3" xfId="30200"/>
    <cellStyle name="Обычный 5 3 90 2 3 2" xfId="62243"/>
    <cellStyle name="Обычный 5 3 90 2 4" xfId="40883"/>
    <cellStyle name="Обычный 5 3 90 3" xfId="14179"/>
    <cellStyle name="Обычный 5 3 90 3 2" xfId="46223"/>
    <cellStyle name="Обычный 5 3 90 4" xfId="24860"/>
    <cellStyle name="Обычный 5 3 90 4 2" xfId="56903"/>
    <cellStyle name="Обычный 5 3 90 5" xfId="35543"/>
    <cellStyle name="Обычный 5 3 91" xfId="3530"/>
    <cellStyle name="Обычный 5 3 91 2" xfId="8871"/>
    <cellStyle name="Обычный 5 3 91 2 2" xfId="19551"/>
    <cellStyle name="Обычный 5 3 91 2 2 2" xfId="51595"/>
    <cellStyle name="Обычный 5 3 91 2 3" xfId="30232"/>
    <cellStyle name="Обычный 5 3 91 2 3 2" xfId="62275"/>
    <cellStyle name="Обычный 5 3 91 2 4" xfId="40915"/>
    <cellStyle name="Обычный 5 3 91 3" xfId="14211"/>
    <cellStyle name="Обычный 5 3 91 3 2" xfId="46255"/>
    <cellStyle name="Обычный 5 3 91 4" xfId="24892"/>
    <cellStyle name="Обычный 5 3 91 4 2" xfId="56935"/>
    <cellStyle name="Обычный 5 3 91 5" xfId="35575"/>
    <cellStyle name="Обычный 5 3 92" xfId="3562"/>
    <cellStyle name="Обычный 5 3 92 2" xfId="8903"/>
    <cellStyle name="Обычный 5 3 92 2 2" xfId="19583"/>
    <cellStyle name="Обычный 5 3 92 2 2 2" xfId="51627"/>
    <cellStyle name="Обычный 5 3 92 2 3" xfId="30264"/>
    <cellStyle name="Обычный 5 3 92 2 3 2" xfId="62307"/>
    <cellStyle name="Обычный 5 3 92 2 4" xfId="40947"/>
    <cellStyle name="Обычный 5 3 92 3" xfId="14243"/>
    <cellStyle name="Обычный 5 3 92 3 2" xfId="46287"/>
    <cellStyle name="Обычный 5 3 92 4" xfId="24924"/>
    <cellStyle name="Обычный 5 3 92 4 2" xfId="56967"/>
    <cellStyle name="Обычный 5 3 92 5" xfId="35607"/>
    <cellStyle name="Обычный 5 3 93" xfId="3594"/>
    <cellStyle name="Обычный 5 3 93 2" xfId="8935"/>
    <cellStyle name="Обычный 5 3 93 2 2" xfId="19615"/>
    <cellStyle name="Обычный 5 3 93 2 2 2" xfId="51659"/>
    <cellStyle name="Обычный 5 3 93 2 3" xfId="30296"/>
    <cellStyle name="Обычный 5 3 93 2 3 2" xfId="62339"/>
    <cellStyle name="Обычный 5 3 93 2 4" xfId="40979"/>
    <cellStyle name="Обычный 5 3 93 3" xfId="14275"/>
    <cellStyle name="Обычный 5 3 93 3 2" xfId="46319"/>
    <cellStyle name="Обычный 5 3 93 4" xfId="24956"/>
    <cellStyle name="Обычный 5 3 93 4 2" xfId="56999"/>
    <cellStyle name="Обычный 5 3 93 5" xfId="35639"/>
    <cellStyle name="Обычный 5 3 94" xfId="3626"/>
    <cellStyle name="Обычный 5 3 94 2" xfId="8967"/>
    <cellStyle name="Обычный 5 3 94 2 2" xfId="19647"/>
    <cellStyle name="Обычный 5 3 94 2 2 2" xfId="51691"/>
    <cellStyle name="Обычный 5 3 94 2 3" xfId="30328"/>
    <cellStyle name="Обычный 5 3 94 2 3 2" xfId="62371"/>
    <cellStyle name="Обычный 5 3 94 2 4" xfId="41011"/>
    <cellStyle name="Обычный 5 3 94 3" xfId="14307"/>
    <cellStyle name="Обычный 5 3 94 3 2" xfId="46351"/>
    <cellStyle name="Обычный 5 3 94 4" xfId="24988"/>
    <cellStyle name="Обычный 5 3 94 4 2" xfId="57031"/>
    <cellStyle name="Обычный 5 3 94 5" xfId="35671"/>
    <cellStyle name="Обычный 5 3 95" xfId="3658"/>
    <cellStyle name="Обычный 5 3 95 2" xfId="8999"/>
    <cellStyle name="Обычный 5 3 95 2 2" xfId="19679"/>
    <cellStyle name="Обычный 5 3 95 2 2 2" xfId="51723"/>
    <cellStyle name="Обычный 5 3 95 2 3" xfId="30360"/>
    <cellStyle name="Обычный 5 3 95 2 3 2" xfId="62403"/>
    <cellStyle name="Обычный 5 3 95 2 4" xfId="41043"/>
    <cellStyle name="Обычный 5 3 95 3" xfId="14339"/>
    <cellStyle name="Обычный 5 3 95 3 2" xfId="46383"/>
    <cellStyle name="Обычный 5 3 95 4" xfId="25020"/>
    <cellStyle name="Обычный 5 3 95 4 2" xfId="57063"/>
    <cellStyle name="Обычный 5 3 95 5" xfId="35703"/>
    <cellStyle name="Обычный 5 3 96" xfId="3690"/>
    <cellStyle name="Обычный 5 3 96 2" xfId="9031"/>
    <cellStyle name="Обычный 5 3 96 2 2" xfId="19711"/>
    <cellStyle name="Обычный 5 3 96 2 2 2" xfId="51755"/>
    <cellStyle name="Обычный 5 3 96 2 3" xfId="30392"/>
    <cellStyle name="Обычный 5 3 96 2 3 2" xfId="62435"/>
    <cellStyle name="Обычный 5 3 96 2 4" xfId="41075"/>
    <cellStyle name="Обычный 5 3 96 3" xfId="14371"/>
    <cellStyle name="Обычный 5 3 96 3 2" xfId="46415"/>
    <cellStyle name="Обычный 5 3 96 4" xfId="25052"/>
    <cellStyle name="Обычный 5 3 96 4 2" xfId="57095"/>
    <cellStyle name="Обычный 5 3 96 5" xfId="35735"/>
    <cellStyle name="Обычный 5 3 97" xfId="3722"/>
    <cellStyle name="Обычный 5 3 97 2" xfId="9063"/>
    <cellStyle name="Обычный 5 3 97 2 2" xfId="19743"/>
    <cellStyle name="Обычный 5 3 97 2 2 2" xfId="51787"/>
    <cellStyle name="Обычный 5 3 97 2 3" xfId="30424"/>
    <cellStyle name="Обычный 5 3 97 2 3 2" xfId="62467"/>
    <cellStyle name="Обычный 5 3 97 2 4" xfId="41107"/>
    <cellStyle name="Обычный 5 3 97 3" xfId="14403"/>
    <cellStyle name="Обычный 5 3 97 3 2" xfId="46447"/>
    <cellStyle name="Обычный 5 3 97 4" xfId="25084"/>
    <cellStyle name="Обычный 5 3 97 4 2" xfId="57127"/>
    <cellStyle name="Обычный 5 3 97 5" xfId="35767"/>
    <cellStyle name="Обычный 5 3 98" xfId="3754"/>
    <cellStyle name="Обычный 5 3 98 2" xfId="9095"/>
    <cellStyle name="Обычный 5 3 98 2 2" xfId="19775"/>
    <cellStyle name="Обычный 5 3 98 2 2 2" xfId="51819"/>
    <cellStyle name="Обычный 5 3 98 2 3" xfId="30456"/>
    <cellStyle name="Обычный 5 3 98 2 3 2" xfId="62499"/>
    <cellStyle name="Обычный 5 3 98 2 4" xfId="41139"/>
    <cellStyle name="Обычный 5 3 98 3" xfId="14435"/>
    <cellStyle name="Обычный 5 3 98 3 2" xfId="46479"/>
    <cellStyle name="Обычный 5 3 98 4" xfId="25116"/>
    <cellStyle name="Обычный 5 3 98 4 2" xfId="57159"/>
    <cellStyle name="Обычный 5 3 98 5" xfId="35799"/>
    <cellStyle name="Обычный 5 3 99" xfId="3786"/>
    <cellStyle name="Обычный 5 3 99 2" xfId="9127"/>
    <cellStyle name="Обычный 5 3 99 2 2" xfId="19807"/>
    <cellStyle name="Обычный 5 3 99 2 2 2" xfId="51851"/>
    <cellStyle name="Обычный 5 3 99 2 3" xfId="30488"/>
    <cellStyle name="Обычный 5 3 99 2 3 2" xfId="62531"/>
    <cellStyle name="Обычный 5 3 99 2 4" xfId="41171"/>
    <cellStyle name="Обычный 5 3 99 3" xfId="14467"/>
    <cellStyle name="Обычный 5 3 99 3 2" xfId="46511"/>
    <cellStyle name="Обычный 5 3 99 4" xfId="25148"/>
    <cellStyle name="Обычный 5 3 99 4 2" xfId="57191"/>
    <cellStyle name="Обычный 5 3 99 5" xfId="35831"/>
    <cellStyle name="Обычный 5 30" xfId="292"/>
    <cellStyle name="Обычный 5 30 2" xfId="760"/>
    <cellStyle name="Обычный 5 30 2 2" xfId="6103"/>
    <cellStyle name="Обычный 5 30 2 2 2" xfId="16783"/>
    <cellStyle name="Обычный 5 30 2 2 2 2" xfId="48827"/>
    <cellStyle name="Обычный 5 30 2 2 3" xfId="27464"/>
    <cellStyle name="Обычный 5 30 2 2 3 2" xfId="59507"/>
    <cellStyle name="Обычный 5 30 2 2 4" xfId="38147"/>
    <cellStyle name="Обычный 5 30 2 3" xfId="11443"/>
    <cellStyle name="Обычный 5 30 2 3 2" xfId="43487"/>
    <cellStyle name="Обычный 5 30 2 4" xfId="22124"/>
    <cellStyle name="Обычный 5 30 2 4 2" xfId="54167"/>
    <cellStyle name="Обычный 5 30 2 5" xfId="32807"/>
    <cellStyle name="Обычный 5 30 3" xfId="5636"/>
    <cellStyle name="Обычный 5 30 3 2" xfId="16316"/>
    <cellStyle name="Обычный 5 30 3 2 2" xfId="48360"/>
    <cellStyle name="Обычный 5 30 3 3" xfId="26997"/>
    <cellStyle name="Обычный 5 30 3 3 2" xfId="59040"/>
    <cellStyle name="Обычный 5 30 3 4" xfId="37680"/>
    <cellStyle name="Обычный 5 30 4" xfId="10976"/>
    <cellStyle name="Обычный 5 30 4 2" xfId="43020"/>
    <cellStyle name="Обычный 5 30 5" xfId="21657"/>
    <cellStyle name="Обычный 5 30 5 2" xfId="53700"/>
    <cellStyle name="Обычный 5 30 6" xfId="32340"/>
    <cellStyle name="Обычный 5 31" xfId="302"/>
    <cellStyle name="Обычный 5 31 2" xfId="770"/>
    <cellStyle name="Обычный 5 31 2 2" xfId="6113"/>
    <cellStyle name="Обычный 5 31 2 2 2" xfId="16793"/>
    <cellStyle name="Обычный 5 31 2 2 2 2" xfId="48837"/>
    <cellStyle name="Обычный 5 31 2 2 3" xfId="27474"/>
    <cellStyle name="Обычный 5 31 2 2 3 2" xfId="59517"/>
    <cellStyle name="Обычный 5 31 2 2 4" xfId="38157"/>
    <cellStyle name="Обычный 5 31 2 3" xfId="11453"/>
    <cellStyle name="Обычный 5 31 2 3 2" xfId="43497"/>
    <cellStyle name="Обычный 5 31 2 4" xfId="22134"/>
    <cellStyle name="Обычный 5 31 2 4 2" xfId="54177"/>
    <cellStyle name="Обычный 5 31 2 5" xfId="32817"/>
    <cellStyle name="Обычный 5 31 3" xfId="5646"/>
    <cellStyle name="Обычный 5 31 3 2" xfId="16326"/>
    <cellStyle name="Обычный 5 31 3 2 2" xfId="48370"/>
    <cellStyle name="Обычный 5 31 3 3" xfId="27007"/>
    <cellStyle name="Обычный 5 31 3 3 2" xfId="59050"/>
    <cellStyle name="Обычный 5 31 3 4" xfId="37690"/>
    <cellStyle name="Обычный 5 31 4" xfId="10986"/>
    <cellStyle name="Обычный 5 31 4 2" xfId="43030"/>
    <cellStyle name="Обычный 5 31 5" xfId="21667"/>
    <cellStyle name="Обычный 5 31 5 2" xfId="53710"/>
    <cellStyle name="Обычный 5 31 6" xfId="32350"/>
    <cellStyle name="Обычный 5 32" xfId="312"/>
    <cellStyle name="Обычный 5 32 2" xfId="780"/>
    <cellStyle name="Обычный 5 32 2 2" xfId="6123"/>
    <cellStyle name="Обычный 5 32 2 2 2" xfId="16803"/>
    <cellStyle name="Обычный 5 32 2 2 2 2" xfId="48847"/>
    <cellStyle name="Обычный 5 32 2 2 3" xfId="27484"/>
    <cellStyle name="Обычный 5 32 2 2 3 2" xfId="59527"/>
    <cellStyle name="Обычный 5 32 2 2 4" xfId="38167"/>
    <cellStyle name="Обычный 5 32 2 3" xfId="11463"/>
    <cellStyle name="Обычный 5 32 2 3 2" xfId="43507"/>
    <cellStyle name="Обычный 5 32 2 4" xfId="22144"/>
    <cellStyle name="Обычный 5 32 2 4 2" xfId="54187"/>
    <cellStyle name="Обычный 5 32 2 5" xfId="32827"/>
    <cellStyle name="Обычный 5 32 3" xfId="5656"/>
    <cellStyle name="Обычный 5 32 3 2" xfId="16336"/>
    <cellStyle name="Обычный 5 32 3 2 2" xfId="48380"/>
    <cellStyle name="Обычный 5 32 3 3" xfId="27017"/>
    <cellStyle name="Обычный 5 32 3 3 2" xfId="59060"/>
    <cellStyle name="Обычный 5 32 3 4" xfId="37700"/>
    <cellStyle name="Обычный 5 32 4" xfId="10996"/>
    <cellStyle name="Обычный 5 32 4 2" xfId="43040"/>
    <cellStyle name="Обычный 5 32 5" xfId="21677"/>
    <cellStyle name="Обычный 5 32 5 2" xfId="53720"/>
    <cellStyle name="Обычный 5 32 6" xfId="32360"/>
    <cellStyle name="Обычный 5 33" xfId="322"/>
    <cellStyle name="Обычный 5 33 2" xfId="790"/>
    <cellStyle name="Обычный 5 33 2 2" xfId="6133"/>
    <cellStyle name="Обычный 5 33 2 2 2" xfId="16813"/>
    <cellStyle name="Обычный 5 33 2 2 2 2" xfId="48857"/>
    <cellStyle name="Обычный 5 33 2 2 3" xfId="27494"/>
    <cellStyle name="Обычный 5 33 2 2 3 2" xfId="59537"/>
    <cellStyle name="Обычный 5 33 2 2 4" xfId="38177"/>
    <cellStyle name="Обычный 5 33 2 3" xfId="11473"/>
    <cellStyle name="Обычный 5 33 2 3 2" xfId="43517"/>
    <cellStyle name="Обычный 5 33 2 4" xfId="22154"/>
    <cellStyle name="Обычный 5 33 2 4 2" xfId="54197"/>
    <cellStyle name="Обычный 5 33 2 5" xfId="32837"/>
    <cellStyle name="Обычный 5 33 3" xfId="5666"/>
    <cellStyle name="Обычный 5 33 3 2" xfId="16346"/>
    <cellStyle name="Обычный 5 33 3 2 2" xfId="48390"/>
    <cellStyle name="Обычный 5 33 3 3" xfId="27027"/>
    <cellStyle name="Обычный 5 33 3 3 2" xfId="59070"/>
    <cellStyle name="Обычный 5 33 3 4" xfId="37710"/>
    <cellStyle name="Обычный 5 33 4" xfId="11006"/>
    <cellStyle name="Обычный 5 33 4 2" xfId="43050"/>
    <cellStyle name="Обычный 5 33 5" xfId="21687"/>
    <cellStyle name="Обычный 5 33 5 2" xfId="53730"/>
    <cellStyle name="Обычный 5 33 6" xfId="32370"/>
    <cellStyle name="Обычный 5 34" xfId="332"/>
    <cellStyle name="Обычный 5 34 2" xfId="800"/>
    <cellStyle name="Обычный 5 34 2 2" xfId="6143"/>
    <cellStyle name="Обычный 5 34 2 2 2" xfId="16823"/>
    <cellStyle name="Обычный 5 34 2 2 2 2" xfId="48867"/>
    <cellStyle name="Обычный 5 34 2 2 3" xfId="27504"/>
    <cellStyle name="Обычный 5 34 2 2 3 2" xfId="59547"/>
    <cellStyle name="Обычный 5 34 2 2 4" xfId="38187"/>
    <cellStyle name="Обычный 5 34 2 3" xfId="11483"/>
    <cellStyle name="Обычный 5 34 2 3 2" xfId="43527"/>
    <cellStyle name="Обычный 5 34 2 4" xfId="22164"/>
    <cellStyle name="Обычный 5 34 2 4 2" xfId="54207"/>
    <cellStyle name="Обычный 5 34 2 5" xfId="32847"/>
    <cellStyle name="Обычный 5 34 3" xfId="5676"/>
    <cellStyle name="Обычный 5 34 3 2" xfId="16356"/>
    <cellStyle name="Обычный 5 34 3 2 2" xfId="48400"/>
    <cellStyle name="Обычный 5 34 3 3" xfId="27037"/>
    <cellStyle name="Обычный 5 34 3 3 2" xfId="59080"/>
    <cellStyle name="Обычный 5 34 3 4" xfId="37720"/>
    <cellStyle name="Обычный 5 34 4" xfId="11016"/>
    <cellStyle name="Обычный 5 34 4 2" xfId="43060"/>
    <cellStyle name="Обычный 5 34 5" xfId="21697"/>
    <cellStyle name="Обычный 5 34 5 2" xfId="53740"/>
    <cellStyle name="Обычный 5 34 6" xfId="32380"/>
    <cellStyle name="Обычный 5 35" xfId="342"/>
    <cellStyle name="Обычный 5 35 2" xfId="810"/>
    <cellStyle name="Обычный 5 35 2 2" xfId="6153"/>
    <cellStyle name="Обычный 5 35 2 2 2" xfId="16833"/>
    <cellStyle name="Обычный 5 35 2 2 2 2" xfId="48877"/>
    <cellStyle name="Обычный 5 35 2 2 3" xfId="27514"/>
    <cellStyle name="Обычный 5 35 2 2 3 2" xfId="59557"/>
    <cellStyle name="Обычный 5 35 2 2 4" xfId="38197"/>
    <cellStyle name="Обычный 5 35 2 3" xfId="11493"/>
    <cellStyle name="Обычный 5 35 2 3 2" xfId="43537"/>
    <cellStyle name="Обычный 5 35 2 4" xfId="22174"/>
    <cellStyle name="Обычный 5 35 2 4 2" xfId="54217"/>
    <cellStyle name="Обычный 5 35 2 5" xfId="32857"/>
    <cellStyle name="Обычный 5 35 3" xfId="5686"/>
    <cellStyle name="Обычный 5 35 3 2" xfId="16366"/>
    <cellStyle name="Обычный 5 35 3 2 2" xfId="48410"/>
    <cellStyle name="Обычный 5 35 3 3" xfId="27047"/>
    <cellStyle name="Обычный 5 35 3 3 2" xfId="59090"/>
    <cellStyle name="Обычный 5 35 3 4" xfId="37730"/>
    <cellStyle name="Обычный 5 35 4" xfId="11026"/>
    <cellStyle name="Обычный 5 35 4 2" xfId="43070"/>
    <cellStyle name="Обычный 5 35 5" xfId="21707"/>
    <cellStyle name="Обычный 5 35 5 2" xfId="53750"/>
    <cellStyle name="Обычный 5 35 6" xfId="32390"/>
    <cellStyle name="Обычный 5 36" xfId="352"/>
    <cellStyle name="Обычный 5 36 2" xfId="820"/>
    <cellStyle name="Обычный 5 36 2 2" xfId="6163"/>
    <cellStyle name="Обычный 5 36 2 2 2" xfId="16843"/>
    <cellStyle name="Обычный 5 36 2 2 2 2" xfId="48887"/>
    <cellStyle name="Обычный 5 36 2 2 3" xfId="27524"/>
    <cellStyle name="Обычный 5 36 2 2 3 2" xfId="59567"/>
    <cellStyle name="Обычный 5 36 2 2 4" xfId="38207"/>
    <cellStyle name="Обычный 5 36 2 3" xfId="11503"/>
    <cellStyle name="Обычный 5 36 2 3 2" xfId="43547"/>
    <cellStyle name="Обычный 5 36 2 4" xfId="22184"/>
    <cellStyle name="Обычный 5 36 2 4 2" xfId="54227"/>
    <cellStyle name="Обычный 5 36 2 5" xfId="32867"/>
    <cellStyle name="Обычный 5 36 3" xfId="5696"/>
    <cellStyle name="Обычный 5 36 3 2" xfId="16376"/>
    <cellStyle name="Обычный 5 36 3 2 2" xfId="48420"/>
    <cellStyle name="Обычный 5 36 3 3" xfId="27057"/>
    <cellStyle name="Обычный 5 36 3 3 2" xfId="59100"/>
    <cellStyle name="Обычный 5 36 3 4" xfId="37740"/>
    <cellStyle name="Обычный 5 36 4" xfId="11036"/>
    <cellStyle name="Обычный 5 36 4 2" xfId="43080"/>
    <cellStyle name="Обычный 5 36 5" xfId="21717"/>
    <cellStyle name="Обычный 5 36 5 2" xfId="53760"/>
    <cellStyle name="Обычный 5 36 6" xfId="32400"/>
    <cellStyle name="Обычный 5 37" xfId="362"/>
    <cellStyle name="Обычный 5 37 2" xfId="830"/>
    <cellStyle name="Обычный 5 37 2 2" xfId="6173"/>
    <cellStyle name="Обычный 5 37 2 2 2" xfId="16853"/>
    <cellStyle name="Обычный 5 37 2 2 2 2" xfId="48897"/>
    <cellStyle name="Обычный 5 37 2 2 3" xfId="27534"/>
    <cellStyle name="Обычный 5 37 2 2 3 2" xfId="59577"/>
    <cellStyle name="Обычный 5 37 2 2 4" xfId="38217"/>
    <cellStyle name="Обычный 5 37 2 3" xfId="11513"/>
    <cellStyle name="Обычный 5 37 2 3 2" xfId="43557"/>
    <cellStyle name="Обычный 5 37 2 4" xfId="22194"/>
    <cellStyle name="Обычный 5 37 2 4 2" xfId="54237"/>
    <cellStyle name="Обычный 5 37 2 5" xfId="32877"/>
    <cellStyle name="Обычный 5 37 3" xfId="5706"/>
    <cellStyle name="Обычный 5 37 3 2" xfId="16386"/>
    <cellStyle name="Обычный 5 37 3 2 2" xfId="48430"/>
    <cellStyle name="Обычный 5 37 3 3" xfId="27067"/>
    <cellStyle name="Обычный 5 37 3 3 2" xfId="59110"/>
    <cellStyle name="Обычный 5 37 3 4" xfId="37750"/>
    <cellStyle name="Обычный 5 37 4" xfId="11046"/>
    <cellStyle name="Обычный 5 37 4 2" xfId="43090"/>
    <cellStyle name="Обычный 5 37 5" xfId="21727"/>
    <cellStyle name="Обычный 5 37 5 2" xfId="53770"/>
    <cellStyle name="Обычный 5 37 6" xfId="32410"/>
    <cellStyle name="Обычный 5 38" xfId="372"/>
    <cellStyle name="Обычный 5 38 2" xfId="840"/>
    <cellStyle name="Обычный 5 38 2 2" xfId="6183"/>
    <cellStyle name="Обычный 5 38 2 2 2" xfId="16863"/>
    <cellStyle name="Обычный 5 38 2 2 2 2" xfId="48907"/>
    <cellStyle name="Обычный 5 38 2 2 3" xfId="27544"/>
    <cellStyle name="Обычный 5 38 2 2 3 2" xfId="59587"/>
    <cellStyle name="Обычный 5 38 2 2 4" xfId="38227"/>
    <cellStyle name="Обычный 5 38 2 3" xfId="11523"/>
    <cellStyle name="Обычный 5 38 2 3 2" xfId="43567"/>
    <cellStyle name="Обычный 5 38 2 4" xfId="22204"/>
    <cellStyle name="Обычный 5 38 2 4 2" xfId="54247"/>
    <cellStyle name="Обычный 5 38 2 5" xfId="32887"/>
    <cellStyle name="Обычный 5 38 3" xfId="5716"/>
    <cellStyle name="Обычный 5 38 3 2" xfId="16396"/>
    <cellStyle name="Обычный 5 38 3 2 2" xfId="48440"/>
    <cellStyle name="Обычный 5 38 3 3" xfId="27077"/>
    <cellStyle name="Обычный 5 38 3 3 2" xfId="59120"/>
    <cellStyle name="Обычный 5 38 3 4" xfId="37760"/>
    <cellStyle name="Обычный 5 38 4" xfId="11056"/>
    <cellStyle name="Обычный 5 38 4 2" xfId="43100"/>
    <cellStyle name="Обычный 5 38 5" xfId="21737"/>
    <cellStyle name="Обычный 5 38 5 2" xfId="53780"/>
    <cellStyle name="Обычный 5 38 6" xfId="32420"/>
    <cellStyle name="Обычный 5 39" xfId="382"/>
    <cellStyle name="Обычный 5 39 2" xfId="850"/>
    <cellStyle name="Обычный 5 39 2 2" xfId="6193"/>
    <cellStyle name="Обычный 5 39 2 2 2" xfId="16873"/>
    <cellStyle name="Обычный 5 39 2 2 2 2" xfId="48917"/>
    <cellStyle name="Обычный 5 39 2 2 3" xfId="27554"/>
    <cellStyle name="Обычный 5 39 2 2 3 2" xfId="59597"/>
    <cellStyle name="Обычный 5 39 2 2 4" xfId="38237"/>
    <cellStyle name="Обычный 5 39 2 3" xfId="11533"/>
    <cellStyle name="Обычный 5 39 2 3 2" xfId="43577"/>
    <cellStyle name="Обычный 5 39 2 4" xfId="22214"/>
    <cellStyle name="Обычный 5 39 2 4 2" xfId="54257"/>
    <cellStyle name="Обычный 5 39 2 5" xfId="32897"/>
    <cellStyle name="Обычный 5 39 3" xfId="5726"/>
    <cellStyle name="Обычный 5 39 3 2" xfId="16406"/>
    <cellStyle name="Обычный 5 39 3 2 2" xfId="48450"/>
    <cellStyle name="Обычный 5 39 3 3" xfId="27087"/>
    <cellStyle name="Обычный 5 39 3 3 2" xfId="59130"/>
    <cellStyle name="Обычный 5 39 3 4" xfId="37770"/>
    <cellStyle name="Обычный 5 39 4" xfId="11066"/>
    <cellStyle name="Обычный 5 39 4 2" xfId="43110"/>
    <cellStyle name="Обычный 5 39 5" xfId="21747"/>
    <cellStyle name="Обычный 5 39 5 2" xfId="53790"/>
    <cellStyle name="Обычный 5 39 6" xfId="32430"/>
    <cellStyle name="Обычный 5 4" xfId="60"/>
    <cellStyle name="Обычный 5 4 2" xfId="528"/>
    <cellStyle name="Обычный 5 4 2 2" xfId="5871"/>
    <cellStyle name="Обычный 5 4 2 2 2" xfId="16551"/>
    <cellStyle name="Обычный 5 4 2 2 2 2" xfId="48595"/>
    <cellStyle name="Обычный 5 4 2 2 3" xfId="27232"/>
    <cellStyle name="Обычный 5 4 2 2 3 2" xfId="59275"/>
    <cellStyle name="Обычный 5 4 2 2 4" xfId="37915"/>
    <cellStyle name="Обычный 5 4 2 3" xfId="11211"/>
    <cellStyle name="Обычный 5 4 2 3 2" xfId="43255"/>
    <cellStyle name="Обычный 5 4 2 4" xfId="21892"/>
    <cellStyle name="Обычный 5 4 2 4 2" xfId="53935"/>
    <cellStyle name="Обычный 5 4 2 5" xfId="32575"/>
    <cellStyle name="Обычный 5 4 3" xfId="5404"/>
    <cellStyle name="Обычный 5 4 3 2" xfId="16084"/>
    <cellStyle name="Обычный 5 4 3 2 2" xfId="48128"/>
    <cellStyle name="Обычный 5 4 3 3" xfId="26765"/>
    <cellStyle name="Обычный 5 4 3 3 2" xfId="58808"/>
    <cellStyle name="Обычный 5 4 3 4" xfId="37448"/>
    <cellStyle name="Обычный 5 4 4" xfId="10744"/>
    <cellStyle name="Обычный 5 4 4 2" xfId="42788"/>
    <cellStyle name="Обычный 5 4 5" xfId="21425"/>
    <cellStyle name="Обычный 5 4 5 2" xfId="53468"/>
    <cellStyle name="Обычный 5 4 6" xfId="32108"/>
    <cellStyle name="Обычный 5 40" xfId="392"/>
    <cellStyle name="Обычный 5 40 2" xfId="860"/>
    <cellStyle name="Обычный 5 40 2 2" xfId="6203"/>
    <cellStyle name="Обычный 5 40 2 2 2" xfId="16883"/>
    <cellStyle name="Обычный 5 40 2 2 2 2" xfId="48927"/>
    <cellStyle name="Обычный 5 40 2 2 3" xfId="27564"/>
    <cellStyle name="Обычный 5 40 2 2 3 2" xfId="59607"/>
    <cellStyle name="Обычный 5 40 2 2 4" xfId="38247"/>
    <cellStyle name="Обычный 5 40 2 3" xfId="11543"/>
    <cellStyle name="Обычный 5 40 2 3 2" xfId="43587"/>
    <cellStyle name="Обычный 5 40 2 4" xfId="22224"/>
    <cellStyle name="Обычный 5 40 2 4 2" xfId="54267"/>
    <cellStyle name="Обычный 5 40 2 5" xfId="32907"/>
    <cellStyle name="Обычный 5 40 3" xfId="5736"/>
    <cellStyle name="Обычный 5 40 3 2" xfId="16416"/>
    <cellStyle name="Обычный 5 40 3 2 2" xfId="48460"/>
    <cellStyle name="Обычный 5 40 3 3" xfId="27097"/>
    <cellStyle name="Обычный 5 40 3 3 2" xfId="59140"/>
    <cellStyle name="Обычный 5 40 3 4" xfId="37780"/>
    <cellStyle name="Обычный 5 40 4" xfId="11076"/>
    <cellStyle name="Обычный 5 40 4 2" xfId="43120"/>
    <cellStyle name="Обычный 5 40 5" xfId="21757"/>
    <cellStyle name="Обычный 5 40 5 2" xfId="53800"/>
    <cellStyle name="Обычный 5 40 6" xfId="32440"/>
    <cellStyle name="Обычный 5 41" xfId="404"/>
    <cellStyle name="Обычный 5 41 2" xfId="872"/>
    <cellStyle name="Обычный 5 41 2 2" xfId="6215"/>
    <cellStyle name="Обычный 5 41 2 2 2" xfId="16895"/>
    <cellStyle name="Обычный 5 41 2 2 2 2" xfId="48939"/>
    <cellStyle name="Обычный 5 41 2 2 3" xfId="27576"/>
    <cellStyle name="Обычный 5 41 2 2 3 2" xfId="59619"/>
    <cellStyle name="Обычный 5 41 2 2 4" xfId="38259"/>
    <cellStyle name="Обычный 5 41 2 3" xfId="11555"/>
    <cellStyle name="Обычный 5 41 2 3 2" xfId="43599"/>
    <cellStyle name="Обычный 5 41 2 4" xfId="22236"/>
    <cellStyle name="Обычный 5 41 2 4 2" xfId="54279"/>
    <cellStyle name="Обычный 5 41 2 5" xfId="32919"/>
    <cellStyle name="Обычный 5 41 3" xfId="5748"/>
    <cellStyle name="Обычный 5 41 3 2" xfId="16428"/>
    <cellStyle name="Обычный 5 41 3 2 2" xfId="48472"/>
    <cellStyle name="Обычный 5 41 3 3" xfId="27109"/>
    <cellStyle name="Обычный 5 41 3 3 2" xfId="59152"/>
    <cellStyle name="Обычный 5 41 3 4" xfId="37792"/>
    <cellStyle name="Обычный 5 41 4" xfId="11088"/>
    <cellStyle name="Обычный 5 41 4 2" xfId="43132"/>
    <cellStyle name="Обычный 5 41 5" xfId="21769"/>
    <cellStyle name="Обычный 5 41 5 2" xfId="53812"/>
    <cellStyle name="Обычный 5 41 6" xfId="32452"/>
    <cellStyle name="Обычный 5 42" xfId="416"/>
    <cellStyle name="Обычный 5 42 2" xfId="884"/>
    <cellStyle name="Обычный 5 42 2 2" xfId="6227"/>
    <cellStyle name="Обычный 5 42 2 2 2" xfId="16907"/>
    <cellStyle name="Обычный 5 42 2 2 2 2" xfId="48951"/>
    <cellStyle name="Обычный 5 42 2 2 3" xfId="27588"/>
    <cellStyle name="Обычный 5 42 2 2 3 2" xfId="59631"/>
    <cellStyle name="Обычный 5 42 2 2 4" xfId="38271"/>
    <cellStyle name="Обычный 5 42 2 3" xfId="11567"/>
    <cellStyle name="Обычный 5 42 2 3 2" xfId="43611"/>
    <cellStyle name="Обычный 5 42 2 4" xfId="22248"/>
    <cellStyle name="Обычный 5 42 2 4 2" xfId="54291"/>
    <cellStyle name="Обычный 5 42 2 5" xfId="32931"/>
    <cellStyle name="Обычный 5 42 3" xfId="5760"/>
    <cellStyle name="Обычный 5 42 3 2" xfId="16440"/>
    <cellStyle name="Обычный 5 42 3 2 2" xfId="48484"/>
    <cellStyle name="Обычный 5 42 3 3" xfId="27121"/>
    <cellStyle name="Обычный 5 42 3 3 2" xfId="59164"/>
    <cellStyle name="Обычный 5 42 3 4" xfId="37804"/>
    <cellStyle name="Обычный 5 42 4" xfId="11100"/>
    <cellStyle name="Обычный 5 42 4 2" xfId="43144"/>
    <cellStyle name="Обычный 5 42 5" xfId="21781"/>
    <cellStyle name="Обычный 5 42 5 2" xfId="53824"/>
    <cellStyle name="Обычный 5 42 6" xfId="32464"/>
    <cellStyle name="Обычный 5 43" xfId="428"/>
    <cellStyle name="Обычный 5 43 2" xfId="896"/>
    <cellStyle name="Обычный 5 43 2 2" xfId="6239"/>
    <cellStyle name="Обычный 5 43 2 2 2" xfId="16919"/>
    <cellStyle name="Обычный 5 43 2 2 2 2" xfId="48963"/>
    <cellStyle name="Обычный 5 43 2 2 3" xfId="27600"/>
    <cellStyle name="Обычный 5 43 2 2 3 2" xfId="59643"/>
    <cellStyle name="Обычный 5 43 2 2 4" xfId="38283"/>
    <cellStyle name="Обычный 5 43 2 3" xfId="11579"/>
    <cellStyle name="Обычный 5 43 2 3 2" xfId="43623"/>
    <cellStyle name="Обычный 5 43 2 4" xfId="22260"/>
    <cellStyle name="Обычный 5 43 2 4 2" xfId="54303"/>
    <cellStyle name="Обычный 5 43 2 5" xfId="32943"/>
    <cellStyle name="Обычный 5 43 3" xfId="5772"/>
    <cellStyle name="Обычный 5 43 3 2" xfId="16452"/>
    <cellStyle name="Обычный 5 43 3 2 2" xfId="48496"/>
    <cellStyle name="Обычный 5 43 3 3" xfId="27133"/>
    <cellStyle name="Обычный 5 43 3 3 2" xfId="59176"/>
    <cellStyle name="Обычный 5 43 3 4" xfId="37816"/>
    <cellStyle name="Обычный 5 43 4" xfId="11112"/>
    <cellStyle name="Обычный 5 43 4 2" xfId="43156"/>
    <cellStyle name="Обычный 5 43 5" xfId="21793"/>
    <cellStyle name="Обычный 5 43 5 2" xfId="53836"/>
    <cellStyle name="Обычный 5 43 6" xfId="32476"/>
    <cellStyle name="Обычный 5 44" xfId="440"/>
    <cellStyle name="Обычный 5 44 2" xfId="908"/>
    <cellStyle name="Обычный 5 44 2 2" xfId="6251"/>
    <cellStyle name="Обычный 5 44 2 2 2" xfId="16931"/>
    <cellStyle name="Обычный 5 44 2 2 2 2" xfId="48975"/>
    <cellStyle name="Обычный 5 44 2 2 3" xfId="27612"/>
    <cellStyle name="Обычный 5 44 2 2 3 2" xfId="59655"/>
    <cellStyle name="Обычный 5 44 2 2 4" xfId="38295"/>
    <cellStyle name="Обычный 5 44 2 3" xfId="11591"/>
    <cellStyle name="Обычный 5 44 2 3 2" xfId="43635"/>
    <cellStyle name="Обычный 5 44 2 4" xfId="22272"/>
    <cellStyle name="Обычный 5 44 2 4 2" xfId="54315"/>
    <cellStyle name="Обычный 5 44 2 5" xfId="32955"/>
    <cellStyle name="Обычный 5 44 3" xfId="5784"/>
    <cellStyle name="Обычный 5 44 3 2" xfId="16464"/>
    <cellStyle name="Обычный 5 44 3 2 2" xfId="48508"/>
    <cellStyle name="Обычный 5 44 3 3" xfId="27145"/>
    <cellStyle name="Обычный 5 44 3 3 2" xfId="59188"/>
    <cellStyle name="Обычный 5 44 3 4" xfId="37828"/>
    <cellStyle name="Обычный 5 44 4" xfId="11124"/>
    <cellStyle name="Обычный 5 44 4 2" xfId="43168"/>
    <cellStyle name="Обычный 5 44 5" xfId="21805"/>
    <cellStyle name="Обычный 5 44 5 2" xfId="53848"/>
    <cellStyle name="Обычный 5 44 6" xfId="32488"/>
    <cellStyle name="Обычный 5 45" xfId="452"/>
    <cellStyle name="Обычный 5 45 2" xfId="920"/>
    <cellStyle name="Обычный 5 45 2 2" xfId="6263"/>
    <cellStyle name="Обычный 5 45 2 2 2" xfId="16943"/>
    <cellStyle name="Обычный 5 45 2 2 2 2" xfId="48987"/>
    <cellStyle name="Обычный 5 45 2 2 3" xfId="27624"/>
    <cellStyle name="Обычный 5 45 2 2 3 2" xfId="59667"/>
    <cellStyle name="Обычный 5 45 2 2 4" xfId="38307"/>
    <cellStyle name="Обычный 5 45 2 3" xfId="11603"/>
    <cellStyle name="Обычный 5 45 2 3 2" xfId="43647"/>
    <cellStyle name="Обычный 5 45 2 4" xfId="22284"/>
    <cellStyle name="Обычный 5 45 2 4 2" xfId="54327"/>
    <cellStyle name="Обычный 5 45 2 5" xfId="32967"/>
    <cellStyle name="Обычный 5 45 3" xfId="5796"/>
    <cellStyle name="Обычный 5 45 3 2" xfId="16476"/>
    <cellStyle name="Обычный 5 45 3 2 2" xfId="48520"/>
    <cellStyle name="Обычный 5 45 3 3" xfId="27157"/>
    <cellStyle name="Обычный 5 45 3 3 2" xfId="59200"/>
    <cellStyle name="Обычный 5 45 3 4" xfId="37840"/>
    <cellStyle name="Обычный 5 45 4" xfId="11136"/>
    <cellStyle name="Обычный 5 45 4 2" xfId="43180"/>
    <cellStyle name="Обычный 5 45 5" xfId="21817"/>
    <cellStyle name="Обычный 5 45 5 2" xfId="53860"/>
    <cellStyle name="Обычный 5 45 6" xfId="32500"/>
    <cellStyle name="Обычный 5 46" xfId="464"/>
    <cellStyle name="Обычный 5 46 2" xfId="932"/>
    <cellStyle name="Обычный 5 46 2 2" xfId="6275"/>
    <cellStyle name="Обычный 5 46 2 2 2" xfId="16955"/>
    <cellStyle name="Обычный 5 46 2 2 2 2" xfId="48999"/>
    <cellStyle name="Обычный 5 46 2 2 3" xfId="27636"/>
    <cellStyle name="Обычный 5 46 2 2 3 2" xfId="59679"/>
    <cellStyle name="Обычный 5 46 2 2 4" xfId="38319"/>
    <cellStyle name="Обычный 5 46 2 3" xfId="11615"/>
    <cellStyle name="Обычный 5 46 2 3 2" xfId="43659"/>
    <cellStyle name="Обычный 5 46 2 4" xfId="22296"/>
    <cellStyle name="Обычный 5 46 2 4 2" xfId="54339"/>
    <cellStyle name="Обычный 5 46 2 5" xfId="32979"/>
    <cellStyle name="Обычный 5 46 3" xfId="5808"/>
    <cellStyle name="Обычный 5 46 3 2" xfId="16488"/>
    <cellStyle name="Обычный 5 46 3 2 2" xfId="48532"/>
    <cellStyle name="Обычный 5 46 3 3" xfId="27169"/>
    <cellStyle name="Обычный 5 46 3 3 2" xfId="59212"/>
    <cellStyle name="Обычный 5 46 3 4" xfId="37852"/>
    <cellStyle name="Обычный 5 46 4" xfId="11148"/>
    <cellStyle name="Обычный 5 46 4 2" xfId="43192"/>
    <cellStyle name="Обычный 5 46 5" xfId="21829"/>
    <cellStyle name="Обычный 5 46 5 2" xfId="53872"/>
    <cellStyle name="Обычный 5 46 6" xfId="32512"/>
    <cellStyle name="Обычный 5 47" xfId="476"/>
    <cellStyle name="Обычный 5 47 2" xfId="944"/>
    <cellStyle name="Обычный 5 47 2 2" xfId="6287"/>
    <cellStyle name="Обычный 5 47 2 2 2" xfId="16967"/>
    <cellStyle name="Обычный 5 47 2 2 2 2" xfId="49011"/>
    <cellStyle name="Обычный 5 47 2 2 3" xfId="27648"/>
    <cellStyle name="Обычный 5 47 2 2 3 2" xfId="59691"/>
    <cellStyle name="Обычный 5 47 2 2 4" xfId="38331"/>
    <cellStyle name="Обычный 5 47 2 3" xfId="11627"/>
    <cellStyle name="Обычный 5 47 2 3 2" xfId="43671"/>
    <cellStyle name="Обычный 5 47 2 4" xfId="22308"/>
    <cellStyle name="Обычный 5 47 2 4 2" xfId="54351"/>
    <cellStyle name="Обычный 5 47 2 5" xfId="32991"/>
    <cellStyle name="Обычный 5 47 3" xfId="5820"/>
    <cellStyle name="Обычный 5 47 3 2" xfId="16500"/>
    <cellStyle name="Обычный 5 47 3 2 2" xfId="48544"/>
    <cellStyle name="Обычный 5 47 3 3" xfId="27181"/>
    <cellStyle name="Обычный 5 47 3 3 2" xfId="59224"/>
    <cellStyle name="Обычный 5 47 3 4" xfId="37864"/>
    <cellStyle name="Обычный 5 47 4" xfId="11160"/>
    <cellStyle name="Обычный 5 47 4 2" xfId="43204"/>
    <cellStyle name="Обычный 5 47 5" xfId="21841"/>
    <cellStyle name="Обычный 5 47 5 2" xfId="53884"/>
    <cellStyle name="Обычный 5 47 6" xfId="32524"/>
    <cellStyle name="Обычный 5 48" xfId="488"/>
    <cellStyle name="Обычный 5 48 2" xfId="956"/>
    <cellStyle name="Обычный 5 48 2 2" xfId="6299"/>
    <cellStyle name="Обычный 5 48 2 2 2" xfId="16979"/>
    <cellStyle name="Обычный 5 48 2 2 2 2" xfId="49023"/>
    <cellStyle name="Обычный 5 48 2 2 3" xfId="27660"/>
    <cellStyle name="Обычный 5 48 2 2 3 2" xfId="59703"/>
    <cellStyle name="Обычный 5 48 2 2 4" xfId="38343"/>
    <cellStyle name="Обычный 5 48 2 3" xfId="11639"/>
    <cellStyle name="Обычный 5 48 2 3 2" xfId="43683"/>
    <cellStyle name="Обычный 5 48 2 4" xfId="22320"/>
    <cellStyle name="Обычный 5 48 2 4 2" xfId="54363"/>
    <cellStyle name="Обычный 5 48 2 5" xfId="33003"/>
    <cellStyle name="Обычный 5 48 3" xfId="5832"/>
    <cellStyle name="Обычный 5 48 3 2" xfId="16512"/>
    <cellStyle name="Обычный 5 48 3 2 2" xfId="48556"/>
    <cellStyle name="Обычный 5 48 3 3" xfId="27193"/>
    <cellStyle name="Обычный 5 48 3 3 2" xfId="59236"/>
    <cellStyle name="Обычный 5 48 3 4" xfId="37876"/>
    <cellStyle name="Обычный 5 48 4" xfId="11172"/>
    <cellStyle name="Обычный 5 48 4 2" xfId="43216"/>
    <cellStyle name="Обычный 5 48 5" xfId="21853"/>
    <cellStyle name="Обычный 5 48 5 2" xfId="53896"/>
    <cellStyle name="Обычный 5 48 6" xfId="32536"/>
    <cellStyle name="Обычный 5 49" xfId="506"/>
    <cellStyle name="Обычный 5 49 2" xfId="5849"/>
    <cellStyle name="Обычный 5 49 2 2" xfId="16529"/>
    <cellStyle name="Обычный 5 49 2 2 2" xfId="48573"/>
    <cellStyle name="Обычный 5 49 2 3" xfId="27210"/>
    <cellStyle name="Обычный 5 49 2 3 2" xfId="59253"/>
    <cellStyle name="Обычный 5 49 2 4" xfId="37893"/>
    <cellStyle name="Обычный 5 49 3" xfId="11189"/>
    <cellStyle name="Обычный 5 49 3 2" xfId="43233"/>
    <cellStyle name="Обычный 5 49 4" xfId="21870"/>
    <cellStyle name="Обычный 5 49 4 2" xfId="53913"/>
    <cellStyle name="Обычный 5 49 5" xfId="32553"/>
    <cellStyle name="Обычный 5 5" xfId="64"/>
    <cellStyle name="Обычный 5 5 2" xfId="532"/>
    <cellStyle name="Обычный 5 5 2 2" xfId="5875"/>
    <cellStyle name="Обычный 5 5 2 2 2" xfId="16555"/>
    <cellStyle name="Обычный 5 5 2 2 2 2" xfId="48599"/>
    <cellStyle name="Обычный 5 5 2 2 3" xfId="27236"/>
    <cellStyle name="Обычный 5 5 2 2 3 2" xfId="59279"/>
    <cellStyle name="Обычный 5 5 2 2 4" xfId="37919"/>
    <cellStyle name="Обычный 5 5 2 3" xfId="11215"/>
    <cellStyle name="Обычный 5 5 2 3 2" xfId="43259"/>
    <cellStyle name="Обычный 5 5 2 4" xfId="21896"/>
    <cellStyle name="Обычный 5 5 2 4 2" xfId="53939"/>
    <cellStyle name="Обычный 5 5 2 5" xfId="32579"/>
    <cellStyle name="Обычный 5 5 3" xfId="5408"/>
    <cellStyle name="Обычный 5 5 3 2" xfId="16088"/>
    <cellStyle name="Обычный 5 5 3 2 2" xfId="48132"/>
    <cellStyle name="Обычный 5 5 3 3" xfId="26769"/>
    <cellStyle name="Обычный 5 5 3 3 2" xfId="58812"/>
    <cellStyle name="Обычный 5 5 3 4" xfId="37452"/>
    <cellStyle name="Обычный 5 5 4" xfId="10748"/>
    <cellStyle name="Обычный 5 5 4 2" xfId="42792"/>
    <cellStyle name="Обычный 5 5 5" xfId="21429"/>
    <cellStyle name="Обычный 5 5 5 2" xfId="53472"/>
    <cellStyle name="Обычный 5 5 6" xfId="32112"/>
    <cellStyle name="Обычный 5 50" xfId="968"/>
    <cellStyle name="Обычный 5 50 2" xfId="6311"/>
    <cellStyle name="Обычный 5 50 2 2" xfId="16991"/>
    <cellStyle name="Обычный 5 50 2 2 2" xfId="49035"/>
    <cellStyle name="Обычный 5 50 2 3" xfId="27672"/>
    <cellStyle name="Обычный 5 50 2 3 2" xfId="59715"/>
    <cellStyle name="Обычный 5 50 2 4" xfId="38355"/>
    <cellStyle name="Обычный 5 50 3" xfId="11651"/>
    <cellStyle name="Обычный 5 50 3 2" xfId="43695"/>
    <cellStyle name="Обычный 5 50 4" xfId="22332"/>
    <cellStyle name="Обычный 5 50 4 2" xfId="54375"/>
    <cellStyle name="Обычный 5 50 5" xfId="33015"/>
    <cellStyle name="Обычный 5 51" xfId="992"/>
    <cellStyle name="Обычный 5 51 2" xfId="6335"/>
    <cellStyle name="Обычный 5 51 2 2" xfId="17015"/>
    <cellStyle name="Обычный 5 51 2 2 2" xfId="49059"/>
    <cellStyle name="Обычный 5 51 2 3" xfId="27696"/>
    <cellStyle name="Обычный 5 51 2 3 2" xfId="59739"/>
    <cellStyle name="Обычный 5 51 2 4" xfId="38379"/>
    <cellStyle name="Обычный 5 51 3" xfId="11675"/>
    <cellStyle name="Обычный 5 51 3 2" xfId="43719"/>
    <cellStyle name="Обычный 5 51 4" xfId="22356"/>
    <cellStyle name="Обычный 5 51 4 2" xfId="54399"/>
    <cellStyle name="Обычный 5 51 5" xfId="33039"/>
    <cellStyle name="Обычный 5 52" xfId="1016"/>
    <cellStyle name="Обычный 5 52 2" xfId="6359"/>
    <cellStyle name="Обычный 5 52 2 2" xfId="17039"/>
    <cellStyle name="Обычный 5 52 2 2 2" xfId="49083"/>
    <cellStyle name="Обычный 5 52 2 3" xfId="27720"/>
    <cellStyle name="Обычный 5 52 2 3 2" xfId="59763"/>
    <cellStyle name="Обычный 5 52 2 4" xfId="38403"/>
    <cellStyle name="Обычный 5 52 3" xfId="11699"/>
    <cellStyle name="Обычный 5 52 3 2" xfId="43743"/>
    <cellStyle name="Обычный 5 52 4" xfId="22380"/>
    <cellStyle name="Обычный 5 52 4 2" xfId="54423"/>
    <cellStyle name="Обычный 5 52 5" xfId="33063"/>
    <cellStyle name="Обычный 5 53" xfId="1042"/>
    <cellStyle name="Обычный 5 53 2" xfId="6385"/>
    <cellStyle name="Обычный 5 53 2 2" xfId="17065"/>
    <cellStyle name="Обычный 5 53 2 2 2" xfId="49109"/>
    <cellStyle name="Обычный 5 53 2 3" xfId="27746"/>
    <cellStyle name="Обычный 5 53 2 3 2" xfId="59789"/>
    <cellStyle name="Обычный 5 53 2 4" xfId="38429"/>
    <cellStyle name="Обычный 5 53 3" xfId="11725"/>
    <cellStyle name="Обычный 5 53 3 2" xfId="43769"/>
    <cellStyle name="Обычный 5 53 4" xfId="22406"/>
    <cellStyle name="Обычный 5 53 4 2" xfId="54449"/>
    <cellStyle name="Обычный 5 53 5" xfId="33089"/>
    <cellStyle name="Обычный 5 54" xfId="1068"/>
    <cellStyle name="Обычный 5 54 2" xfId="6411"/>
    <cellStyle name="Обычный 5 54 2 2" xfId="17091"/>
    <cellStyle name="Обычный 5 54 2 2 2" xfId="49135"/>
    <cellStyle name="Обычный 5 54 2 3" xfId="27772"/>
    <cellStyle name="Обычный 5 54 2 3 2" xfId="59815"/>
    <cellStyle name="Обычный 5 54 2 4" xfId="38455"/>
    <cellStyle name="Обычный 5 54 3" xfId="11751"/>
    <cellStyle name="Обычный 5 54 3 2" xfId="43795"/>
    <cellStyle name="Обычный 5 54 4" xfId="22432"/>
    <cellStyle name="Обычный 5 54 4 2" xfId="54475"/>
    <cellStyle name="Обычный 5 54 5" xfId="33115"/>
    <cellStyle name="Обычный 5 55" xfId="1094"/>
    <cellStyle name="Обычный 5 55 2" xfId="6437"/>
    <cellStyle name="Обычный 5 55 2 2" xfId="17117"/>
    <cellStyle name="Обычный 5 55 2 2 2" xfId="49161"/>
    <cellStyle name="Обычный 5 55 2 3" xfId="27798"/>
    <cellStyle name="Обычный 5 55 2 3 2" xfId="59841"/>
    <cellStyle name="Обычный 5 55 2 4" xfId="38481"/>
    <cellStyle name="Обычный 5 55 3" xfId="11777"/>
    <cellStyle name="Обычный 5 55 3 2" xfId="43821"/>
    <cellStyle name="Обычный 5 55 4" xfId="22458"/>
    <cellStyle name="Обычный 5 55 4 2" xfId="54501"/>
    <cellStyle name="Обычный 5 55 5" xfId="33141"/>
    <cellStyle name="Обычный 5 56" xfId="1120"/>
    <cellStyle name="Обычный 5 56 2" xfId="6463"/>
    <cellStyle name="Обычный 5 56 2 2" xfId="17143"/>
    <cellStyle name="Обычный 5 56 2 2 2" xfId="49187"/>
    <cellStyle name="Обычный 5 56 2 3" xfId="27824"/>
    <cellStyle name="Обычный 5 56 2 3 2" xfId="59867"/>
    <cellStyle name="Обычный 5 56 2 4" xfId="38507"/>
    <cellStyle name="Обычный 5 56 3" xfId="11803"/>
    <cellStyle name="Обычный 5 56 3 2" xfId="43847"/>
    <cellStyle name="Обычный 5 56 4" xfId="22484"/>
    <cellStyle name="Обычный 5 56 4 2" xfId="54527"/>
    <cellStyle name="Обычный 5 56 5" xfId="33167"/>
    <cellStyle name="Обычный 5 57" xfId="1146"/>
    <cellStyle name="Обычный 5 57 2" xfId="6489"/>
    <cellStyle name="Обычный 5 57 2 2" xfId="17169"/>
    <cellStyle name="Обычный 5 57 2 2 2" xfId="49213"/>
    <cellStyle name="Обычный 5 57 2 3" xfId="27850"/>
    <cellStyle name="Обычный 5 57 2 3 2" xfId="59893"/>
    <cellStyle name="Обычный 5 57 2 4" xfId="38533"/>
    <cellStyle name="Обычный 5 57 3" xfId="11829"/>
    <cellStyle name="Обычный 5 57 3 2" xfId="43873"/>
    <cellStyle name="Обычный 5 57 4" xfId="22510"/>
    <cellStyle name="Обычный 5 57 4 2" xfId="54553"/>
    <cellStyle name="Обычный 5 57 5" xfId="33193"/>
    <cellStyle name="Обычный 5 58" xfId="1172"/>
    <cellStyle name="Обычный 5 58 2" xfId="6515"/>
    <cellStyle name="Обычный 5 58 2 2" xfId="17195"/>
    <cellStyle name="Обычный 5 58 2 2 2" xfId="49239"/>
    <cellStyle name="Обычный 5 58 2 3" xfId="27876"/>
    <cellStyle name="Обычный 5 58 2 3 2" xfId="59919"/>
    <cellStyle name="Обычный 5 58 2 4" xfId="38559"/>
    <cellStyle name="Обычный 5 58 3" xfId="11855"/>
    <cellStyle name="Обычный 5 58 3 2" xfId="43899"/>
    <cellStyle name="Обычный 5 58 4" xfId="22536"/>
    <cellStyle name="Обычный 5 58 4 2" xfId="54579"/>
    <cellStyle name="Обычный 5 58 5" xfId="33219"/>
    <cellStyle name="Обычный 5 59" xfId="1198"/>
    <cellStyle name="Обычный 5 59 2" xfId="6541"/>
    <cellStyle name="Обычный 5 59 2 2" xfId="17221"/>
    <cellStyle name="Обычный 5 59 2 2 2" xfId="49265"/>
    <cellStyle name="Обычный 5 59 2 3" xfId="27902"/>
    <cellStyle name="Обычный 5 59 2 3 2" xfId="59945"/>
    <cellStyle name="Обычный 5 59 2 4" xfId="38585"/>
    <cellStyle name="Обычный 5 59 3" xfId="11881"/>
    <cellStyle name="Обычный 5 59 3 2" xfId="43925"/>
    <cellStyle name="Обычный 5 59 4" xfId="22562"/>
    <cellStyle name="Обычный 5 59 4 2" xfId="54605"/>
    <cellStyle name="Обычный 5 59 5" xfId="33245"/>
    <cellStyle name="Обычный 5 6" xfId="68"/>
    <cellStyle name="Обычный 5 6 2" xfId="536"/>
    <cellStyle name="Обычный 5 6 2 2" xfId="5879"/>
    <cellStyle name="Обычный 5 6 2 2 2" xfId="16559"/>
    <cellStyle name="Обычный 5 6 2 2 2 2" xfId="48603"/>
    <cellStyle name="Обычный 5 6 2 2 3" xfId="27240"/>
    <cellStyle name="Обычный 5 6 2 2 3 2" xfId="59283"/>
    <cellStyle name="Обычный 5 6 2 2 4" xfId="37923"/>
    <cellStyle name="Обычный 5 6 2 3" xfId="11219"/>
    <cellStyle name="Обычный 5 6 2 3 2" xfId="43263"/>
    <cellStyle name="Обычный 5 6 2 4" xfId="21900"/>
    <cellStyle name="Обычный 5 6 2 4 2" xfId="53943"/>
    <cellStyle name="Обычный 5 6 2 5" xfId="32583"/>
    <cellStyle name="Обычный 5 6 3" xfId="5412"/>
    <cellStyle name="Обычный 5 6 3 2" xfId="16092"/>
    <cellStyle name="Обычный 5 6 3 2 2" xfId="48136"/>
    <cellStyle name="Обычный 5 6 3 3" xfId="26773"/>
    <cellStyle name="Обычный 5 6 3 3 2" xfId="58816"/>
    <cellStyle name="Обычный 5 6 3 4" xfId="37456"/>
    <cellStyle name="Обычный 5 6 4" xfId="10752"/>
    <cellStyle name="Обычный 5 6 4 2" xfId="42796"/>
    <cellStyle name="Обычный 5 6 5" xfId="21433"/>
    <cellStyle name="Обычный 5 6 5 2" xfId="53476"/>
    <cellStyle name="Обычный 5 6 6" xfId="32116"/>
    <cellStyle name="Обычный 5 60" xfId="1224"/>
    <cellStyle name="Обычный 5 60 2" xfId="6567"/>
    <cellStyle name="Обычный 5 60 2 2" xfId="17247"/>
    <cellStyle name="Обычный 5 60 2 2 2" xfId="49291"/>
    <cellStyle name="Обычный 5 60 2 3" xfId="27928"/>
    <cellStyle name="Обычный 5 60 2 3 2" xfId="59971"/>
    <cellStyle name="Обычный 5 60 2 4" xfId="38611"/>
    <cellStyle name="Обычный 5 60 3" xfId="11907"/>
    <cellStyle name="Обычный 5 60 3 2" xfId="43951"/>
    <cellStyle name="Обычный 5 60 4" xfId="22588"/>
    <cellStyle name="Обычный 5 60 4 2" xfId="54631"/>
    <cellStyle name="Обычный 5 60 5" xfId="33271"/>
    <cellStyle name="Обычный 5 61" xfId="1250"/>
    <cellStyle name="Обычный 5 61 2" xfId="6593"/>
    <cellStyle name="Обычный 5 61 2 2" xfId="17273"/>
    <cellStyle name="Обычный 5 61 2 2 2" xfId="49317"/>
    <cellStyle name="Обычный 5 61 2 3" xfId="27954"/>
    <cellStyle name="Обычный 5 61 2 3 2" xfId="59997"/>
    <cellStyle name="Обычный 5 61 2 4" xfId="38637"/>
    <cellStyle name="Обычный 5 61 3" xfId="11933"/>
    <cellStyle name="Обычный 5 61 3 2" xfId="43977"/>
    <cellStyle name="Обычный 5 61 4" xfId="22614"/>
    <cellStyle name="Обычный 5 61 4 2" xfId="54657"/>
    <cellStyle name="Обычный 5 61 5" xfId="33297"/>
    <cellStyle name="Обычный 5 62" xfId="1276"/>
    <cellStyle name="Обычный 5 62 2" xfId="6619"/>
    <cellStyle name="Обычный 5 62 2 2" xfId="17299"/>
    <cellStyle name="Обычный 5 62 2 2 2" xfId="49343"/>
    <cellStyle name="Обычный 5 62 2 3" xfId="27980"/>
    <cellStyle name="Обычный 5 62 2 3 2" xfId="60023"/>
    <cellStyle name="Обычный 5 62 2 4" xfId="38663"/>
    <cellStyle name="Обычный 5 62 3" xfId="11959"/>
    <cellStyle name="Обычный 5 62 3 2" xfId="44003"/>
    <cellStyle name="Обычный 5 62 4" xfId="22640"/>
    <cellStyle name="Обычный 5 62 4 2" xfId="54683"/>
    <cellStyle name="Обычный 5 62 5" xfId="33323"/>
    <cellStyle name="Обычный 5 63" xfId="1303"/>
    <cellStyle name="Обычный 5 63 2" xfId="6645"/>
    <cellStyle name="Обычный 5 63 2 2" xfId="17325"/>
    <cellStyle name="Обычный 5 63 2 2 2" xfId="49369"/>
    <cellStyle name="Обычный 5 63 2 3" xfId="28006"/>
    <cellStyle name="Обычный 5 63 2 3 2" xfId="60049"/>
    <cellStyle name="Обычный 5 63 2 4" xfId="38689"/>
    <cellStyle name="Обычный 5 63 3" xfId="11985"/>
    <cellStyle name="Обычный 5 63 3 2" xfId="44029"/>
    <cellStyle name="Обычный 5 63 4" xfId="22666"/>
    <cellStyle name="Обычный 5 63 4 2" xfId="54709"/>
    <cellStyle name="Обычный 5 63 5" xfId="33349"/>
    <cellStyle name="Обычный 5 64" xfId="1329"/>
    <cellStyle name="Обычный 5 64 2" xfId="6671"/>
    <cellStyle name="Обычный 5 64 2 2" xfId="17351"/>
    <cellStyle name="Обычный 5 64 2 2 2" xfId="49395"/>
    <cellStyle name="Обычный 5 64 2 3" xfId="28032"/>
    <cellStyle name="Обычный 5 64 2 3 2" xfId="60075"/>
    <cellStyle name="Обычный 5 64 2 4" xfId="38715"/>
    <cellStyle name="Обычный 5 64 3" xfId="12011"/>
    <cellStyle name="Обычный 5 64 3 2" xfId="44055"/>
    <cellStyle name="Обычный 5 64 4" xfId="22692"/>
    <cellStyle name="Обычный 5 64 4 2" xfId="54735"/>
    <cellStyle name="Обычный 5 64 5" xfId="33375"/>
    <cellStyle name="Обычный 5 65" xfId="1355"/>
    <cellStyle name="Обычный 5 65 2" xfId="6697"/>
    <cellStyle name="Обычный 5 65 2 2" xfId="17377"/>
    <cellStyle name="Обычный 5 65 2 2 2" xfId="49421"/>
    <cellStyle name="Обычный 5 65 2 3" xfId="28058"/>
    <cellStyle name="Обычный 5 65 2 3 2" xfId="60101"/>
    <cellStyle name="Обычный 5 65 2 4" xfId="38741"/>
    <cellStyle name="Обычный 5 65 3" xfId="12037"/>
    <cellStyle name="Обычный 5 65 3 2" xfId="44081"/>
    <cellStyle name="Обычный 5 65 4" xfId="22718"/>
    <cellStyle name="Обычный 5 65 4 2" xfId="54761"/>
    <cellStyle name="Обычный 5 65 5" xfId="33401"/>
    <cellStyle name="Обычный 5 66" xfId="1381"/>
    <cellStyle name="Обычный 5 66 2" xfId="6723"/>
    <cellStyle name="Обычный 5 66 2 2" xfId="17403"/>
    <cellStyle name="Обычный 5 66 2 2 2" xfId="49447"/>
    <cellStyle name="Обычный 5 66 2 3" xfId="28084"/>
    <cellStyle name="Обычный 5 66 2 3 2" xfId="60127"/>
    <cellStyle name="Обычный 5 66 2 4" xfId="38767"/>
    <cellStyle name="Обычный 5 66 3" xfId="12063"/>
    <cellStyle name="Обычный 5 66 3 2" xfId="44107"/>
    <cellStyle name="Обычный 5 66 4" xfId="22744"/>
    <cellStyle name="Обычный 5 66 4 2" xfId="54787"/>
    <cellStyle name="Обычный 5 66 5" xfId="33427"/>
    <cellStyle name="Обычный 5 67" xfId="1407"/>
    <cellStyle name="Обычный 5 67 2" xfId="6749"/>
    <cellStyle name="Обычный 5 67 2 2" xfId="17429"/>
    <cellStyle name="Обычный 5 67 2 2 2" xfId="49473"/>
    <cellStyle name="Обычный 5 67 2 3" xfId="28110"/>
    <cellStyle name="Обычный 5 67 2 3 2" xfId="60153"/>
    <cellStyle name="Обычный 5 67 2 4" xfId="38793"/>
    <cellStyle name="Обычный 5 67 3" xfId="12089"/>
    <cellStyle name="Обычный 5 67 3 2" xfId="44133"/>
    <cellStyle name="Обычный 5 67 4" xfId="22770"/>
    <cellStyle name="Обычный 5 67 4 2" xfId="54813"/>
    <cellStyle name="Обычный 5 67 5" xfId="33453"/>
    <cellStyle name="Обычный 5 68" xfId="1433"/>
    <cellStyle name="Обычный 5 68 2" xfId="6775"/>
    <cellStyle name="Обычный 5 68 2 2" xfId="17455"/>
    <cellStyle name="Обычный 5 68 2 2 2" xfId="49499"/>
    <cellStyle name="Обычный 5 68 2 3" xfId="28136"/>
    <cellStyle name="Обычный 5 68 2 3 2" xfId="60179"/>
    <cellStyle name="Обычный 5 68 2 4" xfId="38819"/>
    <cellStyle name="Обычный 5 68 3" xfId="12115"/>
    <cellStyle name="Обычный 5 68 3 2" xfId="44159"/>
    <cellStyle name="Обычный 5 68 4" xfId="22796"/>
    <cellStyle name="Обычный 5 68 4 2" xfId="54839"/>
    <cellStyle name="Обычный 5 68 5" xfId="33479"/>
    <cellStyle name="Обычный 5 69" xfId="1459"/>
    <cellStyle name="Обычный 5 69 2" xfId="6801"/>
    <cellStyle name="Обычный 5 69 2 2" xfId="17481"/>
    <cellStyle name="Обычный 5 69 2 2 2" xfId="49525"/>
    <cellStyle name="Обычный 5 69 2 3" xfId="28162"/>
    <cellStyle name="Обычный 5 69 2 3 2" xfId="60205"/>
    <cellStyle name="Обычный 5 69 2 4" xfId="38845"/>
    <cellStyle name="Обычный 5 69 3" xfId="12141"/>
    <cellStyle name="Обычный 5 69 3 2" xfId="44185"/>
    <cellStyle name="Обычный 5 69 4" xfId="22822"/>
    <cellStyle name="Обычный 5 69 4 2" xfId="54865"/>
    <cellStyle name="Обычный 5 69 5" xfId="33505"/>
    <cellStyle name="Обычный 5 7" xfId="72"/>
    <cellStyle name="Обычный 5 7 2" xfId="540"/>
    <cellStyle name="Обычный 5 7 2 2" xfId="5883"/>
    <cellStyle name="Обычный 5 7 2 2 2" xfId="16563"/>
    <cellStyle name="Обычный 5 7 2 2 2 2" xfId="48607"/>
    <cellStyle name="Обычный 5 7 2 2 3" xfId="27244"/>
    <cellStyle name="Обычный 5 7 2 2 3 2" xfId="59287"/>
    <cellStyle name="Обычный 5 7 2 2 4" xfId="37927"/>
    <cellStyle name="Обычный 5 7 2 3" xfId="11223"/>
    <cellStyle name="Обычный 5 7 2 3 2" xfId="43267"/>
    <cellStyle name="Обычный 5 7 2 4" xfId="21904"/>
    <cellStyle name="Обычный 5 7 2 4 2" xfId="53947"/>
    <cellStyle name="Обычный 5 7 2 5" xfId="32587"/>
    <cellStyle name="Обычный 5 7 3" xfId="5416"/>
    <cellStyle name="Обычный 5 7 3 2" xfId="16096"/>
    <cellStyle name="Обычный 5 7 3 2 2" xfId="48140"/>
    <cellStyle name="Обычный 5 7 3 3" xfId="26777"/>
    <cellStyle name="Обычный 5 7 3 3 2" xfId="58820"/>
    <cellStyle name="Обычный 5 7 3 4" xfId="37460"/>
    <cellStyle name="Обычный 5 7 4" xfId="10756"/>
    <cellStyle name="Обычный 5 7 4 2" xfId="42800"/>
    <cellStyle name="Обычный 5 7 5" xfId="21437"/>
    <cellStyle name="Обычный 5 7 5 2" xfId="53480"/>
    <cellStyle name="Обычный 5 7 6" xfId="32120"/>
    <cellStyle name="Обычный 5 70" xfId="1485"/>
    <cellStyle name="Обычный 5 70 2" xfId="6827"/>
    <cellStyle name="Обычный 5 70 2 2" xfId="17507"/>
    <cellStyle name="Обычный 5 70 2 2 2" xfId="49551"/>
    <cellStyle name="Обычный 5 70 2 3" xfId="28188"/>
    <cellStyle name="Обычный 5 70 2 3 2" xfId="60231"/>
    <cellStyle name="Обычный 5 70 2 4" xfId="38871"/>
    <cellStyle name="Обычный 5 70 3" xfId="12167"/>
    <cellStyle name="Обычный 5 70 3 2" xfId="44211"/>
    <cellStyle name="Обычный 5 70 4" xfId="22848"/>
    <cellStyle name="Обычный 5 70 4 2" xfId="54891"/>
    <cellStyle name="Обычный 5 70 5" xfId="33531"/>
    <cellStyle name="Обычный 5 71" xfId="1511"/>
    <cellStyle name="Обычный 5 71 2" xfId="6853"/>
    <cellStyle name="Обычный 5 71 2 2" xfId="17533"/>
    <cellStyle name="Обычный 5 71 2 2 2" xfId="49577"/>
    <cellStyle name="Обычный 5 71 2 3" xfId="28214"/>
    <cellStyle name="Обычный 5 71 2 3 2" xfId="60257"/>
    <cellStyle name="Обычный 5 71 2 4" xfId="38897"/>
    <cellStyle name="Обычный 5 71 3" xfId="12193"/>
    <cellStyle name="Обычный 5 71 3 2" xfId="44237"/>
    <cellStyle name="Обычный 5 71 4" xfId="22874"/>
    <cellStyle name="Обычный 5 71 4 2" xfId="54917"/>
    <cellStyle name="Обычный 5 71 5" xfId="33557"/>
    <cellStyle name="Обычный 5 72" xfId="1537"/>
    <cellStyle name="Обычный 5 72 2" xfId="6879"/>
    <cellStyle name="Обычный 5 72 2 2" xfId="17559"/>
    <cellStyle name="Обычный 5 72 2 2 2" xfId="49603"/>
    <cellStyle name="Обычный 5 72 2 3" xfId="28240"/>
    <cellStyle name="Обычный 5 72 2 3 2" xfId="60283"/>
    <cellStyle name="Обычный 5 72 2 4" xfId="38923"/>
    <cellStyle name="Обычный 5 72 3" xfId="12219"/>
    <cellStyle name="Обычный 5 72 3 2" xfId="44263"/>
    <cellStyle name="Обычный 5 72 4" xfId="22900"/>
    <cellStyle name="Обычный 5 72 4 2" xfId="54943"/>
    <cellStyle name="Обычный 5 72 5" xfId="33583"/>
    <cellStyle name="Обычный 5 73" xfId="1563"/>
    <cellStyle name="Обычный 5 73 2" xfId="6905"/>
    <cellStyle name="Обычный 5 73 2 2" xfId="17585"/>
    <cellStyle name="Обычный 5 73 2 2 2" xfId="49629"/>
    <cellStyle name="Обычный 5 73 2 3" xfId="28266"/>
    <cellStyle name="Обычный 5 73 2 3 2" xfId="60309"/>
    <cellStyle name="Обычный 5 73 2 4" xfId="38949"/>
    <cellStyle name="Обычный 5 73 3" xfId="12245"/>
    <cellStyle name="Обычный 5 73 3 2" xfId="44289"/>
    <cellStyle name="Обычный 5 73 4" xfId="22926"/>
    <cellStyle name="Обычный 5 73 4 2" xfId="54969"/>
    <cellStyle name="Обычный 5 73 5" xfId="33609"/>
    <cellStyle name="Обычный 5 74" xfId="1589"/>
    <cellStyle name="Обычный 5 74 2" xfId="6931"/>
    <cellStyle name="Обычный 5 74 2 2" xfId="17611"/>
    <cellStyle name="Обычный 5 74 2 2 2" xfId="49655"/>
    <cellStyle name="Обычный 5 74 2 3" xfId="28292"/>
    <cellStyle name="Обычный 5 74 2 3 2" xfId="60335"/>
    <cellStyle name="Обычный 5 74 2 4" xfId="38975"/>
    <cellStyle name="Обычный 5 74 3" xfId="12271"/>
    <cellStyle name="Обычный 5 74 3 2" xfId="44315"/>
    <cellStyle name="Обычный 5 74 4" xfId="22952"/>
    <cellStyle name="Обычный 5 74 4 2" xfId="54995"/>
    <cellStyle name="Обычный 5 74 5" xfId="33635"/>
    <cellStyle name="Обычный 5 75" xfId="1615"/>
    <cellStyle name="Обычный 5 75 2" xfId="6957"/>
    <cellStyle name="Обычный 5 75 2 2" xfId="17637"/>
    <cellStyle name="Обычный 5 75 2 2 2" xfId="49681"/>
    <cellStyle name="Обычный 5 75 2 3" xfId="28318"/>
    <cellStyle name="Обычный 5 75 2 3 2" xfId="60361"/>
    <cellStyle name="Обычный 5 75 2 4" xfId="39001"/>
    <cellStyle name="Обычный 5 75 3" xfId="12297"/>
    <cellStyle name="Обычный 5 75 3 2" xfId="44341"/>
    <cellStyle name="Обычный 5 75 4" xfId="22978"/>
    <cellStyle name="Обычный 5 75 4 2" xfId="55021"/>
    <cellStyle name="Обычный 5 75 5" xfId="33661"/>
    <cellStyle name="Обычный 5 76" xfId="1641"/>
    <cellStyle name="Обычный 5 76 2" xfId="6983"/>
    <cellStyle name="Обычный 5 76 2 2" xfId="17663"/>
    <cellStyle name="Обычный 5 76 2 2 2" xfId="49707"/>
    <cellStyle name="Обычный 5 76 2 3" xfId="28344"/>
    <cellStyle name="Обычный 5 76 2 3 2" xfId="60387"/>
    <cellStyle name="Обычный 5 76 2 4" xfId="39027"/>
    <cellStyle name="Обычный 5 76 3" xfId="12323"/>
    <cellStyle name="Обычный 5 76 3 2" xfId="44367"/>
    <cellStyle name="Обычный 5 76 4" xfId="23004"/>
    <cellStyle name="Обычный 5 76 4 2" xfId="55047"/>
    <cellStyle name="Обычный 5 76 5" xfId="33687"/>
    <cellStyle name="Обычный 5 77" xfId="1667"/>
    <cellStyle name="Обычный 5 77 2" xfId="7009"/>
    <cellStyle name="Обычный 5 77 2 2" xfId="17689"/>
    <cellStyle name="Обычный 5 77 2 2 2" xfId="49733"/>
    <cellStyle name="Обычный 5 77 2 3" xfId="28370"/>
    <cellStyle name="Обычный 5 77 2 3 2" xfId="60413"/>
    <cellStyle name="Обычный 5 77 2 4" xfId="39053"/>
    <cellStyle name="Обычный 5 77 3" xfId="12349"/>
    <cellStyle name="Обычный 5 77 3 2" xfId="44393"/>
    <cellStyle name="Обычный 5 77 4" xfId="23030"/>
    <cellStyle name="Обычный 5 77 4 2" xfId="55073"/>
    <cellStyle name="Обычный 5 77 5" xfId="33713"/>
    <cellStyle name="Обычный 5 78" xfId="1693"/>
    <cellStyle name="Обычный 5 78 2" xfId="7035"/>
    <cellStyle name="Обычный 5 78 2 2" xfId="17715"/>
    <cellStyle name="Обычный 5 78 2 2 2" xfId="49759"/>
    <cellStyle name="Обычный 5 78 2 3" xfId="28396"/>
    <cellStyle name="Обычный 5 78 2 3 2" xfId="60439"/>
    <cellStyle name="Обычный 5 78 2 4" xfId="39079"/>
    <cellStyle name="Обычный 5 78 3" xfId="12375"/>
    <cellStyle name="Обычный 5 78 3 2" xfId="44419"/>
    <cellStyle name="Обычный 5 78 4" xfId="23056"/>
    <cellStyle name="Обычный 5 78 4 2" xfId="55099"/>
    <cellStyle name="Обычный 5 78 5" xfId="33739"/>
    <cellStyle name="Обычный 5 79" xfId="1719"/>
    <cellStyle name="Обычный 5 79 2" xfId="7061"/>
    <cellStyle name="Обычный 5 79 2 2" xfId="17741"/>
    <cellStyle name="Обычный 5 79 2 2 2" xfId="49785"/>
    <cellStyle name="Обычный 5 79 2 3" xfId="28422"/>
    <cellStyle name="Обычный 5 79 2 3 2" xfId="60465"/>
    <cellStyle name="Обычный 5 79 2 4" xfId="39105"/>
    <cellStyle name="Обычный 5 79 3" xfId="12401"/>
    <cellStyle name="Обычный 5 79 3 2" xfId="44445"/>
    <cellStyle name="Обычный 5 79 4" xfId="23082"/>
    <cellStyle name="Обычный 5 79 4 2" xfId="55125"/>
    <cellStyle name="Обычный 5 79 5" xfId="33765"/>
    <cellStyle name="Обычный 5 8" xfId="76"/>
    <cellStyle name="Обычный 5 8 2" xfId="544"/>
    <cellStyle name="Обычный 5 8 2 2" xfId="5887"/>
    <cellStyle name="Обычный 5 8 2 2 2" xfId="16567"/>
    <cellStyle name="Обычный 5 8 2 2 2 2" xfId="48611"/>
    <cellStyle name="Обычный 5 8 2 2 3" xfId="27248"/>
    <cellStyle name="Обычный 5 8 2 2 3 2" xfId="59291"/>
    <cellStyle name="Обычный 5 8 2 2 4" xfId="37931"/>
    <cellStyle name="Обычный 5 8 2 3" xfId="11227"/>
    <cellStyle name="Обычный 5 8 2 3 2" xfId="43271"/>
    <cellStyle name="Обычный 5 8 2 4" xfId="21908"/>
    <cellStyle name="Обычный 5 8 2 4 2" xfId="53951"/>
    <cellStyle name="Обычный 5 8 2 5" xfId="32591"/>
    <cellStyle name="Обычный 5 8 3" xfId="5420"/>
    <cellStyle name="Обычный 5 8 3 2" xfId="16100"/>
    <cellStyle name="Обычный 5 8 3 2 2" xfId="48144"/>
    <cellStyle name="Обычный 5 8 3 3" xfId="26781"/>
    <cellStyle name="Обычный 5 8 3 3 2" xfId="58824"/>
    <cellStyle name="Обычный 5 8 3 4" xfId="37464"/>
    <cellStyle name="Обычный 5 8 4" xfId="10760"/>
    <cellStyle name="Обычный 5 8 4 2" xfId="42804"/>
    <cellStyle name="Обычный 5 8 5" xfId="21441"/>
    <cellStyle name="Обычный 5 8 5 2" xfId="53484"/>
    <cellStyle name="Обычный 5 8 6" xfId="32124"/>
    <cellStyle name="Обычный 5 80" xfId="1745"/>
    <cellStyle name="Обычный 5 80 2" xfId="7087"/>
    <cellStyle name="Обычный 5 80 2 2" xfId="17767"/>
    <cellStyle name="Обычный 5 80 2 2 2" xfId="49811"/>
    <cellStyle name="Обычный 5 80 2 3" xfId="28448"/>
    <cellStyle name="Обычный 5 80 2 3 2" xfId="60491"/>
    <cellStyle name="Обычный 5 80 2 4" xfId="39131"/>
    <cellStyle name="Обычный 5 80 3" xfId="12427"/>
    <cellStyle name="Обычный 5 80 3 2" xfId="44471"/>
    <cellStyle name="Обычный 5 80 4" xfId="23108"/>
    <cellStyle name="Обычный 5 80 4 2" xfId="55151"/>
    <cellStyle name="Обычный 5 80 5" xfId="33791"/>
    <cellStyle name="Обычный 5 81" xfId="1771"/>
    <cellStyle name="Обычный 5 81 2" xfId="7113"/>
    <cellStyle name="Обычный 5 81 2 2" xfId="17793"/>
    <cellStyle name="Обычный 5 81 2 2 2" xfId="49837"/>
    <cellStyle name="Обычный 5 81 2 3" xfId="28474"/>
    <cellStyle name="Обычный 5 81 2 3 2" xfId="60517"/>
    <cellStyle name="Обычный 5 81 2 4" xfId="39157"/>
    <cellStyle name="Обычный 5 81 3" xfId="12453"/>
    <cellStyle name="Обычный 5 81 3 2" xfId="44497"/>
    <cellStyle name="Обычный 5 81 4" xfId="23134"/>
    <cellStyle name="Обычный 5 81 4 2" xfId="55177"/>
    <cellStyle name="Обычный 5 81 5" xfId="33817"/>
    <cellStyle name="Обычный 5 82" xfId="1797"/>
    <cellStyle name="Обычный 5 82 2" xfId="7139"/>
    <cellStyle name="Обычный 5 82 2 2" xfId="17819"/>
    <cellStyle name="Обычный 5 82 2 2 2" xfId="49863"/>
    <cellStyle name="Обычный 5 82 2 3" xfId="28500"/>
    <cellStyle name="Обычный 5 82 2 3 2" xfId="60543"/>
    <cellStyle name="Обычный 5 82 2 4" xfId="39183"/>
    <cellStyle name="Обычный 5 82 3" xfId="12479"/>
    <cellStyle name="Обычный 5 82 3 2" xfId="44523"/>
    <cellStyle name="Обычный 5 82 4" xfId="23160"/>
    <cellStyle name="Обычный 5 82 4 2" xfId="55203"/>
    <cellStyle name="Обычный 5 82 5" xfId="33843"/>
    <cellStyle name="Обычный 5 83" xfId="1823"/>
    <cellStyle name="Обычный 5 83 2" xfId="7165"/>
    <cellStyle name="Обычный 5 83 2 2" xfId="17845"/>
    <cellStyle name="Обычный 5 83 2 2 2" xfId="49889"/>
    <cellStyle name="Обычный 5 83 2 3" xfId="28526"/>
    <cellStyle name="Обычный 5 83 2 3 2" xfId="60569"/>
    <cellStyle name="Обычный 5 83 2 4" xfId="39209"/>
    <cellStyle name="Обычный 5 83 3" xfId="12505"/>
    <cellStyle name="Обычный 5 83 3 2" xfId="44549"/>
    <cellStyle name="Обычный 5 83 4" xfId="23186"/>
    <cellStyle name="Обычный 5 83 4 2" xfId="55229"/>
    <cellStyle name="Обычный 5 83 5" xfId="33869"/>
    <cellStyle name="Обычный 5 84" xfId="1849"/>
    <cellStyle name="Обычный 5 84 2" xfId="7191"/>
    <cellStyle name="Обычный 5 84 2 2" xfId="17871"/>
    <cellStyle name="Обычный 5 84 2 2 2" xfId="49915"/>
    <cellStyle name="Обычный 5 84 2 3" xfId="28552"/>
    <cellStyle name="Обычный 5 84 2 3 2" xfId="60595"/>
    <cellStyle name="Обычный 5 84 2 4" xfId="39235"/>
    <cellStyle name="Обычный 5 84 3" xfId="12531"/>
    <cellStyle name="Обычный 5 84 3 2" xfId="44575"/>
    <cellStyle name="Обычный 5 84 4" xfId="23212"/>
    <cellStyle name="Обычный 5 84 4 2" xfId="55255"/>
    <cellStyle name="Обычный 5 84 5" xfId="33895"/>
    <cellStyle name="Обычный 5 85" xfId="1875"/>
    <cellStyle name="Обычный 5 85 2" xfId="7217"/>
    <cellStyle name="Обычный 5 85 2 2" xfId="17897"/>
    <cellStyle name="Обычный 5 85 2 2 2" xfId="49941"/>
    <cellStyle name="Обычный 5 85 2 3" xfId="28578"/>
    <cellStyle name="Обычный 5 85 2 3 2" xfId="60621"/>
    <cellStyle name="Обычный 5 85 2 4" xfId="39261"/>
    <cellStyle name="Обычный 5 85 3" xfId="12557"/>
    <cellStyle name="Обычный 5 85 3 2" xfId="44601"/>
    <cellStyle name="Обычный 5 85 4" xfId="23238"/>
    <cellStyle name="Обычный 5 85 4 2" xfId="55281"/>
    <cellStyle name="Обычный 5 85 5" xfId="33921"/>
    <cellStyle name="Обычный 5 86" xfId="1901"/>
    <cellStyle name="Обычный 5 86 2" xfId="7243"/>
    <cellStyle name="Обычный 5 86 2 2" xfId="17923"/>
    <cellStyle name="Обычный 5 86 2 2 2" xfId="49967"/>
    <cellStyle name="Обычный 5 86 2 3" xfId="28604"/>
    <cellStyle name="Обычный 5 86 2 3 2" xfId="60647"/>
    <cellStyle name="Обычный 5 86 2 4" xfId="39287"/>
    <cellStyle name="Обычный 5 86 3" xfId="12583"/>
    <cellStyle name="Обычный 5 86 3 2" xfId="44627"/>
    <cellStyle name="Обычный 5 86 4" xfId="23264"/>
    <cellStyle name="Обычный 5 86 4 2" xfId="55307"/>
    <cellStyle name="Обычный 5 86 5" xfId="33947"/>
    <cellStyle name="Обычный 5 87" xfId="1929"/>
    <cellStyle name="Обычный 5 87 2" xfId="7271"/>
    <cellStyle name="Обычный 5 87 2 2" xfId="17951"/>
    <cellStyle name="Обычный 5 87 2 2 2" xfId="49995"/>
    <cellStyle name="Обычный 5 87 2 3" xfId="28632"/>
    <cellStyle name="Обычный 5 87 2 3 2" xfId="60675"/>
    <cellStyle name="Обычный 5 87 2 4" xfId="39315"/>
    <cellStyle name="Обычный 5 87 3" xfId="12611"/>
    <cellStyle name="Обычный 5 87 3 2" xfId="44655"/>
    <cellStyle name="Обычный 5 87 4" xfId="23292"/>
    <cellStyle name="Обычный 5 87 4 2" xfId="55335"/>
    <cellStyle name="Обычный 5 87 5" xfId="33975"/>
    <cellStyle name="Обычный 5 88" xfId="1957"/>
    <cellStyle name="Обычный 5 88 2" xfId="7299"/>
    <cellStyle name="Обычный 5 88 2 2" xfId="17979"/>
    <cellStyle name="Обычный 5 88 2 2 2" xfId="50023"/>
    <cellStyle name="Обычный 5 88 2 3" xfId="28660"/>
    <cellStyle name="Обычный 5 88 2 3 2" xfId="60703"/>
    <cellStyle name="Обычный 5 88 2 4" xfId="39343"/>
    <cellStyle name="Обычный 5 88 3" xfId="12639"/>
    <cellStyle name="Обычный 5 88 3 2" xfId="44683"/>
    <cellStyle name="Обычный 5 88 4" xfId="23320"/>
    <cellStyle name="Обычный 5 88 4 2" xfId="55363"/>
    <cellStyle name="Обычный 5 88 5" xfId="34003"/>
    <cellStyle name="Обычный 5 89" xfId="1985"/>
    <cellStyle name="Обычный 5 89 2" xfId="7327"/>
    <cellStyle name="Обычный 5 89 2 2" xfId="18007"/>
    <cellStyle name="Обычный 5 89 2 2 2" xfId="50051"/>
    <cellStyle name="Обычный 5 89 2 3" xfId="28688"/>
    <cellStyle name="Обычный 5 89 2 3 2" xfId="60731"/>
    <cellStyle name="Обычный 5 89 2 4" xfId="39371"/>
    <cellStyle name="Обычный 5 89 3" xfId="12667"/>
    <cellStyle name="Обычный 5 89 3 2" xfId="44711"/>
    <cellStyle name="Обычный 5 89 4" xfId="23348"/>
    <cellStyle name="Обычный 5 89 4 2" xfId="55391"/>
    <cellStyle name="Обычный 5 89 5" xfId="34031"/>
    <cellStyle name="Обычный 5 9" xfId="84"/>
    <cellStyle name="Обычный 5 9 2" xfId="552"/>
    <cellStyle name="Обычный 5 9 2 2" xfId="5895"/>
    <cellStyle name="Обычный 5 9 2 2 2" xfId="16575"/>
    <cellStyle name="Обычный 5 9 2 2 2 2" xfId="48619"/>
    <cellStyle name="Обычный 5 9 2 2 3" xfId="27256"/>
    <cellStyle name="Обычный 5 9 2 2 3 2" xfId="59299"/>
    <cellStyle name="Обычный 5 9 2 2 4" xfId="37939"/>
    <cellStyle name="Обычный 5 9 2 3" xfId="11235"/>
    <cellStyle name="Обычный 5 9 2 3 2" xfId="43279"/>
    <cellStyle name="Обычный 5 9 2 4" xfId="21916"/>
    <cellStyle name="Обычный 5 9 2 4 2" xfId="53959"/>
    <cellStyle name="Обычный 5 9 2 5" xfId="32599"/>
    <cellStyle name="Обычный 5 9 3" xfId="5428"/>
    <cellStyle name="Обычный 5 9 3 2" xfId="16108"/>
    <cellStyle name="Обычный 5 9 3 2 2" xfId="48152"/>
    <cellStyle name="Обычный 5 9 3 3" xfId="26789"/>
    <cellStyle name="Обычный 5 9 3 3 2" xfId="58832"/>
    <cellStyle name="Обычный 5 9 3 4" xfId="37472"/>
    <cellStyle name="Обычный 5 9 4" xfId="10768"/>
    <cellStyle name="Обычный 5 9 4 2" xfId="42812"/>
    <cellStyle name="Обычный 5 9 5" xfId="21449"/>
    <cellStyle name="Обычный 5 9 5 2" xfId="53492"/>
    <cellStyle name="Обычный 5 9 6" xfId="32132"/>
    <cellStyle name="Обычный 5 90" xfId="2013"/>
    <cellStyle name="Обычный 5 90 2" xfId="7355"/>
    <cellStyle name="Обычный 5 90 2 2" xfId="18035"/>
    <cellStyle name="Обычный 5 90 2 2 2" xfId="50079"/>
    <cellStyle name="Обычный 5 90 2 3" xfId="28716"/>
    <cellStyle name="Обычный 5 90 2 3 2" xfId="60759"/>
    <cellStyle name="Обычный 5 90 2 4" xfId="39399"/>
    <cellStyle name="Обычный 5 90 3" xfId="12695"/>
    <cellStyle name="Обычный 5 90 3 2" xfId="44739"/>
    <cellStyle name="Обычный 5 90 4" xfId="23376"/>
    <cellStyle name="Обычный 5 90 4 2" xfId="55419"/>
    <cellStyle name="Обычный 5 90 5" xfId="34059"/>
    <cellStyle name="Обычный 5 91" xfId="2041"/>
    <cellStyle name="Обычный 5 91 2" xfId="7383"/>
    <cellStyle name="Обычный 5 91 2 2" xfId="18063"/>
    <cellStyle name="Обычный 5 91 2 2 2" xfId="50107"/>
    <cellStyle name="Обычный 5 91 2 3" xfId="28744"/>
    <cellStyle name="Обычный 5 91 2 3 2" xfId="60787"/>
    <cellStyle name="Обычный 5 91 2 4" xfId="39427"/>
    <cellStyle name="Обычный 5 91 3" xfId="12723"/>
    <cellStyle name="Обычный 5 91 3 2" xfId="44767"/>
    <cellStyle name="Обычный 5 91 4" xfId="23404"/>
    <cellStyle name="Обычный 5 91 4 2" xfId="55447"/>
    <cellStyle name="Обычный 5 91 5" xfId="34087"/>
    <cellStyle name="Обычный 5 92" xfId="2069"/>
    <cellStyle name="Обычный 5 92 2" xfId="7411"/>
    <cellStyle name="Обычный 5 92 2 2" xfId="18091"/>
    <cellStyle name="Обычный 5 92 2 2 2" xfId="50135"/>
    <cellStyle name="Обычный 5 92 2 3" xfId="28772"/>
    <cellStyle name="Обычный 5 92 2 3 2" xfId="60815"/>
    <cellStyle name="Обычный 5 92 2 4" xfId="39455"/>
    <cellStyle name="Обычный 5 92 3" xfId="12751"/>
    <cellStyle name="Обычный 5 92 3 2" xfId="44795"/>
    <cellStyle name="Обычный 5 92 4" xfId="23432"/>
    <cellStyle name="Обычный 5 92 4 2" xfId="55475"/>
    <cellStyle name="Обычный 5 92 5" xfId="34115"/>
    <cellStyle name="Обычный 5 93" xfId="2097"/>
    <cellStyle name="Обычный 5 93 2" xfId="7439"/>
    <cellStyle name="Обычный 5 93 2 2" xfId="18119"/>
    <cellStyle name="Обычный 5 93 2 2 2" xfId="50163"/>
    <cellStyle name="Обычный 5 93 2 3" xfId="28800"/>
    <cellStyle name="Обычный 5 93 2 3 2" xfId="60843"/>
    <cellStyle name="Обычный 5 93 2 4" xfId="39483"/>
    <cellStyle name="Обычный 5 93 3" xfId="12779"/>
    <cellStyle name="Обычный 5 93 3 2" xfId="44823"/>
    <cellStyle name="Обычный 5 93 4" xfId="23460"/>
    <cellStyle name="Обычный 5 93 4 2" xfId="55503"/>
    <cellStyle name="Обычный 5 93 5" xfId="34143"/>
    <cellStyle name="Обычный 5 94" xfId="2127"/>
    <cellStyle name="Обычный 5 94 2" xfId="7469"/>
    <cellStyle name="Обычный 5 94 2 2" xfId="18149"/>
    <cellStyle name="Обычный 5 94 2 2 2" xfId="50193"/>
    <cellStyle name="Обычный 5 94 2 3" xfId="28830"/>
    <cellStyle name="Обычный 5 94 2 3 2" xfId="60873"/>
    <cellStyle name="Обычный 5 94 2 4" xfId="39513"/>
    <cellStyle name="Обычный 5 94 3" xfId="12809"/>
    <cellStyle name="Обычный 5 94 3 2" xfId="44853"/>
    <cellStyle name="Обычный 5 94 4" xfId="23490"/>
    <cellStyle name="Обычный 5 94 4 2" xfId="55533"/>
    <cellStyle name="Обычный 5 94 5" xfId="34173"/>
    <cellStyle name="Обычный 5 95" xfId="2157"/>
    <cellStyle name="Обычный 5 95 2" xfId="7499"/>
    <cellStyle name="Обычный 5 95 2 2" xfId="18179"/>
    <cellStyle name="Обычный 5 95 2 2 2" xfId="50223"/>
    <cellStyle name="Обычный 5 95 2 3" xfId="28860"/>
    <cellStyle name="Обычный 5 95 2 3 2" xfId="60903"/>
    <cellStyle name="Обычный 5 95 2 4" xfId="39543"/>
    <cellStyle name="Обычный 5 95 3" xfId="12839"/>
    <cellStyle name="Обычный 5 95 3 2" xfId="44883"/>
    <cellStyle name="Обычный 5 95 4" xfId="23520"/>
    <cellStyle name="Обычный 5 95 4 2" xfId="55563"/>
    <cellStyle name="Обычный 5 95 5" xfId="34203"/>
    <cellStyle name="Обычный 5 96" xfId="2187"/>
    <cellStyle name="Обычный 5 96 2" xfId="7529"/>
    <cellStyle name="Обычный 5 96 2 2" xfId="18209"/>
    <cellStyle name="Обычный 5 96 2 2 2" xfId="50253"/>
    <cellStyle name="Обычный 5 96 2 3" xfId="28890"/>
    <cellStyle name="Обычный 5 96 2 3 2" xfId="60933"/>
    <cellStyle name="Обычный 5 96 2 4" xfId="39573"/>
    <cellStyle name="Обычный 5 96 3" xfId="12869"/>
    <cellStyle name="Обычный 5 96 3 2" xfId="44913"/>
    <cellStyle name="Обычный 5 96 4" xfId="23550"/>
    <cellStyle name="Обычный 5 96 4 2" xfId="55593"/>
    <cellStyle name="Обычный 5 96 5" xfId="34233"/>
    <cellStyle name="Обычный 5 97" xfId="2217"/>
    <cellStyle name="Обычный 5 97 2" xfId="7559"/>
    <cellStyle name="Обычный 5 97 2 2" xfId="18239"/>
    <cellStyle name="Обычный 5 97 2 2 2" xfId="50283"/>
    <cellStyle name="Обычный 5 97 2 3" xfId="28920"/>
    <cellStyle name="Обычный 5 97 2 3 2" xfId="60963"/>
    <cellStyle name="Обычный 5 97 2 4" xfId="39603"/>
    <cellStyle name="Обычный 5 97 3" xfId="12899"/>
    <cellStyle name="Обычный 5 97 3 2" xfId="44943"/>
    <cellStyle name="Обычный 5 97 4" xfId="23580"/>
    <cellStyle name="Обычный 5 97 4 2" xfId="55623"/>
    <cellStyle name="Обычный 5 97 5" xfId="34263"/>
    <cellStyle name="Обычный 5 98" xfId="2247"/>
    <cellStyle name="Обычный 5 98 2" xfId="7589"/>
    <cellStyle name="Обычный 5 98 2 2" xfId="18269"/>
    <cellStyle name="Обычный 5 98 2 2 2" xfId="50313"/>
    <cellStyle name="Обычный 5 98 2 3" xfId="28950"/>
    <cellStyle name="Обычный 5 98 2 3 2" xfId="60993"/>
    <cellStyle name="Обычный 5 98 2 4" xfId="39633"/>
    <cellStyle name="Обычный 5 98 3" xfId="12929"/>
    <cellStyle name="Обычный 5 98 3 2" xfId="44973"/>
    <cellStyle name="Обычный 5 98 4" xfId="23610"/>
    <cellStyle name="Обычный 5 98 4 2" xfId="55653"/>
    <cellStyle name="Обычный 5 98 5" xfId="34293"/>
    <cellStyle name="Обычный 5 99" xfId="2277"/>
    <cellStyle name="Обычный 5 99 2" xfId="7619"/>
    <cellStyle name="Обычный 5 99 2 2" xfId="18299"/>
    <cellStyle name="Обычный 5 99 2 2 2" xfId="50343"/>
    <cellStyle name="Обычный 5 99 2 3" xfId="28980"/>
    <cellStyle name="Обычный 5 99 2 3 2" xfId="61023"/>
    <cellStyle name="Обычный 5 99 2 4" xfId="39663"/>
    <cellStyle name="Обычный 5 99 3" xfId="12959"/>
    <cellStyle name="Обычный 5 99 3 2" xfId="45003"/>
    <cellStyle name="Обычный 5 99 4" xfId="23640"/>
    <cellStyle name="Обычный 5 99 4 2" xfId="55683"/>
    <cellStyle name="Обычный 5 99 5" xfId="34323"/>
    <cellStyle name="Обычный 6" xfId="98"/>
    <cellStyle name="Обычный 6 10" xfId="188"/>
    <cellStyle name="Обычный 6 10 2" xfId="656"/>
    <cellStyle name="Обычный 6 10 2 2" xfId="5999"/>
    <cellStyle name="Обычный 6 10 2 2 2" xfId="16679"/>
    <cellStyle name="Обычный 6 10 2 2 2 2" xfId="48723"/>
    <cellStyle name="Обычный 6 10 2 2 3" xfId="27360"/>
    <cellStyle name="Обычный 6 10 2 2 3 2" xfId="59403"/>
    <cellStyle name="Обычный 6 10 2 2 4" xfId="38043"/>
    <cellStyle name="Обычный 6 10 2 3" xfId="11339"/>
    <cellStyle name="Обычный 6 10 2 3 2" xfId="43383"/>
    <cellStyle name="Обычный 6 10 2 4" xfId="22020"/>
    <cellStyle name="Обычный 6 10 2 4 2" xfId="54063"/>
    <cellStyle name="Обычный 6 10 2 5" xfId="32703"/>
    <cellStyle name="Обычный 6 10 3" xfId="5532"/>
    <cellStyle name="Обычный 6 10 3 2" xfId="16212"/>
    <cellStyle name="Обычный 6 10 3 2 2" xfId="48256"/>
    <cellStyle name="Обычный 6 10 3 3" xfId="26893"/>
    <cellStyle name="Обычный 6 10 3 3 2" xfId="58936"/>
    <cellStyle name="Обычный 6 10 3 4" xfId="37576"/>
    <cellStyle name="Обычный 6 10 4" xfId="10872"/>
    <cellStyle name="Обычный 6 10 4 2" xfId="42916"/>
    <cellStyle name="Обычный 6 10 5" xfId="21553"/>
    <cellStyle name="Обычный 6 10 5 2" xfId="53596"/>
    <cellStyle name="Обычный 6 10 6" xfId="32236"/>
    <cellStyle name="Обычный 6 100" xfId="2593"/>
    <cellStyle name="Обычный 6 100 2" xfId="7935"/>
    <cellStyle name="Обычный 6 100 2 2" xfId="18615"/>
    <cellStyle name="Обычный 6 100 2 2 2" xfId="50659"/>
    <cellStyle name="Обычный 6 100 2 3" xfId="29296"/>
    <cellStyle name="Обычный 6 100 2 3 2" xfId="61339"/>
    <cellStyle name="Обычный 6 100 2 4" xfId="39979"/>
    <cellStyle name="Обычный 6 100 3" xfId="13275"/>
    <cellStyle name="Обычный 6 100 3 2" xfId="45319"/>
    <cellStyle name="Обычный 6 100 4" xfId="23956"/>
    <cellStyle name="Обычный 6 100 4 2" xfId="55999"/>
    <cellStyle name="Обычный 6 100 5" xfId="34639"/>
    <cellStyle name="Обычный 6 101" xfId="2625"/>
    <cellStyle name="Обычный 6 101 2" xfId="7967"/>
    <cellStyle name="Обычный 6 101 2 2" xfId="18647"/>
    <cellStyle name="Обычный 6 101 2 2 2" xfId="50691"/>
    <cellStyle name="Обычный 6 101 2 3" xfId="29328"/>
    <cellStyle name="Обычный 6 101 2 3 2" xfId="61371"/>
    <cellStyle name="Обычный 6 101 2 4" xfId="40011"/>
    <cellStyle name="Обычный 6 101 3" xfId="13307"/>
    <cellStyle name="Обычный 6 101 3 2" xfId="45351"/>
    <cellStyle name="Обычный 6 101 4" xfId="23988"/>
    <cellStyle name="Обычный 6 101 4 2" xfId="56031"/>
    <cellStyle name="Обычный 6 101 5" xfId="34671"/>
    <cellStyle name="Обычный 6 102" xfId="2657"/>
    <cellStyle name="Обычный 6 102 2" xfId="7999"/>
    <cellStyle name="Обычный 6 102 2 2" xfId="18679"/>
    <cellStyle name="Обычный 6 102 2 2 2" xfId="50723"/>
    <cellStyle name="Обычный 6 102 2 3" xfId="29360"/>
    <cellStyle name="Обычный 6 102 2 3 2" xfId="61403"/>
    <cellStyle name="Обычный 6 102 2 4" xfId="40043"/>
    <cellStyle name="Обычный 6 102 3" xfId="13339"/>
    <cellStyle name="Обычный 6 102 3 2" xfId="45383"/>
    <cellStyle name="Обычный 6 102 4" xfId="24020"/>
    <cellStyle name="Обычный 6 102 4 2" xfId="56063"/>
    <cellStyle name="Обычный 6 102 5" xfId="34703"/>
    <cellStyle name="Обычный 6 103" xfId="2689"/>
    <cellStyle name="Обычный 6 103 2" xfId="8031"/>
    <cellStyle name="Обычный 6 103 2 2" xfId="18711"/>
    <cellStyle name="Обычный 6 103 2 2 2" xfId="50755"/>
    <cellStyle name="Обычный 6 103 2 3" xfId="29392"/>
    <cellStyle name="Обычный 6 103 2 3 2" xfId="61435"/>
    <cellStyle name="Обычный 6 103 2 4" xfId="40075"/>
    <cellStyle name="Обычный 6 103 3" xfId="13371"/>
    <cellStyle name="Обычный 6 103 3 2" xfId="45415"/>
    <cellStyle name="Обычный 6 103 4" xfId="24052"/>
    <cellStyle name="Обычный 6 103 4 2" xfId="56095"/>
    <cellStyle name="Обычный 6 103 5" xfId="34735"/>
    <cellStyle name="Обычный 6 104" xfId="2721"/>
    <cellStyle name="Обычный 6 104 2" xfId="8063"/>
    <cellStyle name="Обычный 6 104 2 2" xfId="18743"/>
    <cellStyle name="Обычный 6 104 2 2 2" xfId="50787"/>
    <cellStyle name="Обычный 6 104 2 3" xfId="29424"/>
    <cellStyle name="Обычный 6 104 2 3 2" xfId="61467"/>
    <cellStyle name="Обычный 6 104 2 4" xfId="40107"/>
    <cellStyle name="Обычный 6 104 3" xfId="13403"/>
    <cellStyle name="Обычный 6 104 3 2" xfId="45447"/>
    <cellStyle name="Обычный 6 104 4" xfId="24084"/>
    <cellStyle name="Обычный 6 104 4 2" xfId="56127"/>
    <cellStyle name="Обычный 6 104 5" xfId="34767"/>
    <cellStyle name="Обычный 6 105" xfId="2755"/>
    <cellStyle name="Обычный 6 105 2" xfId="8097"/>
    <cellStyle name="Обычный 6 105 2 2" xfId="18777"/>
    <cellStyle name="Обычный 6 105 2 2 2" xfId="50821"/>
    <cellStyle name="Обычный 6 105 2 3" xfId="29458"/>
    <cellStyle name="Обычный 6 105 2 3 2" xfId="61501"/>
    <cellStyle name="Обычный 6 105 2 4" xfId="40141"/>
    <cellStyle name="Обычный 6 105 3" xfId="13437"/>
    <cellStyle name="Обычный 6 105 3 2" xfId="45481"/>
    <cellStyle name="Обычный 6 105 4" xfId="24118"/>
    <cellStyle name="Обычный 6 105 4 2" xfId="56161"/>
    <cellStyle name="Обычный 6 105 5" xfId="34801"/>
    <cellStyle name="Обычный 6 106" xfId="2787"/>
    <cellStyle name="Обычный 6 106 2" xfId="8129"/>
    <cellStyle name="Обычный 6 106 2 2" xfId="18809"/>
    <cellStyle name="Обычный 6 106 2 2 2" xfId="50853"/>
    <cellStyle name="Обычный 6 106 2 3" xfId="29490"/>
    <cellStyle name="Обычный 6 106 2 3 2" xfId="61533"/>
    <cellStyle name="Обычный 6 106 2 4" xfId="40173"/>
    <cellStyle name="Обычный 6 106 3" xfId="13469"/>
    <cellStyle name="Обычный 6 106 3 2" xfId="45513"/>
    <cellStyle name="Обычный 6 106 4" xfId="24150"/>
    <cellStyle name="Обычный 6 106 4 2" xfId="56193"/>
    <cellStyle name="Обычный 6 106 5" xfId="34833"/>
    <cellStyle name="Обычный 6 107" xfId="2819"/>
    <cellStyle name="Обычный 6 107 2" xfId="8161"/>
    <cellStyle name="Обычный 6 107 2 2" xfId="18841"/>
    <cellStyle name="Обычный 6 107 2 2 2" xfId="50885"/>
    <cellStyle name="Обычный 6 107 2 3" xfId="29522"/>
    <cellStyle name="Обычный 6 107 2 3 2" xfId="61565"/>
    <cellStyle name="Обычный 6 107 2 4" xfId="40205"/>
    <cellStyle name="Обычный 6 107 3" xfId="13501"/>
    <cellStyle name="Обычный 6 107 3 2" xfId="45545"/>
    <cellStyle name="Обычный 6 107 4" xfId="24182"/>
    <cellStyle name="Обычный 6 107 4 2" xfId="56225"/>
    <cellStyle name="Обычный 6 107 5" xfId="34865"/>
    <cellStyle name="Обычный 6 108" xfId="2851"/>
    <cellStyle name="Обычный 6 108 2" xfId="8193"/>
    <cellStyle name="Обычный 6 108 2 2" xfId="18873"/>
    <cellStyle name="Обычный 6 108 2 2 2" xfId="50917"/>
    <cellStyle name="Обычный 6 108 2 3" xfId="29554"/>
    <cellStyle name="Обычный 6 108 2 3 2" xfId="61597"/>
    <cellStyle name="Обычный 6 108 2 4" xfId="40237"/>
    <cellStyle name="Обычный 6 108 3" xfId="13533"/>
    <cellStyle name="Обычный 6 108 3 2" xfId="45577"/>
    <cellStyle name="Обычный 6 108 4" xfId="24214"/>
    <cellStyle name="Обычный 6 108 4 2" xfId="56257"/>
    <cellStyle name="Обычный 6 108 5" xfId="34897"/>
    <cellStyle name="Обычный 6 109" xfId="2883"/>
    <cellStyle name="Обычный 6 109 2" xfId="8225"/>
    <cellStyle name="Обычный 6 109 2 2" xfId="18905"/>
    <cellStyle name="Обычный 6 109 2 2 2" xfId="50949"/>
    <cellStyle name="Обычный 6 109 2 3" xfId="29586"/>
    <cellStyle name="Обычный 6 109 2 3 2" xfId="61629"/>
    <cellStyle name="Обычный 6 109 2 4" xfId="40269"/>
    <cellStyle name="Обычный 6 109 3" xfId="13565"/>
    <cellStyle name="Обычный 6 109 3 2" xfId="45609"/>
    <cellStyle name="Обычный 6 109 4" xfId="24246"/>
    <cellStyle name="Обычный 6 109 4 2" xfId="56289"/>
    <cellStyle name="Обычный 6 109 5" xfId="34929"/>
    <cellStyle name="Обычный 6 11" xfId="198"/>
    <cellStyle name="Обычный 6 11 2" xfId="666"/>
    <cellStyle name="Обычный 6 11 2 2" xfId="6009"/>
    <cellStyle name="Обычный 6 11 2 2 2" xfId="16689"/>
    <cellStyle name="Обычный 6 11 2 2 2 2" xfId="48733"/>
    <cellStyle name="Обычный 6 11 2 2 3" xfId="27370"/>
    <cellStyle name="Обычный 6 11 2 2 3 2" xfId="59413"/>
    <cellStyle name="Обычный 6 11 2 2 4" xfId="38053"/>
    <cellStyle name="Обычный 6 11 2 3" xfId="11349"/>
    <cellStyle name="Обычный 6 11 2 3 2" xfId="43393"/>
    <cellStyle name="Обычный 6 11 2 4" xfId="22030"/>
    <cellStyle name="Обычный 6 11 2 4 2" xfId="54073"/>
    <cellStyle name="Обычный 6 11 2 5" xfId="32713"/>
    <cellStyle name="Обычный 6 11 3" xfId="5542"/>
    <cellStyle name="Обычный 6 11 3 2" xfId="16222"/>
    <cellStyle name="Обычный 6 11 3 2 2" xfId="48266"/>
    <cellStyle name="Обычный 6 11 3 3" xfId="26903"/>
    <cellStyle name="Обычный 6 11 3 3 2" xfId="58946"/>
    <cellStyle name="Обычный 6 11 3 4" xfId="37586"/>
    <cellStyle name="Обычный 6 11 4" xfId="10882"/>
    <cellStyle name="Обычный 6 11 4 2" xfId="42926"/>
    <cellStyle name="Обычный 6 11 5" xfId="21563"/>
    <cellStyle name="Обычный 6 11 5 2" xfId="53606"/>
    <cellStyle name="Обычный 6 11 6" xfId="32246"/>
    <cellStyle name="Обычный 6 110" xfId="2915"/>
    <cellStyle name="Обычный 6 110 2" xfId="8257"/>
    <cellStyle name="Обычный 6 110 2 2" xfId="18937"/>
    <cellStyle name="Обычный 6 110 2 2 2" xfId="50981"/>
    <cellStyle name="Обычный 6 110 2 3" xfId="29618"/>
    <cellStyle name="Обычный 6 110 2 3 2" xfId="61661"/>
    <cellStyle name="Обычный 6 110 2 4" xfId="40301"/>
    <cellStyle name="Обычный 6 110 3" xfId="13597"/>
    <cellStyle name="Обычный 6 110 3 2" xfId="45641"/>
    <cellStyle name="Обычный 6 110 4" xfId="24278"/>
    <cellStyle name="Обычный 6 110 4 2" xfId="56321"/>
    <cellStyle name="Обычный 6 110 5" xfId="34961"/>
    <cellStyle name="Обычный 6 111" xfId="2947"/>
    <cellStyle name="Обычный 6 111 2" xfId="8289"/>
    <cellStyle name="Обычный 6 111 2 2" xfId="18969"/>
    <cellStyle name="Обычный 6 111 2 2 2" xfId="51013"/>
    <cellStyle name="Обычный 6 111 2 3" xfId="29650"/>
    <cellStyle name="Обычный 6 111 2 3 2" xfId="61693"/>
    <cellStyle name="Обычный 6 111 2 4" xfId="40333"/>
    <cellStyle name="Обычный 6 111 3" xfId="13629"/>
    <cellStyle name="Обычный 6 111 3 2" xfId="45673"/>
    <cellStyle name="Обычный 6 111 4" xfId="24310"/>
    <cellStyle name="Обычный 6 111 4 2" xfId="56353"/>
    <cellStyle name="Обычный 6 111 5" xfId="34993"/>
    <cellStyle name="Обычный 6 112" xfId="2979"/>
    <cellStyle name="Обычный 6 112 2" xfId="8321"/>
    <cellStyle name="Обычный 6 112 2 2" xfId="19001"/>
    <cellStyle name="Обычный 6 112 2 2 2" xfId="51045"/>
    <cellStyle name="Обычный 6 112 2 3" xfId="29682"/>
    <cellStyle name="Обычный 6 112 2 3 2" xfId="61725"/>
    <cellStyle name="Обычный 6 112 2 4" xfId="40365"/>
    <cellStyle name="Обычный 6 112 3" xfId="13661"/>
    <cellStyle name="Обычный 6 112 3 2" xfId="45705"/>
    <cellStyle name="Обычный 6 112 4" xfId="24342"/>
    <cellStyle name="Обычный 6 112 4 2" xfId="56385"/>
    <cellStyle name="Обычный 6 112 5" xfId="35025"/>
    <cellStyle name="Обычный 6 113" xfId="3011"/>
    <cellStyle name="Обычный 6 113 2" xfId="8353"/>
    <cellStyle name="Обычный 6 113 2 2" xfId="19033"/>
    <cellStyle name="Обычный 6 113 2 2 2" xfId="51077"/>
    <cellStyle name="Обычный 6 113 2 3" xfId="29714"/>
    <cellStyle name="Обычный 6 113 2 3 2" xfId="61757"/>
    <cellStyle name="Обычный 6 113 2 4" xfId="40397"/>
    <cellStyle name="Обычный 6 113 3" xfId="13693"/>
    <cellStyle name="Обычный 6 113 3 2" xfId="45737"/>
    <cellStyle name="Обычный 6 113 4" xfId="24374"/>
    <cellStyle name="Обычный 6 113 4 2" xfId="56417"/>
    <cellStyle name="Обычный 6 113 5" xfId="35057"/>
    <cellStyle name="Обычный 6 114" xfId="3043"/>
    <cellStyle name="Обычный 6 114 2" xfId="8385"/>
    <cellStyle name="Обычный 6 114 2 2" xfId="19065"/>
    <cellStyle name="Обычный 6 114 2 2 2" xfId="51109"/>
    <cellStyle name="Обычный 6 114 2 3" xfId="29746"/>
    <cellStyle name="Обычный 6 114 2 3 2" xfId="61789"/>
    <cellStyle name="Обычный 6 114 2 4" xfId="40429"/>
    <cellStyle name="Обычный 6 114 3" xfId="13725"/>
    <cellStyle name="Обычный 6 114 3 2" xfId="45769"/>
    <cellStyle name="Обычный 6 114 4" xfId="24406"/>
    <cellStyle name="Обычный 6 114 4 2" xfId="56449"/>
    <cellStyle name="Обычный 6 114 5" xfId="35089"/>
    <cellStyle name="Обычный 6 115" xfId="3075"/>
    <cellStyle name="Обычный 6 115 2" xfId="8417"/>
    <cellStyle name="Обычный 6 115 2 2" xfId="19097"/>
    <cellStyle name="Обычный 6 115 2 2 2" xfId="51141"/>
    <cellStyle name="Обычный 6 115 2 3" xfId="29778"/>
    <cellStyle name="Обычный 6 115 2 3 2" xfId="61821"/>
    <cellStyle name="Обычный 6 115 2 4" xfId="40461"/>
    <cellStyle name="Обычный 6 115 3" xfId="13757"/>
    <cellStyle name="Обычный 6 115 3 2" xfId="45801"/>
    <cellStyle name="Обычный 6 115 4" xfId="24438"/>
    <cellStyle name="Обычный 6 115 4 2" xfId="56481"/>
    <cellStyle name="Обычный 6 115 5" xfId="35121"/>
    <cellStyle name="Обычный 6 116" xfId="3108"/>
    <cellStyle name="Обычный 6 116 2" xfId="8449"/>
    <cellStyle name="Обычный 6 116 2 2" xfId="19129"/>
    <cellStyle name="Обычный 6 116 2 2 2" xfId="51173"/>
    <cellStyle name="Обычный 6 116 2 3" xfId="29810"/>
    <cellStyle name="Обычный 6 116 2 3 2" xfId="61853"/>
    <cellStyle name="Обычный 6 116 2 4" xfId="40493"/>
    <cellStyle name="Обычный 6 116 3" xfId="13789"/>
    <cellStyle name="Обычный 6 116 3 2" xfId="45833"/>
    <cellStyle name="Обычный 6 116 4" xfId="24470"/>
    <cellStyle name="Обычный 6 116 4 2" xfId="56513"/>
    <cellStyle name="Обычный 6 116 5" xfId="35153"/>
    <cellStyle name="Обычный 6 117" xfId="3140"/>
    <cellStyle name="Обычный 6 117 2" xfId="8481"/>
    <cellStyle name="Обычный 6 117 2 2" xfId="19161"/>
    <cellStyle name="Обычный 6 117 2 2 2" xfId="51205"/>
    <cellStyle name="Обычный 6 117 2 3" xfId="29842"/>
    <cellStyle name="Обычный 6 117 2 3 2" xfId="61885"/>
    <cellStyle name="Обычный 6 117 2 4" xfId="40525"/>
    <cellStyle name="Обычный 6 117 3" xfId="13821"/>
    <cellStyle name="Обычный 6 117 3 2" xfId="45865"/>
    <cellStyle name="Обычный 6 117 4" xfId="24502"/>
    <cellStyle name="Обычный 6 117 4 2" xfId="56545"/>
    <cellStyle name="Обычный 6 117 5" xfId="35185"/>
    <cellStyle name="Обычный 6 118" xfId="3172"/>
    <cellStyle name="Обычный 6 118 2" xfId="8513"/>
    <cellStyle name="Обычный 6 118 2 2" xfId="19193"/>
    <cellStyle name="Обычный 6 118 2 2 2" xfId="51237"/>
    <cellStyle name="Обычный 6 118 2 3" xfId="29874"/>
    <cellStyle name="Обычный 6 118 2 3 2" xfId="61917"/>
    <cellStyle name="Обычный 6 118 2 4" xfId="40557"/>
    <cellStyle name="Обычный 6 118 3" xfId="13853"/>
    <cellStyle name="Обычный 6 118 3 2" xfId="45897"/>
    <cellStyle name="Обычный 6 118 4" xfId="24534"/>
    <cellStyle name="Обычный 6 118 4 2" xfId="56577"/>
    <cellStyle name="Обычный 6 118 5" xfId="35217"/>
    <cellStyle name="Обычный 6 119" xfId="3204"/>
    <cellStyle name="Обычный 6 119 2" xfId="8545"/>
    <cellStyle name="Обычный 6 119 2 2" xfId="19225"/>
    <cellStyle name="Обычный 6 119 2 2 2" xfId="51269"/>
    <cellStyle name="Обычный 6 119 2 3" xfId="29906"/>
    <cellStyle name="Обычный 6 119 2 3 2" xfId="61949"/>
    <cellStyle name="Обычный 6 119 2 4" xfId="40589"/>
    <cellStyle name="Обычный 6 119 3" xfId="13885"/>
    <cellStyle name="Обычный 6 119 3 2" xfId="45929"/>
    <cellStyle name="Обычный 6 119 4" xfId="24566"/>
    <cellStyle name="Обычный 6 119 4 2" xfId="56609"/>
    <cellStyle name="Обычный 6 119 5" xfId="35249"/>
    <cellStyle name="Обычный 6 12" xfId="208"/>
    <cellStyle name="Обычный 6 12 2" xfId="676"/>
    <cellStyle name="Обычный 6 12 2 2" xfId="6019"/>
    <cellStyle name="Обычный 6 12 2 2 2" xfId="16699"/>
    <cellStyle name="Обычный 6 12 2 2 2 2" xfId="48743"/>
    <cellStyle name="Обычный 6 12 2 2 3" xfId="27380"/>
    <cellStyle name="Обычный 6 12 2 2 3 2" xfId="59423"/>
    <cellStyle name="Обычный 6 12 2 2 4" xfId="38063"/>
    <cellStyle name="Обычный 6 12 2 3" xfId="11359"/>
    <cellStyle name="Обычный 6 12 2 3 2" xfId="43403"/>
    <cellStyle name="Обычный 6 12 2 4" xfId="22040"/>
    <cellStyle name="Обычный 6 12 2 4 2" xfId="54083"/>
    <cellStyle name="Обычный 6 12 2 5" xfId="32723"/>
    <cellStyle name="Обычный 6 12 3" xfId="5552"/>
    <cellStyle name="Обычный 6 12 3 2" xfId="16232"/>
    <cellStyle name="Обычный 6 12 3 2 2" xfId="48276"/>
    <cellStyle name="Обычный 6 12 3 3" xfId="26913"/>
    <cellStyle name="Обычный 6 12 3 3 2" xfId="58956"/>
    <cellStyle name="Обычный 6 12 3 4" xfId="37596"/>
    <cellStyle name="Обычный 6 12 4" xfId="10892"/>
    <cellStyle name="Обычный 6 12 4 2" xfId="42936"/>
    <cellStyle name="Обычный 6 12 5" xfId="21573"/>
    <cellStyle name="Обычный 6 12 5 2" xfId="53616"/>
    <cellStyle name="Обычный 6 12 6" xfId="32256"/>
    <cellStyle name="Обычный 6 120" xfId="3236"/>
    <cellStyle name="Обычный 6 120 2" xfId="8577"/>
    <cellStyle name="Обычный 6 120 2 2" xfId="19257"/>
    <cellStyle name="Обычный 6 120 2 2 2" xfId="51301"/>
    <cellStyle name="Обычный 6 120 2 3" xfId="29938"/>
    <cellStyle name="Обычный 6 120 2 3 2" xfId="61981"/>
    <cellStyle name="Обычный 6 120 2 4" xfId="40621"/>
    <cellStyle name="Обычный 6 120 3" xfId="13917"/>
    <cellStyle name="Обычный 6 120 3 2" xfId="45961"/>
    <cellStyle name="Обычный 6 120 4" xfId="24598"/>
    <cellStyle name="Обычный 6 120 4 2" xfId="56641"/>
    <cellStyle name="Обычный 6 120 5" xfId="35281"/>
    <cellStyle name="Обычный 6 121" xfId="3268"/>
    <cellStyle name="Обычный 6 121 2" xfId="8609"/>
    <cellStyle name="Обычный 6 121 2 2" xfId="19289"/>
    <cellStyle name="Обычный 6 121 2 2 2" xfId="51333"/>
    <cellStyle name="Обычный 6 121 2 3" xfId="29970"/>
    <cellStyle name="Обычный 6 121 2 3 2" xfId="62013"/>
    <cellStyle name="Обычный 6 121 2 4" xfId="40653"/>
    <cellStyle name="Обычный 6 121 3" xfId="13949"/>
    <cellStyle name="Обычный 6 121 3 2" xfId="45993"/>
    <cellStyle name="Обычный 6 121 4" xfId="24630"/>
    <cellStyle name="Обычный 6 121 4 2" xfId="56673"/>
    <cellStyle name="Обычный 6 121 5" xfId="35313"/>
    <cellStyle name="Обычный 6 122" xfId="3300"/>
    <cellStyle name="Обычный 6 122 2" xfId="8641"/>
    <cellStyle name="Обычный 6 122 2 2" xfId="19321"/>
    <cellStyle name="Обычный 6 122 2 2 2" xfId="51365"/>
    <cellStyle name="Обычный 6 122 2 3" xfId="30002"/>
    <cellStyle name="Обычный 6 122 2 3 2" xfId="62045"/>
    <cellStyle name="Обычный 6 122 2 4" xfId="40685"/>
    <cellStyle name="Обычный 6 122 3" xfId="13981"/>
    <cellStyle name="Обычный 6 122 3 2" xfId="46025"/>
    <cellStyle name="Обычный 6 122 4" xfId="24662"/>
    <cellStyle name="Обычный 6 122 4 2" xfId="56705"/>
    <cellStyle name="Обычный 6 122 5" xfId="35345"/>
    <cellStyle name="Обычный 6 123" xfId="3332"/>
    <cellStyle name="Обычный 6 123 2" xfId="8673"/>
    <cellStyle name="Обычный 6 123 2 2" xfId="19353"/>
    <cellStyle name="Обычный 6 123 2 2 2" xfId="51397"/>
    <cellStyle name="Обычный 6 123 2 3" xfId="30034"/>
    <cellStyle name="Обычный 6 123 2 3 2" xfId="62077"/>
    <cellStyle name="Обычный 6 123 2 4" xfId="40717"/>
    <cellStyle name="Обычный 6 123 3" xfId="14013"/>
    <cellStyle name="Обычный 6 123 3 2" xfId="46057"/>
    <cellStyle name="Обычный 6 123 4" xfId="24694"/>
    <cellStyle name="Обычный 6 123 4 2" xfId="56737"/>
    <cellStyle name="Обычный 6 123 5" xfId="35377"/>
    <cellStyle name="Обычный 6 124" xfId="3364"/>
    <cellStyle name="Обычный 6 124 2" xfId="8705"/>
    <cellStyle name="Обычный 6 124 2 2" xfId="19385"/>
    <cellStyle name="Обычный 6 124 2 2 2" xfId="51429"/>
    <cellStyle name="Обычный 6 124 2 3" xfId="30066"/>
    <cellStyle name="Обычный 6 124 2 3 2" xfId="62109"/>
    <cellStyle name="Обычный 6 124 2 4" xfId="40749"/>
    <cellStyle name="Обычный 6 124 3" xfId="14045"/>
    <cellStyle name="Обычный 6 124 3 2" xfId="46089"/>
    <cellStyle name="Обычный 6 124 4" xfId="24726"/>
    <cellStyle name="Обычный 6 124 4 2" xfId="56769"/>
    <cellStyle name="Обычный 6 124 5" xfId="35409"/>
    <cellStyle name="Обычный 6 125" xfId="3396"/>
    <cellStyle name="Обычный 6 125 2" xfId="8737"/>
    <cellStyle name="Обычный 6 125 2 2" xfId="19417"/>
    <cellStyle name="Обычный 6 125 2 2 2" xfId="51461"/>
    <cellStyle name="Обычный 6 125 2 3" xfId="30098"/>
    <cellStyle name="Обычный 6 125 2 3 2" xfId="62141"/>
    <cellStyle name="Обычный 6 125 2 4" xfId="40781"/>
    <cellStyle name="Обычный 6 125 3" xfId="14077"/>
    <cellStyle name="Обычный 6 125 3 2" xfId="46121"/>
    <cellStyle name="Обычный 6 125 4" xfId="24758"/>
    <cellStyle name="Обычный 6 125 4 2" xfId="56801"/>
    <cellStyle name="Обычный 6 125 5" xfId="35441"/>
    <cellStyle name="Обычный 6 126" xfId="3428"/>
    <cellStyle name="Обычный 6 126 2" xfId="8769"/>
    <cellStyle name="Обычный 6 126 2 2" xfId="19449"/>
    <cellStyle name="Обычный 6 126 2 2 2" xfId="51493"/>
    <cellStyle name="Обычный 6 126 2 3" xfId="30130"/>
    <cellStyle name="Обычный 6 126 2 3 2" xfId="62173"/>
    <cellStyle name="Обычный 6 126 2 4" xfId="40813"/>
    <cellStyle name="Обычный 6 126 3" xfId="14109"/>
    <cellStyle name="Обычный 6 126 3 2" xfId="46153"/>
    <cellStyle name="Обычный 6 126 4" xfId="24790"/>
    <cellStyle name="Обычный 6 126 4 2" xfId="56833"/>
    <cellStyle name="Обычный 6 126 5" xfId="35473"/>
    <cellStyle name="Обычный 6 127" xfId="3460"/>
    <cellStyle name="Обычный 6 127 2" xfId="8801"/>
    <cellStyle name="Обычный 6 127 2 2" xfId="19481"/>
    <cellStyle name="Обычный 6 127 2 2 2" xfId="51525"/>
    <cellStyle name="Обычный 6 127 2 3" xfId="30162"/>
    <cellStyle name="Обычный 6 127 2 3 2" xfId="62205"/>
    <cellStyle name="Обычный 6 127 2 4" xfId="40845"/>
    <cellStyle name="Обычный 6 127 3" xfId="14141"/>
    <cellStyle name="Обычный 6 127 3 2" xfId="46185"/>
    <cellStyle name="Обычный 6 127 4" xfId="24822"/>
    <cellStyle name="Обычный 6 127 4 2" xfId="56865"/>
    <cellStyle name="Обычный 6 127 5" xfId="35505"/>
    <cellStyle name="Обычный 6 128" xfId="3492"/>
    <cellStyle name="Обычный 6 128 2" xfId="8833"/>
    <cellStyle name="Обычный 6 128 2 2" xfId="19513"/>
    <cellStyle name="Обычный 6 128 2 2 2" xfId="51557"/>
    <cellStyle name="Обычный 6 128 2 3" xfId="30194"/>
    <cellStyle name="Обычный 6 128 2 3 2" xfId="62237"/>
    <cellStyle name="Обычный 6 128 2 4" xfId="40877"/>
    <cellStyle name="Обычный 6 128 3" xfId="14173"/>
    <cellStyle name="Обычный 6 128 3 2" xfId="46217"/>
    <cellStyle name="Обычный 6 128 4" xfId="24854"/>
    <cellStyle name="Обычный 6 128 4 2" xfId="56897"/>
    <cellStyle name="Обычный 6 128 5" xfId="35537"/>
    <cellStyle name="Обычный 6 129" xfId="3524"/>
    <cellStyle name="Обычный 6 129 2" xfId="8865"/>
    <cellStyle name="Обычный 6 129 2 2" xfId="19545"/>
    <cellStyle name="Обычный 6 129 2 2 2" xfId="51589"/>
    <cellStyle name="Обычный 6 129 2 3" xfId="30226"/>
    <cellStyle name="Обычный 6 129 2 3 2" xfId="62269"/>
    <cellStyle name="Обычный 6 129 2 4" xfId="40909"/>
    <cellStyle name="Обычный 6 129 3" xfId="14205"/>
    <cellStyle name="Обычный 6 129 3 2" xfId="46249"/>
    <cellStyle name="Обычный 6 129 4" xfId="24886"/>
    <cellStyle name="Обычный 6 129 4 2" xfId="56929"/>
    <cellStyle name="Обычный 6 129 5" xfId="35569"/>
    <cellStyle name="Обычный 6 13" xfId="218"/>
    <cellStyle name="Обычный 6 13 2" xfId="686"/>
    <cellStyle name="Обычный 6 13 2 2" xfId="6029"/>
    <cellStyle name="Обычный 6 13 2 2 2" xfId="16709"/>
    <cellStyle name="Обычный 6 13 2 2 2 2" xfId="48753"/>
    <cellStyle name="Обычный 6 13 2 2 3" xfId="27390"/>
    <cellStyle name="Обычный 6 13 2 2 3 2" xfId="59433"/>
    <cellStyle name="Обычный 6 13 2 2 4" xfId="38073"/>
    <cellStyle name="Обычный 6 13 2 3" xfId="11369"/>
    <cellStyle name="Обычный 6 13 2 3 2" xfId="43413"/>
    <cellStyle name="Обычный 6 13 2 4" xfId="22050"/>
    <cellStyle name="Обычный 6 13 2 4 2" xfId="54093"/>
    <cellStyle name="Обычный 6 13 2 5" xfId="32733"/>
    <cellStyle name="Обычный 6 13 3" xfId="5562"/>
    <cellStyle name="Обычный 6 13 3 2" xfId="16242"/>
    <cellStyle name="Обычный 6 13 3 2 2" xfId="48286"/>
    <cellStyle name="Обычный 6 13 3 3" xfId="26923"/>
    <cellStyle name="Обычный 6 13 3 3 2" xfId="58966"/>
    <cellStyle name="Обычный 6 13 3 4" xfId="37606"/>
    <cellStyle name="Обычный 6 13 4" xfId="10902"/>
    <cellStyle name="Обычный 6 13 4 2" xfId="42946"/>
    <cellStyle name="Обычный 6 13 5" xfId="21583"/>
    <cellStyle name="Обычный 6 13 5 2" xfId="53626"/>
    <cellStyle name="Обычный 6 13 6" xfId="32266"/>
    <cellStyle name="Обычный 6 130" xfId="3556"/>
    <cellStyle name="Обычный 6 130 2" xfId="8897"/>
    <cellStyle name="Обычный 6 130 2 2" xfId="19577"/>
    <cellStyle name="Обычный 6 130 2 2 2" xfId="51621"/>
    <cellStyle name="Обычный 6 130 2 3" xfId="30258"/>
    <cellStyle name="Обычный 6 130 2 3 2" xfId="62301"/>
    <cellStyle name="Обычный 6 130 2 4" xfId="40941"/>
    <cellStyle name="Обычный 6 130 3" xfId="14237"/>
    <cellStyle name="Обычный 6 130 3 2" xfId="46281"/>
    <cellStyle name="Обычный 6 130 4" xfId="24918"/>
    <cellStyle name="Обычный 6 130 4 2" xfId="56961"/>
    <cellStyle name="Обычный 6 130 5" xfId="35601"/>
    <cellStyle name="Обычный 6 131" xfId="3588"/>
    <cellStyle name="Обычный 6 131 2" xfId="8929"/>
    <cellStyle name="Обычный 6 131 2 2" xfId="19609"/>
    <cellStyle name="Обычный 6 131 2 2 2" xfId="51653"/>
    <cellStyle name="Обычный 6 131 2 3" xfId="30290"/>
    <cellStyle name="Обычный 6 131 2 3 2" xfId="62333"/>
    <cellStyle name="Обычный 6 131 2 4" xfId="40973"/>
    <cellStyle name="Обычный 6 131 3" xfId="14269"/>
    <cellStyle name="Обычный 6 131 3 2" xfId="46313"/>
    <cellStyle name="Обычный 6 131 4" xfId="24950"/>
    <cellStyle name="Обычный 6 131 4 2" xfId="56993"/>
    <cellStyle name="Обычный 6 131 5" xfId="35633"/>
    <cellStyle name="Обычный 6 132" xfId="3620"/>
    <cellStyle name="Обычный 6 132 2" xfId="8961"/>
    <cellStyle name="Обычный 6 132 2 2" xfId="19641"/>
    <cellStyle name="Обычный 6 132 2 2 2" xfId="51685"/>
    <cellStyle name="Обычный 6 132 2 3" xfId="30322"/>
    <cellStyle name="Обычный 6 132 2 3 2" xfId="62365"/>
    <cellStyle name="Обычный 6 132 2 4" xfId="41005"/>
    <cellStyle name="Обычный 6 132 3" xfId="14301"/>
    <cellStyle name="Обычный 6 132 3 2" xfId="46345"/>
    <cellStyle name="Обычный 6 132 4" xfId="24982"/>
    <cellStyle name="Обычный 6 132 4 2" xfId="57025"/>
    <cellStyle name="Обычный 6 132 5" xfId="35665"/>
    <cellStyle name="Обычный 6 133" xfId="3652"/>
    <cellStyle name="Обычный 6 133 2" xfId="8993"/>
    <cellStyle name="Обычный 6 133 2 2" xfId="19673"/>
    <cellStyle name="Обычный 6 133 2 2 2" xfId="51717"/>
    <cellStyle name="Обычный 6 133 2 3" xfId="30354"/>
    <cellStyle name="Обычный 6 133 2 3 2" xfId="62397"/>
    <cellStyle name="Обычный 6 133 2 4" xfId="41037"/>
    <cellStyle name="Обычный 6 133 3" xfId="14333"/>
    <cellStyle name="Обычный 6 133 3 2" xfId="46377"/>
    <cellStyle name="Обычный 6 133 4" xfId="25014"/>
    <cellStyle name="Обычный 6 133 4 2" xfId="57057"/>
    <cellStyle name="Обычный 6 133 5" xfId="35697"/>
    <cellStyle name="Обычный 6 134" xfId="3684"/>
    <cellStyle name="Обычный 6 134 2" xfId="9025"/>
    <cellStyle name="Обычный 6 134 2 2" xfId="19705"/>
    <cellStyle name="Обычный 6 134 2 2 2" xfId="51749"/>
    <cellStyle name="Обычный 6 134 2 3" xfId="30386"/>
    <cellStyle name="Обычный 6 134 2 3 2" xfId="62429"/>
    <cellStyle name="Обычный 6 134 2 4" xfId="41069"/>
    <cellStyle name="Обычный 6 134 3" xfId="14365"/>
    <cellStyle name="Обычный 6 134 3 2" xfId="46409"/>
    <cellStyle name="Обычный 6 134 4" xfId="25046"/>
    <cellStyle name="Обычный 6 134 4 2" xfId="57089"/>
    <cellStyle name="Обычный 6 134 5" xfId="35729"/>
    <cellStyle name="Обычный 6 135" xfId="3716"/>
    <cellStyle name="Обычный 6 135 2" xfId="9057"/>
    <cellStyle name="Обычный 6 135 2 2" xfId="19737"/>
    <cellStyle name="Обычный 6 135 2 2 2" xfId="51781"/>
    <cellStyle name="Обычный 6 135 2 3" xfId="30418"/>
    <cellStyle name="Обычный 6 135 2 3 2" xfId="62461"/>
    <cellStyle name="Обычный 6 135 2 4" xfId="41101"/>
    <cellStyle name="Обычный 6 135 3" xfId="14397"/>
    <cellStyle name="Обычный 6 135 3 2" xfId="46441"/>
    <cellStyle name="Обычный 6 135 4" xfId="25078"/>
    <cellStyle name="Обычный 6 135 4 2" xfId="57121"/>
    <cellStyle name="Обычный 6 135 5" xfId="35761"/>
    <cellStyle name="Обычный 6 136" xfId="3748"/>
    <cellStyle name="Обычный 6 136 2" xfId="9089"/>
    <cellStyle name="Обычный 6 136 2 2" xfId="19769"/>
    <cellStyle name="Обычный 6 136 2 2 2" xfId="51813"/>
    <cellStyle name="Обычный 6 136 2 3" xfId="30450"/>
    <cellStyle name="Обычный 6 136 2 3 2" xfId="62493"/>
    <cellStyle name="Обычный 6 136 2 4" xfId="41133"/>
    <cellStyle name="Обычный 6 136 3" xfId="14429"/>
    <cellStyle name="Обычный 6 136 3 2" xfId="46473"/>
    <cellStyle name="Обычный 6 136 4" xfId="25110"/>
    <cellStyle name="Обычный 6 136 4 2" xfId="57153"/>
    <cellStyle name="Обычный 6 136 5" xfId="35793"/>
    <cellStyle name="Обычный 6 137" xfId="3780"/>
    <cellStyle name="Обычный 6 137 2" xfId="9121"/>
    <cellStyle name="Обычный 6 137 2 2" xfId="19801"/>
    <cellStyle name="Обычный 6 137 2 2 2" xfId="51845"/>
    <cellStyle name="Обычный 6 137 2 3" xfId="30482"/>
    <cellStyle name="Обычный 6 137 2 3 2" xfId="62525"/>
    <cellStyle name="Обычный 6 137 2 4" xfId="41165"/>
    <cellStyle name="Обычный 6 137 3" xfId="14461"/>
    <cellStyle name="Обычный 6 137 3 2" xfId="46505"/>
    <cellStyle name="Обычный 6 137 4" xfId="25142"/>
    <cellStyle name="Обычный 6 137 4 2" xfId="57185"/>
    <cellStyle name="Обычный 6 137 5" xfId="35825"/>
    <cellStyle name="Обычный 6 138" xfId="3812"/>
    <cellStyle name="Обычный 6 138 2" xfId="9153"/>
    <cellStyle name="Обычный 6 138 2 2" xfId="19833"/>
    <cellStyle name="Обычный 6 138 2 2 2" xfId="51877"/>
    <cellStyle name="Обычный 6 138 2 3" xfId="30514"/>
    <cellStyle name="Обычный 6 138 2 3 2" xfId="62557"/>
    <cellStyle name="Обычный 6 138 2 4" xfId="41197"/>
    <cellStyle name="Обычный 6 138 3" xfId="14493"/>
    <cellStyle name="Обычный 6 138 3 2" xfId="46537"/>
    <cellStyle name="Обычный 6 138 4" xfId="25174"/>
    <cellStyle name="Обычный 6 138 4 2" xfId="57217"/>
    <cellStyle name="Обычный 6 138 5" xfId="35857"/>
    <cellStyle name="Обычный 6 139" xfId="3844"/>
    <cellStyle name="Обычный 6 139 2" xfId="9185"/>
    <cellStyle name="Обычный 6 139 2 2" xfId="19865"/>
    <cellStyle name="Обычный 6 139 2 2 2" xfId="51909"/>
    <cellStyle name="Обычный 6 139 2 3" xfId="30546"/>
    <cellStyle name="Обычный 6 139 2 3 2" xfId="62589"/>
    <cellStyle name="Обычный 6 139 2 4" xfId="41229"/>
    <cellStyle name="Обычный 6 139 3" xfId="14525"/>
    <cellStyle name="Обычный 6 139 3 2" xfId="46569"/>
    <cellStyle name="Обычный 6 139 4" xfId="25206"/>
    <cellStyle name="Обычный 6 139 4 2" xfId="57249"/>
    <cellStyle name="Обычный 6 139 5" xfId="35889"/>
    <cellStyle name="Обычный 6 14" xfId="228"/>
    <cellStyle name="Обычный 6 14 2" xfId="696"/>
    <cellStyle name="Обычный 6 14 2 2" xfId="6039"/>
    <cellStyle name="Обычный 6 14 2 2 2" xfId="16719"/>
    <cellStyle name="Обычный 6 14 2 2 2 2" xfId="48763"/>
    <cellStyle name="Обычный 6 14 2 2 3" xfId="27400"/>
    <cellStyle name="Обычный 6 14 2 2 3 2" xfId="59443"/>
    <cellStyle name="Обычный 6 14 2 2 4" xfId="38083"/>
    <cellStyle name="Обычный 6 14 2 3" xfId="11379"/>
    <cellStyle name="Обычный 6 14 2 3 2" xfId="43423"/>
    <cellStyle name="Обычный 6 14 2 4" xfId="22060"/>
    <cellStyle name="Обычный 6 14 2 4 2" xfId="54103"/>
    <cellStyle name="Обычный 6 14 2 5" xfId="32743"/>
    <cellStyle name="Обычный 6 14 3" xfId="5572"/>
    <cellStyle name="Обычный 6 14 3 2" xfId="16252"/>
    <cellStyle name="Обычный 6 14 3 2 2" xfId="48296"/>
    <cellStyle name="Обычный 6 14 3 3" xfId="26933"/>
    <cellStyle name="Обычный 6 14 3 3 2" xfId="58976"/>
    <cellStyle name="Обычный 6 14 3 4" xfId="37616"/>
    <cellStyle name="Обычный 6 14 4" xfId="10912"/>
    <cellStyle name="Обычный 6 14 4 2" xfId="42956"/>
    <cellStyle name="Обычный 6 14 5" xfId="21593"/>
    <cellStyle name="Обычный 6 14 5 2" xfId="53636"/>
    <cellStyle name="Обычный 6 14 6" xfId="32276"/>
    <cellStyle name="Обычный 6 140" xfId="3876"/>
    <cellStyle name="Обычный 6 140 2" xfId="9217"/>
    <cellStyle name="Обычный 6 140 2 2" xfId="19897"/>
    <cellStyle name="Обычный 6 140 2 2 2" xfId="51941"/>
    <cellStyle name="Обычный 6 140 2 3" xfId="30578"/>
    <cellStyle name="Обычный 6 140 2 3 2" xfId="62621"/>
    <cellStyle name="Обычный 6 140 2 4" xfId="41261"/>
    <cellStyle name="Обычный 6 140 3" xfId="14557"/>
    <cellStyle name="Обычный 6 140 3 2" xfId="46601"/>
    <cellStyle name="Обычный 6 140 4" xfId="25238"/>
    <cellStyle name="Обычный 6 140 4 2" xfId="57281"/>
    <cellStyle name="Обычный 6 140 5" xfId="35921"/>
    <cellStyle name="Обычный 6 141" xfId="3908"/>
    <cellStyle name="Обычный 6 141 2" xfId="9249"/>
    <cellStyle name="Обычный 6 141 2 2" xfId="19929"/>
    <cellStyle name="Обычный 6 141 2 2 2" xfId="51973"/>
    <cellStyle name="Обычный 6 141 2 3" xfId="30610"/>
    <cellStyle name="Обычный 6 141 2 3 2" xfId="62653"/>
    <cellStyle name="Обычный 6 141 2 4" xfId="41293"/>
    <cellStyle name="Обычный 6 141 3" xfId="14589"/>
    <cellStyle name="Обычный 6 141 3 2" xfId="46633"/>
    <cellStyle name="Обычный 6 141 4" xfId="25270"/>
    <cellStyle name="Обычный 6 141 4 2" xfId="57313"/>
    <cellStyle name="Обычный 6 141 5" xfId="35953"/>
    <cellStyle name="Обычный 6 142" xfId="3940"/>
    <cellStyle name="Обычный 6 142 2" xfId="9281"/>
    <cellStyle name="Обычный 6 142 2 2" xfId="19961"/>
    <cellStyle name="Обычный 6 142 2 2 2" xfId="52005"/>
    <cellStyle name="Обычный 6 142 2 3" xfId="30642"/>
    <cellStyle name="Обычный 6 142 2 3 2" xfId="62685"/>
    <cellStyle name="Обычный 6 142 2 4" xfId="41325"/>
    <cellStyle name="Обычный 6 142 3" xfId="14621"/>
    <cellStyle name="Обычный 6 142 3 2" xfId="46665"/>
    <cellStyle name="Обычный 6 142 4" xfId="25302"/>
    <cellStyle name="Обычный 6 142 4 2" xfId="57345"/>
    <cellStyle name="Обычный 6 142 5" xfId="35985"/>
    <cellStyle name="Обычный 6 143" xfId="3972"/>
    <cellStyle name="Обычный 6 143 2" xfId="9313"/>
    <cellStyle name="Обычный 6 143 2 2" xfId="19993"/>
    <cellStyle name="Обычный 6 143 2 2 2" xfId="52037"/>
    <cellStyle name="Обычный 6 143 2 3" xfId="30674"/>
    <cellStyle name="Обычный 6 143 2 3 2" xfId="62717"/>
    <cellStyle name="Обычный 6 143 2 4" xfId="41357"/>
    <cellStyle name="Обычный 6 143 3" xfId="14653"/>
    <cellStyle name="Обычный 6 143 3 2" xfId="46697"/>
    <cellStyle name="Обычный 6 143 4" xfId="25334"/>
    <cellStyle name="Обычный 6 143 4 2" xfId="57377"/>
    <cellStyle name="Обычный 6 143 5" xfId="36017"/>
    <cellStyle name="Обычный 6 144" xfId="4004"/>
    <cellStyle name="Обычный 6 144 2" xfId="9345"/>
    <cellStyle name="Обычный 6 144 2 2" xfId="20025"/>
    <cellStyle name="Обычный 6 144 2 2 2" xfId="52069"/>
    <cellStyle name="Обычный 6 144 2 3" xfId="30706"/>
    <cellStyle name="Обычный 6 144 2 3 2" xfId="62749"/>
    <cellStyle name="Обычный 6 144 2 4" xfId="41389"/>
    <cellStyle name="Обычный 6 144 3" xfId="14685"/>
    <cellStyle name="Обычный 6 144 3 2" xfId="46729"/>
    <cellStyle name="Обычный 6 144 4" xfId="25366"/>
    <cellStyle name="Обычный 6 144 4 2" xfId="57409"/>
    <cellStyle name="Обычный 6 144 5" xfId="36049"/>
    <cellStyle name="Обычный 6 145" xfId="4036"/>
    <cellStyle name="Обычный 6 145 2" xfId="9377"/>
    <cellStyle name="Обычный 6 145 2 2" xfId="20057"/>
    <cellStyle name="Обычный 6 145 2 2 2" xfId="52101"/>
    <cellStyle name="Обычный 6 145 2 3" xfId="30738"/>
    <cellStyle name="Обычный 6 145 2 3 2" xfId="62781"/>
    <cellStyle name="Обычный 6 145 2 4" xfId="41421"/>
    <cellStyle name="Обычный 6 145 3" xfId="14717"/>
    <cellStyle name="Обычный 6 145 3 2" xfId="46761"/>
    <cellStyle name="Обычный 6 145 4" xfId="25398"/>
    <cellStyle name="Обычный 6 145 4 2" xfId="57441"/>
    <cellStyle name="Обычный 6 145 5" xfId="36081"/>
    <cellStyle name="Обычный 6 146" xfId="4068"/>
    <cellStyle name="Обычный 6 146 2" xfId="9409"/>
    <cellStyle name="Обычный 6 146 2 2" xfId="20089"/>
    <cellStyle name="Обычный 6 146 2 2 2" xfId="52133"/>
    <cellStyle name="Обычный 6 146 2 3" xfId="30770"/>
    <cellStyle name="Обычный 6 146 2 3 2" xfId="62813"/>
    <cellStyle name="Обычный 6 146 2 4" xfId="41453"/>
    <cellStyle name="Обычный 6 146 3" xfId="14749"/>
    <cellStyle name="Обычный 6 146 3 2" xfId="46793"/>
    <cellStyle name="Обычный 6 146 4" xfId="25430"/>
    <cellStyle name="Обычный 6 146 4 2" xfId="57473"/>
    <cellStyle name="Обычный 6 146 5" xfId="36113"/>
    <cellStyle name="Обычный 6 147" xfId="4100"/>
    <cellStyle name="Обычный 6 147 2" xfId="9441"/>
    <cellStyle name="Обычный 6 147 2 2" xfId="20121"/>
    <cellStyle name="Обычный 6 147 2 2 2" xfId="52165"/>
    <cellStyle name="Обычный 6 147 2 3" xfId="30802"/>
    <cellStyle name="Обычный 6 147 2 3 2" xfId="62845"/>
    <cellStyle name="Обычный 6 147 2 4" xfId="41485"/>
    <cellStyle name="Обычный 6 147 3" xfId="14781"/>
    <cellStyle name="Обычный 6 147 3 2" xfId="46825"/>
    <cellStyle name="Обычный 6 147 4" xfId="25462"/>
    <cellStyle name="Обычный 6 147 4 2" xfId="57505"/>
    <cellStyle name="Обычный 6 147 5" xfId="36145"/>
    <cellStyle name="Обычный 6 148" xfId="4132"/>
    <cellStyle name="Обычный 6 148 2" xfId="9473"/>
    <cellStyle name="Обычный 6 148 2 2" xfId="20153"/>
    <cellStyle name="Обычный 6 148 2 2 2" xfId="52197"/>
    <cellStyle name="Обычный 6 148 2 3" xfId="30834"/>
    <cellStyle name="Обычный 6 148 2 3 2" xfId="62877"/>
    <cellStyle name="Обычный 6 148 2 4" xfId="41517"/>
    <cellStyle name="Обычный 6 148 3" xfId="14813"/>
    <cellStyle name="Обычный 6 148 3 2" xfId="46857"/>
    <cellStyle name="Обычный 6 148 4" xfId="25494"/>
    <cellStyle name="Обычный 6 148 4 2" xfId="57537"/>
    <cellStyle name="Обычный 6 148 5" xfId="36177"/>
    <cellStyle name="Обычный 6 149" xfId="4164"/>
    <cellStyle name="Обычный 6 149 2" xfId="9505"/>
    <cellStyle name="Обычный 6 149 2 2" xfId="20185"/>
    <cellStyle name="Обычный 6 149 2 2 2" xfId="52229"/>
    <cellStyle name="Обычный 6 149 2 3" xfId="30866"/>
    <cellStyle name="Обычный 6 149 2 3 2" xfId="62909"/>
    <cellStyle name="Обычный 6 149 2 4" xfId="41549"/>
    <cellStyle name="Обычный 6 149 3" xfId="14845"/>
    <cellStyle name="Обычный 6 149 3 2" xfId="46889"/>
    <cellStyle name="Обычный 6 149 4" xfId="25526"/>
    <cellStyle name="Обычный 6 149 4 2" xfId="57569"/>
    <cellStyle name="Обычный 6 149 5" xfId="36209"/>
    <cellStyle name="Обычный 6 15" xfId="238"/>
    <cellStyle name="Обычный 6 15 2" xfId="706"/>
    <cellStyle name="Обычный 6 15 2 2" xfId="6049"/>
    <cellStyle name="Обычный 6 15 2 2 2" xfId="16729"/>
    <cellStyle name="Обычный 6 15 2 2 2 2" xfId="48773"/>
    <cellStyle name="Обычный 6 15 2 2 3" xfId="27410"/>
    <cellStyle name="Обычный 6 15 2 2 3 2" xfId="59453"/>
    <cellStyle name="Обычный 6 15 2 2 4" xfId="38093"/>
    <cellStyle name="Обычный 6 15 2 3" xfId="11389"/>
    <cellStyle name="Обычный 6 15 2 3 2" xfId="43433"/>
    <cellStyle name="Обычный 6 15 2 4" xfId="22070"/>
    <cellStyle name="Обычный 6 15 2 4 2" xfId="54113"/>
    <cellStyle name="Обычный 6 15 2 5" xfId="32753"/>
    <cellStyle name="Обычный 6 15 3" xfId="5582"/>
    <cellStyle name="Обычный 6 15 3 2" xfId="16262"/>
    <cellStyle name="Обычный 6 15 3 2 2" xfId="48306"/>
    <cellStyle name="Обычный 6 15 3 3" xfId="26943"/>
    <cellStyle name="Обычный 6 15 3 3 2" xfId="58986"/>
    <cellStyle name="Обычный 6 15 3 4" xfId="37626"/>
    <cellStyle name="Обычный 6 15 4" xfId="10922"/>
    <cellStyle name="Обычный 6 15 4 2" xfId="42966"/>
    <cellStyle name="Обычный 6 15 5" xfId="21603"/>
    <cellStyle name="Обычный 6 15 5 2" xfId="53646"/>
    <cellStyle name="Обычный 6 15 6" xfId="32286"/>
    <cellStyle name="Обычный 6 150" xfId="4196"/>
    <cellStyle name="Обычный 6 150 2" xfId="9537"/>
    <cellStyle name="Обычный 6 150 2 2" xfId="20217"/>
    <cellStyle name="Обычный 6 150 2 2 2" xfId="52261"/>
    <cellStyle name="Обычный 6 150 2 3" xfId="30898"/>
    <cellStyle name="Обычный 6 150 2 3 2" xfId="62941"/>
    <cellStyle name="Обычный 6 150 2 4" xfId="41581"/>
    <cellStyle name="Обычный 6 150 3" xfId="14877"/>
    <cellStyle name="Обычный 6 150 3 2" xfId="46921"/>
    <cellStyle name="Обычный 6 150 4" xfId="25558"/>
    <cellStyle name="Обычный 6 150 4 2" xfId="57601"/>
    <cellStyle name="Обычный 6 150 5" xfId="36241"/>
    <cellStyle name="Обычный 6 151" xfId="4228"/>
    <cellStyle name="Обычный 6 151 2" xfId="9569"/>
    <cellStyle name="Обычный 6 151 2 2" xfId="20249"/>
    <cellStyle name="Обычный 6 151 2 2 2" xfId="52293"/>
    <cellStyle name="Обычный 6 151 2 3" xfId="30930"/>
    <cellStyle name="Обычный 6 151 2 3 2" xfId="62973"/>
    <cellStyle name="Обычный 6 151 2 4" xfId="41613"/>
    <cellStyle name="Обычный 6 151 3" xfId="14909"/>
    <cellStyle name="Обычный 6 151 3 2" xfId="46953"/>
    <cellStyle name="Обычный 6 151 4" xfId="25590"/>
    <cellStyle name="Обычный 6 151 4 2" xfId="57633"/>
    <cellStyle name="Обычный 6 151 5" xfId="36273"/>
    <cellStyle name="Обычный 6 152" xfId="4260"/>
    <cellStyle name="Обычный 6 152 2" xfId="9601"/>
    <cellStyle name="Обычный 6 152 2 2" xfId="20281"/>
    <cellStyle name="Обычный 6 152 2 2 2" xfId="52325"/>
    <cellStyle name="Обычный 6 152 2 3" xfId="30962"/>
    <cellStyle name="Обычный 6 152 2 3 2" xfId="63005"/>
    <cellStyle name="Обычный 6 152 2 4" xfId="41645"/>
    <cellStyle name="Обычный 6 152 3" xfId="14941"/>
    <cellStyle name="Обычный 6 152 3 2" xfId="46985"/>
    <cellStyle name="Обычный 6 152 4" xfId="25622"/>
    <cellStyle name="Обычный 6 152 4 2" xfId="57665"/>
    <cellStyle name="Обычный 6 152 5" xfId="36305"/>
    <cellStyle name="Обычный 6 153" xfId="4292"/>
    <cellStyle name="Обычный 6 153 2" xfId="9633"/>
    <cellStyle name="Обычный 6 153 2 2" xfId="20313"/>
    <cellStyle name="Обычный 6 153 2 2 2" xfId="52357"/>
    <cellStyle name="Обычный 6 153 2 3" xfId="30994"/>
    <cellStyle name="Обычный 6 153 2 3 2" xfId="63037"/>
    <cellStyle name="Обычный 6 153 2 4" xfId="41677"/>
    <cellStyle name="Обычный 6 153 3" xfId="14973"/>
    <cellStyle name="Обычный 6 153 3 2" xfId="47017"/>
    <cellStyle name="Обычный 6 153 4" xfId="25654"/>
    <cellStyle name="Обычный 6 153 4 2" xfId="57697"/>
    <cellStyle name="Обычный 6 153 5" xfId="36337"/>
    <cellStyle name="Обычный 6 154" xfId="4324"/>
    <cellStyle name="Обычный 6 154 2" xfId="9665"/>
    <cellStyle name="Обычный 6 154 2 2" xfId="20345"/>
    <cellStyle name="Обычный 6 154 2 2 2" xfId="52389"/>
    <cellStyle name="Обычный 6 154 2 3" xfId="31026"/>
    <cellStyle name="Обычный 6 154 2 3 2" xfId="63069"/>
    <cellStyle name="Обычный 6 154 2 4" xfId="41709"/>
    <cellStyle name="Обычный 6 154 3" xfId="15005"/>
    <cellStyle name="Обычный 6 154 3 2" xfId="47049"/>
    <cellStyle name="Обычный 6 154 4" xfId="25686"/>
    <cellStyle name="Обычный 6 154 4 2" xfId="57729"/>
    <cellStyle name="Обычный 6 154 5" xfId="36369"/>
    <cellStyle name="Обычный 6 155" xfId="4356"/>
    <cellStyle name="Обычный 6 155 2" xfId="9697"/>
    <cellStyle name="Обычный 6 155 2 2" xfId="20377"/>
    <cellStyle name="Обычный 6 155 2 2 2" xfId="52421"/>
    <cellStyle name="Обычный 6 155 2 3" xfId="31058"/>
    <cellStyle name="Обычный 6 155 2 3 2" xfId="63101"/>
    <cellStyle name="Обычный 6 155 2 4" xfId="41741"/>
    <cellStyle name="Обычный 6 155 3" xfId="15037"/>
    <cellStyle name="Обычный 6 155 3 2" xfId="47081"/>
    <cellStyle name="Обычный 6 155 4" xfId="25718"/>
    <cellStyle name="Обычный 6 155 4 2" xfId="57761"/>
    <cellStyle name="Обычный 6 155 5" xfId="36401"/>
    <cellStyle name="Обычный 6 156" xfId="4388"/>
    <cellStyle name="Обычный 6 156 2" xfId="9729"/>
    <cellStyle name="Обычный 6 156 2 2" xfId="20409"/>
    <cellStyle name="Обычный 6 156 2 2 2" xfId="52453"/>
    <cellStyle name="Обычный 6 156 2 3" xfId="31090"/>
    <cellStyle name="Обычный 6 156 2 3 2" xfId="63133"/>
    <cellStyle name="Обычный 6 156 2 4" xfId="41773"/>
    <cellStyle name="Обычный 6 156 3" xfId="15069"/>
    <cellStyle name="Обычный 6 156 3 2" xfId="47113"/>
    <cellStyle name="Обычный 6 156 4" xfId="25750"/>
    <cellStyle name="Обычный 6 156 4 2" xfId="57793"/>
    <cellStyle name="Обычный 6 156 5" xfId="36433"/>
    <cellStyle name="Обычный 6 157" xfId="4420"/>
    <cellStyle name="Обычный 6 157 2" xfId="9761"/>
    <cellStyle name="Обычный 6 157 2 2" xfId="20441"/>
    <cellStyle name="Обычный 6 157 2 2 2" xfId="52485"/>
    <cellStyle name="Обычный 6 157 2 3" xfId="31122"/>
    <cellStyle name="Обычный 6 157 2 3 2" xfId="63165"/>
    <cellStyle name="Обычный 6 157 2 4" xfId="41805"/>
    <cellStyle name="Обычный 6 157 3" xfId="15101"/>
    <cellStyle name="Обычный 6 157 3 2" xfId="47145"/>
    <cellStyle name="Обычный 6 157 4" xfId="25782"/>
    <cellStyle name="Обычный 6 157 4 2" xfId="57825"/>
    <cellStyle name="Обычный 6 157 5" xfId="36465"/>
    <cellStyle name="Обычный 6 158" xfId="4452"/>
    <cellStyle name="Обычный 6 158 2" xfId="9793"/>
    <cellStyle name="Обычный 6 158 2 2" xfId="20473"/>
    <cellStyle name="Обычный 6 158 2 2 2" xfId="52517"/>
    <cellStyle name="Обычный 6 158 2 3" xfId="31154"/>
    <cellStyle name="Обычный 6 158 2 3 2" xfId="63197"/>
    <cellStyle name="Обычный 6 158 2 4" xfId="41837"/>
    <cellStyle name="Обычный 6 158 3" xfId="15133"/>
    <cellStyle name="Обычный 6 158 3 2" xfId="47177"/>
    <cellStyle name="Обычный 6 158 4" xfId="25814"/>
    <cellStyle name="Обычный 6 158 4 2" xfId="57857"/>
    <cellStyle name="Обычный 6 158 5" xfId="36497"/>
    <cellStyle name="Обычный 6 159" xfId="4484"/>
    <cellStyle name="Обычный 6 159 2" xfId="9825"/>
    <cellStyle name="Обычный 6 159 2 2" xfId="20505"/>
    <cellStyle name="Обычный 6 159 2 2 2" xfId="52549"/>
    <cellStyle name="Обычный 6 159 2 3" xfId="31186"/>
    <cellStyle name="Обычный 6 159 2 3 2" xfId="63229"/>
    <cellStyle name="Обычный 6 159 2 4" xfId="41869"/>
    <cellStyle name="Обычный 6 159 3" xfId="15165"/>
    <cellStyle name="Обычный 6 159 3 2" xfId="47209"/>
    <cellStyle name="Обычный 6 159 4" xfId="25846"/>
    <cellStyle name="Обычный 6 159 4 2" xfId="57889"/>
    <cellStyle name="Обычный 6 159 5" xfId="36529"/>
    <cellStyle name="Обычный 6 16" xfId="248"/>
    <cellStyle name="Обычный 6 16 2" xfId="716"/>
    <cellStyle name="Обычный 6 16 2 2" xfId="6059"/>
    <cellStyle name="Обычный 6 16 2 2 2" xfId="16739"/>
    <cellStyle name="Обычный 6 16 2 2 2 2" xfId="48783"/>
    <cellStyle name="Обычный 6 16 2 2 3" xfId="27420"/>
    <cellStyle name="Обычный 6 16 2 2 3 2" xfId="59463"/>
    <cellStyle name="Обычный 6 16 2 2 4" xfId="38103"/>
    <cellStyle name="Обычный 6 16 2 3" xfId="11399"/>
    <cellStyle name="Обычный 6 16 2 3 2" xfId="43443"/>
    <cellStyle name="Обычный 6 16 2 4" xfId="22080"/>
    <cellStyle name="Обычный 6 16 2 4 2" xfId="54123"/>
    <cellStyle name="Обычный 6 16 2 5" xfId="32763"/>
    <cellStyle name="Обычный 6 16 3" xfId="5592"/>
    <cellStyle name="Обычный 6 16 3 2" xfId="16272"/>
    <cellStyle name="Обычный 6 16 3 2 2" xfId="48316"/>
    <cellStyle name="Обычный 6 16 3 3" xfId="26953"/>
    <cellStyle name="Обычный 6 16 3 3 2" xfId="58996"/>
    <cellStyle name="Обычный 6 16 3 4" xfId="37636"/>
    <cellStyle name="Обычный 6 16 4" xfId="10932"/>
    <cellStyle name="Обычный 6 16 4 2" xfId="42976"/>
    <cellStyle name="Обычный 6 16 5" xfId="21613"/>
    <cellStyle name="Обычный 6 16 5 2" xfId="53656"/>
    <cellStyle name="Обычный 6 16 6" xfId="32296"/>
    <cellStyle name="Обычный 6 160" xfId="4516"/>
    <cellStyle name="Обычный 6 160 2" xfId="9857"/>
    <cellStyle name="Обычный 6 160 2 2" xfId="20537"/>
    <cellStyle name="Обычный 6 160 2 2 2" xfId="52581"/>
    <cellStyle name="Обычный 6 160 2 3" xfId="31218"/>
    <cellStyle name="Обычный 6 160 2 3 2" xfId="63261"/>
    <cellStyle name="Обычный 6 160 2 4" xfId="41901"/>
    <cellStyle name="Обычный 6 160 3" xfId="15197"/>
    <cellStyle name="Обычный 6 160 3 2" xfId="47241"/>
    <cellStyle name="Обычный 6 160 4" xfId="25878"/>
    <cellStyle name="Обычный 6 160 4 2" xfId="57921"/>
    <cellStyle name="Обычный 6 160 5" xfId="36561"/>
    <cellStyle name="Обычный 6 161" xfId="4548"/>
    <cellStyle name="Обычный 6 161 2" xfId="9889"/>
    <cellStyle name="Обычный 6 161 2 2" xfId="20569"/>
    <cellStyle name="Обычный 6 161 2 2 2" xfId="52613"/>
    <cellStyle name="Обычный 6 161 2 3" xfId="31250"/>
    <cellStyle name="Обычный 6 161 2 3 2" xfId="63293"/>
    <cellStyle name="Обычный 6 161 2 4" xfId="41933"/>
    <cellStyle name="Обычный 6 161 3" xfId="15229"/>
    <cellStyle name="Обычный 6 161 3 2" xfId="47273"/>
    <cellStyle name="Обычный 6 161 4" xfId="25910"/>
    <cellStyle name="Обычный 6 161 4 2" xfId="57953"/>
    <cellStyle name="Обычный 6 161 5" xfId="36593"/>
    <cellStyle name="Обычный 6 162" xfId="4580"/>
    <cellStyle name="Обычный 6 162 2" xfId="9921"/>
    <cellStyle name="Обычный 6 162 2 2" xfId="20601"/>
    <cellStyle name="Обычный 6 162 2 2 2" xfId="52645"/>
    <cellStyle name="Обычный 6 162 2 3" xfId="31282"/>
    <cellStyle name="Обычный 6 162 2 3 2" xfId="63325"/>
    <cellStyle name="Обычный 6 162 2 4" xfId="41965"/>
    <cellStyle name="Обычный 6 162 3" xfId="15261"/>
    <cellStyle name="Обычный 6 162 3 2" xfId="47305"/>
    <cellStyle name="Обычный 6 162 4" xfId="25942"/>
    <cellStyle name="Обычный 6 162 4 2" xfId="57985"/>
    <cellStyle name="Обычный 6 162 5" xfId="36625"/>
    <cellStyle name="Обычный 6 163" xfId="4612"/>
    <cellStyle name="Обычный 6 163 2" xfId="9953"/>
    <cellStyle name="Обычный 6 163 2 2" xfId="20633"/>
    <cellStyle name="Обычный 6 163 2 2 2" xfId="52677"/>
    <cellStyle name="Обычный 6 163 2 3" xfId="31314"/>
    <cellStyle name="Обычный 6 163 2 3 2" xfId="63357"/>
    <cellStyle name="Обычный 6 163 2 4" xfId="41997"/>
    <cellStyle name="Обычный 6 163 3" xfId="15293"/>
    <cellStyle name="Обычный 6 163 3 2" xfId="47337"/>
    <cellStyle name="Обычный 6 163 4" xfId="25974"/>
    <cellStyle name="Обычный 6 163 4 2" xfId="58017"/>
    <cellStyle name="Обычный 6 163 5" xfId="36657"/>
    <cellStyle name="Обычный 6 164" xfId="4644"/>
    <cellStyle name="Обычный 6 164 2" xfId="9985"/>
    <cellStyle name="Обычный 6 164 2 2" xfId="20665"/>
    <cellStyle name="Обычный 6 164 2 2 2" xfId="52709"/>
    <cellStyle name="Обычный 6 164 2 3" xfId="31346"/>
    <cellStyle name="Обычный 6 164 2 3 2" xfId="63389"/>
    <cellStyle name="Обычный 6 164 2 4" xfId="42029"/>
    <cellStyle name="Обычный 6 164 3" xfId="15325"/>
    <cellStyle name="Обычный 6 164 3 2" xfId="47369"/>
    <cellStyle name="Обычный 6 164 4" xfId="26006"/>
    <cellStyle name="Обычный 6 164 4 2" xfId="58049"/>
    <cellStyle name="Обычный 6 164 5" xfId="36689"/>
    <cellStyle name="Обычный 6 165" xfId="4676"/>
    <cellStyle name="Обычный 6 165 2" xfId="10017"/>
    <cellStyle name="Обычный 6 165 2 2" xfId="20697"/>
    <cellStyle name="Обычный 6 165 2 2 2" xfId="52741"/>
    <cellStyle name="Обычный 6 165 2 3" xfId="31378"/>
    <cellStyle name="Обычный 6 165 2 3 2" xfId="63421"/>
    <cellStyle name="Обычный 6 165 2 4" xfId="42061"/>
    <cellStyle name="Обычный 6 165 3" xfId="15357"/>
    <cellStyle name="Обычный 6 165 3 2" xfId="47401"/>
    <cellStyle name="Обычный 6 165 4" xfId="26038"/>
    <cellStyle name="Обычный 6 165 4 2" xfId="58081"/>
    <cellStyle name="Обычный 6 165 5" xfId="36721"/>
    <cellStyle name="Обычный 6 166" xfId="4710"/>
    <cellStyle name="Обычный 6 166 2" xfId="10051"/>
    <cellStyle name="Обычный 6 166 2 2" xfId="20731"/>
    <cellStyle name="Обычный 6 166 2 2 2" xfId="52775"/>
    <cellStyle name="Обычный 6 166 2 3" xfId="31412"/>
    <cellStyle name="Обычный 6 166 2 3 2" xfId="63455"/>
    <cellStyle name="Обычный 6 166 2 4" xfId="42095"/>
    <cellStyle name="Обычный 6 166 3" xfId="15391"/>
    <cellStyle name="Обычный 6 166 3 2" xfId="47435"/>
    <cellStyle name="Обычный 6 166 4" xfId="26072"/>
    <cellStyle name="Обычный 6 166 4 2" xfId="58115"/>
    <cellStyle name="Обычный 6 166 5" xfId="36755"/>
    <cellStyle name="Обычный 6 167" xfId="4742"/>
    <cellStyle name="Обычный 6 167 2" xfId="10083"/>
    <cellStyle name="Обычный 6 167 2 2" xfId="20763"/>
    <cellStyle name="Обычный 6 167 2 2 2" xfId="52807"/>
    <cellStyle name="Обычный 6 167 2 3" xfId="31444"/>
    <cellStyle name="Обычный 6 167 2 3 2" xfId="63487"/>
    <cellStyle name="Обычный 6 167 2 4" xfId="42127"/>
    <cellStyle name="Обычный 6 167 3" xfId="15423"/>
    <cellStyle name="Обычный 6 167 3 2" xfId="47467"/>
    <cellStyle name="Обычный 6 167 4" xfId="26104"/>
    <cellStyle name="Обычный 6 167 4 2" xfId="58147"/>
    <cellStyle name="Обычный 6 167 5" xfId="36787"/>
    <cellStyle name="Обычный 6 168" xfId="4774"/>
    <cellStyle name="Обычный 6 168 2" xfId="10115"/>
    <cellStyle name="Обычный 6 168 2 2" xfId="20795"/>
    <cellStyle name="Обычный 6 168 2 2 2" xfId="52839"/>
    <cellStyle name="Обычный 6 168 2 3" xfId="31476"/>
    <cellStyle name="Обычный 6 168 2 3 2" xfId="63519"/>
    <cellStyle name="Обычный 6 168 2 4" xfId="42159"/>
    <cellStyle name="Обычный 6 168 3" xfId="15455"/>
    <cellStyle name="Обычный 6 168 3 2" xfId="47499"/>
    <cellStyle name="Обычный 6 168 4" xfId="26136"/>
    <cellStyle name="Обычный 6 168 4 2" xfId="58179"/>
    <cellStyle name="Обычный 6 168 5" xfId="36819"/>
    <cellStyle name="Обычный 6 169" xfId="4806"/>
    <cellStyle name="Обычный 6 169 2" xfId="10147"/>
    <cellStyle name="Обычный 6 169 2 2" xfId="20827"/>
    <cellStyle name="Обычный 6 169 2 2 2" xfId="52871"/>
    <cellStyle name="Обычный 6 169 2 3" xfId="31508"/>
    <cellStyle name="Обычный 6 169 2 3 2" xfId="63551"/>
    <cellStyle name="Обычный 6 169 2 4" xfId="42191"/>
    <cellStyle name="Обычный 6 169 3" xfId="15487"/>
    <cellStyle name="Обычный 6 169 3 2" xfId="47531"/>
    <cellStyle name="Обычный 6 169 4" xfId="26168"/>
    <cellStyle name="Обычный 6 169 4 2" xfId="58211"/>
    <cellStyle name="Обычный 6 169 5" xfId="36851"/>
    <cellStyle name="Обычный 6 17" xfId="258"/>
    <cellStyle name="Обычный 6 17 2" xfId="726"/>
    <cellStyle name="Обычный 6 17 2 2" xfId="6069"/>
    <cellStyle name="Обычный 6 17 2 2 2" xfId="16749"/>
    <cellStyle name="Обычный 6 17 2 2 2 2" xfId="48793"/>
    <cellStyle name="Обычный 6 17 2 2 3" xfId="27430"/>
    <cellStyle name="Обычный 6 17 2 2 3 2" xfId="59473"/>
    <cellStyle name="Обычный 6 17 2 2 4" xfId="38113"/>
    <cellStyle name="Обычный 6 17 2 3" xfId="11409"/>
    <cellStyle name="Обычный 6 17 2 3 2" xfId="43453"/>
    <cellStyle name="Обычный 6 17 2 4" xfId="22090"/>
    <cellStyle name="Обычный 6 17 2 4 2" xfId="54133"/>
    <cellStyle name="Обычный 6 17 2 5" xfId="32773"/>
    <cellStyle name="Обычный 6 17 3" xfId="5602"/>
    <cellStyle name="Обычный 6 17 3 2" xfId="16282"/>
    <cellStyle name="Обычный 6 17 3 2 2" xfId="48326"/>
    <cellStyle name="Обычный 6 17 3 3" xfId="26963"/>
    <cellStyle name="Обычный 6 17 3 3 2" xfId="59006"/>
    <cellStyle name="Обычный 6 17 3 4" xfId="37646"/>
    <cellStyle name="Обычный 6 17 4" xfId="10942"/>
    <cellStyle name="Обычный 6 17 4 2" xfId="42986"/>
    <cellStyle name="Обычный 6 17 5" xfId="21623"/>
    <cellStyle name="Обычный 6 17 5 2" xfId="53666"/>
    <cellStyle name="Обычный 6 17 6" xfId="32306"/>
    <cellStyle name="Обычный 6 170" xfId="4838"/>
    <cellStyle name="Обычный 6 170 2" xfId="10179"/>
    <cellStyle name="Обычный 6 170 2 2" xfId="20859"/>
    <cellStyle name="Обычный 6 170 2 2 2" xfId="52903"/>
    <cellStyle name="Обычный 6 170 2 3" xfId="31540"/>
    <cellStyle name="Обычный 6 170 2 3 2" xfId="63583"/>
    <cellStyle name="Обычный 6 170 2 4" xfId="42223"/>
    <cellStyle name="Обычный 6 170 3" xfId="15519"/>
    <cellStyle name="Обычный 6 170 3 2" xfId="47563"/>
    <cellStyle name="Обычный 6 170 4" xfId="26200"/>
    <cellStyle name="Обычный 6 170 4 2" xfId="58243"/>
    <cellStyle name="Обычный 6 170 5" xfId="36883"/>
    <cellStyle name="Обычный 6 171" xfId="4870"/>
    <cellStyle name="Обычный 6 171 2" xfId="10211"/>
    <cellStyle name="Обычный 6 171 2 2" xfId="20891"/>
    <cellStyle name="Обычный 6 171 2 2 2" xfId="52935"/>
    <cellStyle name="Обычный 6 171 2 3" xfId="31572"/>
    <cellStyle name="Обычный 6 171 2 3 2" xfId="63615"/>
    <cellStyle name="Обычный 6 171 2 4" xfId="42255"/>
    <cellStyle name="Обычный 6 171 3" xfId="15551"/>
    <cellStyle name="Обычный 6 171 3 2" xfId="47595"/>
    <cellStyle name="Обычный 6 171 4" xfId="26232"/>
    <cellStyle name="Обычный 6 171 4 2" xfId="58275"/>
    <cellStyle name="Обычный 6 171 5" xfId="36915"/>
    <cellStyle name="Обычный 6 172" xfId="4902"/>
    <cellStyle name="Обычный 6 172 2" xfId="10243"/>
    <cellStyle name="Обычный 6 172 2 2" xfId="20923"/>
    <cellStyle name="Обычный 6 172 2 2 2" xfId="52967"/>
    <cellStyle name="Обычный 6 172 2 3" xfId="31604"/>
    <cellStyle name="Обычный 6 172 2 3 2" xfId="63647"/>
    <cellStyle name="Обычный 6 172 2 4" xfId="42287"/>
    <cellStyle name="Обычный 6 172 3" xfId="15583"/>
    <cellStyle name="Обычный 6 172 3 2" xfId="47627"/>
    <cellStyle name="Обычный 6 172 4" xfId="26264"/>
    <cellStyle name="Обычный 6 172 4 2" xfId="58307"/>
    <cellStyle name="Обычный 6 172 5" xfId="36947"/>
    <cellStyle name="Обычный 6 173" xfId="4934"/>
    <cellStyle name="Обычный 6 173 2" xfId="10275"/>
    <cellStyle name="Обычный 6 173 2 2" xfId="20955"/>
    <cellStyle name="Обычный 6 173 2 2 2" xfId="52999"/>
    <cellStyle name="Обычный 6 173 2 3" xfId="31636"/>
    <cellStyle name="Обычный 6 173 2 3 2" xfId="63679"/>
    <cellStyle name="Обычный 6 173 2 4" xfId="42319"/>
    <cellStyle name="Обычный 6 173 3" xfId="15615"/>
    <cellStyle name="Обычный 6 173 3 2" xfId="47659"/>
    <cellStyle name="Обычный 6 173 4" xfId="26296"/>
    <cellStyle name="Обычный 6 173 4 2" xfId="58339"/>
    <cellStyle name="Обычный 6 173 5" xfId="36979"/>
    <cellStyle name="Обычный 6 174" xfId="4966"/>
    <cellStyle name="Обычный 6 174 2" xfId="10307"/>
    <cellStyle name="Обычный 6 174 2 2" xfId="20987"/>
    <cellStyle name="Обычный 6 174 2 2 2" xfId="53031"/>
    <cellStyle name="Обычный 6 174 2 3" xfId="31668"/>
    <cellStyle name="Обычный 6 174 2 3 2" xfId="63711"/>
    <cellStyle name="Обычный 6 174 2 4" xfId="42351"/>
    <cellStyle name="Обычный 6 174 3" xfId="15647"/>
    <cellStyle name="Обычный 6 174 3 2" xfId="47691"/>
    <cellStyle name="Обычный 6 174 4" xfId="26328"/>
    <cellStyle name="Обычный 6 174 4 2" xfId="58371"/>
    <cellStyle name="Обычный 6 174 5" xfId="37011"/>
    <cellStyle name="Обычный 6 175" xfId="4998"/>
    <cellStyle name="Обычный 6 175 2" xfId="10339"/>
    <cellStyle name="Обычный 6 175 2 2" xfId="21019"/>
    <cellStyle name="Обычный 6 175 2 2 2" xfId="53063"/>
    <cellStyle name="Обычный 6 175 2 3" xfId="31700"/>
    <cellStyle name="Обычный 6 175 2 3 2" xfId="63743"/>
    <cellStyle name="Обычный 6 175 2 4" xfId="42383"/>
    <cellStyle name="Обычный 6 175 3" xfId="15679"/>
    <cellStyle name="Обычный 6 175 3 2" xfId="47723"/>
    <cellStyle name="Обычный 6 175 4" xfId="26360"/>
    <cellStyle name="Обычный 6 175 4 2" xfId="58403"/>
    <cellStyle name="Обычный 6 175 5" xfId="37043"/>
    <cellStyle name="Обычный 6 176" xfId="5030"/>
    <cellStyle name="Обычный 6 176 2" xfId="10371"/>
    <cellStyle name="Обычный 6 176 2 2" xfId="21051"/>
    <cellStyle name="Обычный 6 176 2 2 2" xfId="53095"/>
    <cellStyle name="Обычный 6 176 2 3" xfId="31732"/>
    <cellStyle name="Обычный 6 176 2 3 2" xfId="63775"/>
    <cellStyle name="Обычный 6 176 2 4" xfId="42415"/>
    <cellStyle name="Обычный 6 176 3" xfId="15711"/>
    <cellStyle name="Обычный 6 176 3 2" xfId="47755"/>
    <cellStyle name="Обычный 6 176 4" xfId="26392"/>
    <cellStyle name="Обычный 6 176 4 2" xfId="58435"/>
    <cellStyle name="Обычный 6 176 5" xfId="37075"/>
    <cellStyle name="Обычный 6 177" xfId="5062"/>
    <cellStyle name="Обычный 6 177 2" xfId="10403"/>
    <cellStyle name="Обычный 6 177 2 2" xfId="21083"/>
    <cellStyle name="Обычный 6 177 2 2 2" xfId="53127"/>
    <cellStyle name="Обычный 6 177 2 3" xfId="31764"/>
    <cellStyle name="Обычный 6 177 2 3 2" xfId="63807"/>
    <cellStyle name="Обычный 6 177 2 4" xfId="42447"/>
    <cellStyle name="Обычный 6 177 3" xfId="15743"/>
    <cellStyle name="Обычный 6 177 3 2" xfId="47787"/>
    <cellStyle name="Обычный 6 177 4" xfId="26424"/>
    <cellStyle name="Обычный 6 177 4 2" xfId="58467"/>
    <cellStyle name="Обычный 6 177 5" xfId="37107"/>
    <cellStyle name="Обычный 6 178" xfId="5094"/>
    <cellStyle name="Обычный 6 178 2" xfId="10435"/>
    <cellStyle name="Обычный 6 178 2 2" xfId="21115"/>
    <cellStyle name="Обычный 6 178 2 2 2" xfId="53159"/>
    <cellStyle name="Обычный 6 178 2 3" xfId="31796"/>
    <cellStyle name="Обычный 6 178 2 3 2" xfId="63839"/>
    <cellStyle name="Обычный 6 178 2 4" xfId="42479"/>
    <cellStyle name="Обычный 6 178 3" xfId="15775"/>
    <cellStyle name="Обычный 6 178 3 2" xfId="47819"/>
    <cellStyle name="Обычный 6 178 4" xfId="26456"/>
    <cellStyle name="Обычный 6 178 4 2" xfId="58499"/>
    <cellStyle name="Обычный 6 178 5" xfId="37139"/>
    <cellStyle name="Обычный 6 179" xfId="5126"/>
    <cellStyle name="Обычный 6 179 2" xfId="10467"/>
    <cellStyle name="Обычный 6 179 2 2" xfId="21147"/>
    <cellStyle name="Обычный 6 179 2 2 2" xfId="53191"/>
    <cellStyle name="Обычный 6 179 2 3" xfId="31828"/>
    <cellStyle name="Обычный 6 179 2 3 2" xfId="63871"/>
    <cellStyle name="Обычный 6 179 2 4" xfId="42511"/>
    <cellStyle name="Обычный 6 179 3" xfId="15807"/>
    <cellStyle name="Обычный 6 179 3 2" xfId="47851"/>
    <cellStyle name="Обычный 6 179 4" xfId="26488"/>
    <cellStyle name="Обычный 6 179 4 2" xfId="58531"/>
    <cellStyle name="Обычный 6 179 5" xfId="37171"/>
    <cellStyle name="Обычный 6 18" xfId="268"/>
    <cellStyle name="Обычный 6 18 2" xfId="736"/>
    <cellStyle name="Обычный 6 18 2 2" xfId="6079"/>
    <cellStyle name="Обычный 6 18 2 2 2" xfId="16759"/>
    <cellStyle name="Обычный 6 18 2 2 2 2" xfId="48803"/>
    <cellStyle name="Обычный 6 18 2 2 3" xfId="27440"/>
    <cellStyle name="Обычный 6 18 2 2 3 2" xfId="59483"/>
    <cellStyle name="Обычный 6 18 2 2 4" xfId="38123"/>
    <cellStyle name="Обычный 6 18 2 3" xfId="11419"/>
    <cellStyle name="Обычный 6 18 2 3 2" xfId="43463"/>
    <cellStyle name="Обычный 6 18 2 4" xfId="22100"/>
    <cellStyle name="Обычный 6 18 2 4 2" xfId="54143"/>
    <cellStyle name="Обычный 6 18 2 5" xfId="32783"/>
    <cellStyle name="Обычный 6 18 3" xfId="5612"/>
    <cellStyle name="Обычный 6 18 3 2" xfId="16292"/>
    <cellStyle name="Обычный 6 18 3 2 2" xfId="48336"/>
    <cellStyle name="Обычный 6 18 3 3" xfId="26973"/>
    <cellStyle name="Обычный 6 18 3 3 2" xfId="59016"/>
    <cellStyle name="Обычный 6 18 3 4" xfId="37656"/>
    <cellStyle name="Обычный 6 18 4" xfId="10952"/>
    <cellStyle name="Обычный 6 18 4 2" xfId="42996"/>
    <cellStyle name="Обычный 6 18 5" xfId="21633"/>
    <cellStyle name="Обычный 6 18 5 2" xfId="53676"/>
    <cellStyle name="Обычный 6 18 6" xfId="32316"/>
    <cellStyle name="Обычный 6 180" xfId="5158"/>
    <cellStyle name="Обычный 6 180 2" xfId="10499"/>
    <cellStyle name="Обычный 6 180 2 2" xfId="21179"/>
    <cellStyle name="Обычный 6 180 2 2 2" xfId="53223"/>
    <cellStyle name="Обычный 6 180 2 3" xfId="31860"/>
    <cellStyle name="Обычный 6 180 2 3 2" xfId="63903"/>
    <cellStyle name="Обычный 6 180 2 4" xfId="42543"/>
    <cellStyle name="Обычный 6 180 3" xfId="15839"/>
    <cellStyle name="Обычный 6 180 3 2" xfId="47883"/>
    <cellStyle name="Обычный 6 180 4" xfId="26520"/>
    <cellStyle name="Обычный 6 180 4 2" xfId="58563"/>
    <cellStyle name="Обычный 6 180 5" xfId="37203"/>
    <cellStyle name="Обычный 6 181" xfId="5190"/>
    <cellStyle name="Обычный 6 181 2" xfId="10531"/>
    <cellStyle name="Обычный 6 181 2 2" xfId="21211"/>
    <cellStyle name="Обычный 6 181 2 2 2" xfId="53255"/>
    <cellStyle name="Обычный 6 181 2 3" xfId="31892"/>
    <cellStyle name="Обычный 6 181 2 3 2" xfId="63935"/>
    <cellStyle name="Обычный 6 181 2 4" xfId="42575"/>
    <cellStyle name="Обычный 6 181 3" xfId="15871"/>
    <cellStyle name="Обычный 6 181 3 2" xfId="47915"/>
    <cellStyle name="Обычный 6 181 4" xfId="26552"/>
    <cellStyle name="Обычный 6 181 4 2" xfId="58595"/>
    <cellStyle name="Обычный 6 181 5" xfId="37235"/>
    <cellStyle name="Обычный 6 182" xfId="5222"/>
    <cellStyle name="Обычный 6 182 2" xfId="10563"/>
    <cellStyle name="Обычный 6 182 2 2" xfId="21243"/>
    <cellStyle name="Обычный 6 182 2 2 2" xfId="53287"/>
    <cellStyle name="Обычный 6 182 2 3" xfId="31924"/>
    <cellStyle name="Обычный 6 182 2 3 2" xfId="63967"/>
    <cellStyle name="Обычный 6 182 2 4" xfId="42607"/>
    <cellStyle name="Обычный 6 182 3" xfId="15903"/>
    <cellStyle name="Обычный 6 182 3 2" xfId="47947"/>
    <cellStyle name="Обычный 6 182 4" xfId="26584"/>
    <cellStyle name="Обычный 6 182 4 2" xfId="58627"/>
    <cellStyle name="Обычный 6 182 5" xfId="37267"/>
    <cellStyle name="Обычный 6 183" xfId="5254"/>
    <cellStyle name="Обычный 6 183 2" xfId="10595"/>
    <cellStyle name="Обычный 6 183 2 2" xfId="21275"/>
    <cellStyle name="Обычный 6 183 2 2 2" xfId="53319"/>
    <cellStyle name="Обычный 6 183 2 3" xfId="31956"/>
    <cellStyle name="Обычный 6 183 2 3 2" xfId="63999"/>
    <cellStyle name="Обычный 6 183 2 4" xfId="42639"/>
    <cellStyle name="Обычный 6 183 3" xfId="15935"/>
    <cellStyle name="Обычный 6 183 3 2" xfId="47979"/>
    <cellStyle name="Обычный 6 183 4" xfId="26616"/>
    <cellStyle name="Обычный 6 183 4 2" xfId="58659"/>
    <cellStyle name="Обычный 6 183 5" xfId="37299"/>
    <cellStyle name="Обычный 6 184" xfId="5286"/>
    <cellStyle name="Обычный 6 184 2" xfId="10627"/>
    <cellStyle name="Обычный 6 184 2 2" xfId="21307"/>
    <cellStyle name="Обычный 6 184 2 2 2" xfId="53351"/>
    <cellStyle name="Обычный 6 184 2 3" xfId="31988"/>
    <cellStyle name="Обычный 6 184 2 3 2" xfId="64031"/>
    <cellStyle name="Обычный 6 184 2 4" xfId="42671"/>
    <cellStyle name="Обычный 6 184 3" xfId="15967"/>
    <cellStyle name="Обычный 6 184 3 2" xfId="48011"/>
    <cellStyle name="Обычный 6 184 4" xfId="26648"/>
    <cellStyle name="Обычный 6 184 4 2" xfId="58691"/>
    <cellStyle name="Обычный 6 184 5" xfId="37331"/>
    <cellStyle name="Обычный 6 185" xfId="5318"/>
    <cellStyle name="Обычный 6 185 2" xfId="10659"/>
    <cellStyle name="Обычный 6 185 2 2" xfId="21339"/>
    <cellStyle name="Обычный 6 185 2 2 2" xfId="53383"/>
    <cellStyle name="Обычный 6 185 2 3" xfId="32020"/>
    <cellStyle name="Обычный 6 185 2 3 2" xfId="64063"/>
    <cellStyle name="Обычный 6 185 2 4" xfId="42703"/>
    <cellStyle name="Обычный 6 185 3" xfId="15999"/>
    <cellStyle name="Обычный 6 185 3 2" xfId="48043"/>
    <cellStyle name="Обычный 6 185 4" xfId="26680"/>
    <cellStyle name="Обычный 6 185 4 2" xfId="58723"/>
    <cellStyle name="Обычный 6 185 5" xfId="37363"/>
    <cellStyle name="Обычный 6 186" xfId="5350"/>
    <cellStyle name="Обычный 6 186 2" xfId="10691"/>
    <cellStyle name="Обычный 6 186 2 2" xfId="21371"/>
    <cellStyle name="Обычный 6 186 2 2 2" xfId="53415"/>
    <cellStyle name="Обычный 6 186 2 3" xfId="32052"/>
    <cellStyle name="Обычный 6 186 2 3 2" xfId="64095"/>
    <cellStyle name="Обычный 6 186 2 4" xfId="42735"/>
    <cellStyle name="Обычный 6 186 3" xfId="16031"/>
    <cellStyle name="Обычный 6 186 3 2" xfId="48075"/>
    <cellStyle name="Обычный 6 186 4" xfId="26712"/>
    <cellStyle name="Обычный 6 186 4 2" xfId="58755"/>
    <cellStyle name="Обычный 6 186 5" xfId="37395"/>
    <cellStyle name="Обычный 6 187" xfId="5442"/>
    <cellStyle name="Обычный 6 187 2" xfId="16122"/>
    <cellStyle name="Обычный 6 187 2 2" xfId="48166"/>
    <cellStyle name="Обычный 6 187 3" xfId="26803"/>
    <cellStyle name="Обычный 6 187 3 2" xfId="58846"/>
    <cellStyle name="Обычный 6 187 4" xfId="37486"/>
    <cellStyle name="Обычный 6 188" xfId="10782"/>
    <cellStyle name="Обычный 6 188 2" xfId="42826"/>
    <cellStyle name="Обычный 6 189" xfId="21463"/>
    <cellStyle name="Обычный 6 189 2" xfId="53506"/>
    <cellStyle name="Обычный 6 19" xfId="278"/>
    <cellStyle name="Обычный 6 19 2" xfId="746"/>
    <cellStyle name="Обычный 6 19 2 2" xfId="6089"/>
    <cellStyle name="Обычный 6 19 2 2 2" xfId="16769"/>
    <cellStyle name="Обычный 6 19 2 2 2 2" xfId="48813"/>
    <cellStyle name="Обычный 6 19 2 2 3" xfId="27450"/>
    <cellStyle name="Обычный 6 19 2 2 3 2" xfId="59493"/>
    <cellStyle name="Обычный 6 19 2 2 4" xfId="38133"/>
    <cellStyle name="Обычный 6 19 2 3" xfId="11429"/>
    <cellStyle name="Обычный 6 19 2 3 2" xfId="43473"/>
    <cellStyle name="Обычный 6 19 2 4" xfId="22110"/>
    <cellStyle name="Обычный 6 19 2 4 2" xfId="54153"/>
    <cellStyle name="Обычный 6 19 2 5" xfId="32793"/>
    <cellStyle name="Обычный 6 19 3" xfId="5622"/>
    <cellStyle name="Обычный 6 19 3 2" xfId="16302"/>
    <cellStyle name="Обычный 6 19 3 2 2" xfId="48346"/>
    <cellStyle name="Обычный 6 19 3 3" xfId="26983"/>
    <cellStyle name="Обычный 6 19 3 3 2" xfId="59026"/>
    <cellStyle name="Обычный 6 19 3 4" xfId="37666"/>
    <cellStyle name="Обычный 6 19 4" xfId="10962"/>
    <cellStyle name="Обычный 6 19 4 2" xfId="43006"/>
    <cellStyle name="Обычный 6 19 5" xfId="21643"/>
    <cellStyle name="Обычный 6 19 5 2" xfId="53686"/>
    <cellStyle name="Обычный 6 19 6" xfId="32326"/>
    <cellStyle name="Обычный 6 190" xfId="32146"/>
    <cellStyle name="Обычный 6 2" xfId="108"/>
    <cellStyle name="Обычный 6 2 10" xfId="1164"/>
    <cellStyle name="Обычный 6 2 10 2" xfId="6507"/>
    <cellStyle name="Обычный 6 2 10 2 2" xfId="17187"/>
    <cellStyle name="Обычный 6 2 10 2 2 2" xfId="49231"/>
    <cellStyle name="Обычный 6 2 10 2 3" xfId="27868"/>
    <cellStyle name="Обычный 6 2 10 2 3 2" xfId="59911"/>
    <cellStyle name="Обычный 6 2 10 2 4" xfId="38551"/>
    <cellStyle name="Обычный 6 2 10 3" xfId="11847"/>
    <cellStyle name="Обычный 6 2 10 3 2" xfId="43891"/>
    <cellStyle name="Обычный 6 2 10 4" xfId="22528"/>
    <cellStyle name="Обычный 6 2 10 4 2" xfId="54571"/>
    <cellStyle name="Обычный 6 2 10 5" xfId="33211"/>
    <cellStyle name="Обычный 6 2 100" xfId="3824"/>
    <cellStyle name="Обычный 6 2 100 2" xfId="9165"/>
    <cellStyle name="Обычный 6 2 100 2 2" xfId="19845"/>
    <cellStyle name="Обычный 6 2 100 2 2 2" xfId="51889"/>
    <cellStyle name="Обычный 6 2 100 2 3" xfId="30526"/>
    <cellStyle name="Обычный 6 2 100 2 3 2" xfId="62569"/>
    <cellStyle name="Обычный 6 2 100 2 4" xfId="41209"/>
    <cellStyle name="Обычный 6 2 100 3" xfId="14505"/>
    <cellStyle name="Обычный 6 2 100 3 2" xfId="46549"/>
    <cellStyle name="Обычный 6 2 100 4" xfId="25186"/>
    <cellStyle name="Обычный 6 2 100 4 2" xfId="57229"/>
    <cellStyle name="Обычный 6 2 100 5" xfId="35869"/>
    <cellStyle name="Обычный 6 2 101" xfId="3856"/>
    <cellStyle name="Обычный 6 2 101 2" xfId="9197"/>
    <cellStyle name="Обычный 6 2 101 2 2" xfId="19877"/>
    <cellStyle name="Обычный 6 2 101 2 2 2" xfId="51921"/>
    <cellStyle name="Обычный 6 2 101 2 3" xfId="30558"/>
    <cellStyle name="Обычный 6 2 101 2 3 2" xfId="62601"/>
    <cellStyle name="Обычный 6 2 101 2 4" xfId="41241"/>
    <cellStyle name="Обычный 6 2 101 3" xfId="14537"/>
    <cellStyle name="Обычный 6 2 101 3 2" xfId="46581"/>
    <cellStyle name="Обычный 6 2 101 4" xfId="25218"/>
    <cellStyle name="Обычный 6 2 101 4 2" xfId="57261"/>
    <cellStyle name="Обычный 6 2 101 5" xfId="35901"/>
    <cellStyle name="Обычный 6 2 102" xfId="3888"/>
    <cellStyle name="Обычный 6 2 102 2" xfId="9229"/>
    <cellStyle name="Обычный 6 2 102 2 2" xfId="19909"/>
    <cellStyle name="Обычный 6 2 102 2 2 2" xfId="51953"/>
    <cellStyle name="Обычный 6 2 102 2 3" xfId="30590"/>
    <cellStyle name="Обычный 6 2 102 2 3 2" xfId="62633"/>
    <cellStyle name="Обычный 6 2 102 2 4" xfId="41273"/>
    <cellStyle name="Обычный 6 2 102 3" xfId="14569"/>
    <cellStyle name="Обычный 6 2 102 3 2" xfId="46613"/>
    <cellStyle name="Обычный 6 2 102 4" xfId="25250"/>
    <cellStyle name="Обычный 6 2 102 4 2" xfId="57293"/>
    <cellStyle name="Обычный 6 2 102 5" xfId="35933"/>
    <cellStyle name="Обычный 6 2 103" xfId="3920"/>
    <cellStyle name="Обычный 6 2 103 2" xfId="9261"/>
    <cellStyle name="Обычный 6 2 103 2 2" xfId="19941"/>
    <cellStyle name="Обычный 6 2 103 2 2 2" xfId="51985"/>
    <cellStyle name="Обычный 6 2 103 2 3" xfId="30622"/>
    <cellStyle name="Обычный 6 2 103 2 3 2" xfId="62665"/>
    <cellStyle name="Обычный 6 2 103 2 4" xfId="41305"/>
    <cellStyle name="Обычный 6 2 103 3" xfId="14601"/>
    <cellStyle name="Обычный 6 2 103 3 2" xfId="46645"/>
    <cellStyle name="Обычный 6 2 103 4" xfId="25282"/>
    <cellStyle name="Обычный 6 2 103 4 2" xfId="57325"/>
    <cellStyle name="Обычный 6 2 103 5" xfId="35965"/>
    <cellStyle name="Обычный 6 2 104" xfId="3952"/>
    <cellStyle name="Обычный 6 2 104 2" xfId="9293"/>
    <cellStyle name="Обычный 6 2 104 2 2" xfId="19973"/>
    <cellStyle name="Обычный 6 2 104 2 2 2" xfId="52017"/>
    <cellStyle name="Обычный 6 2 104 2 3" xfId="30654"/>
    <cellStyle name="Обычный 6 2 104 2 3 2" xfId="62697"/>
    <cellStyle name="Обычный 6 2 104 2 4" xfId="41337"/>
    <cellStyle name="Обычный 6 2 104 3" xfId="14633"/>
    <cellStyle name="Обычный 6 2 104 3 2" xfId="46677"/>
    <cellStyle name="Обычный 6 2 104 4" xfId="25314"/>
    <cellStyle name="Обычный 6 2 104 4 2" xfId="57357"/>
    <cellStyle name="Обычный 6 2 104 5" xfId="35997"/>
    <cellStyle name="Обычный 6 2 105" xfId="3984"/>
    <cellStyle name="Обычный 6 2 105 2" xfId="9325"/>
    <cellStyle name="Обычный 6 2 105 2 2" xfId="20005"/>
    <cellStyle name="Обычный 6 2 105 2 2 2" xfId="52049"/>
    <cellStyle name="Обычный 6 2 105 2 3" xfId="30686"/>
    <cellStyle name="Обычный 6 2 105 2 3 2" xfId="62729"/>
    <cellStyle name="Обычный 6 2 105 2 4" xfId="41369"/>
    <cellStyle name="Обычный 6 2 105 3" xfId="14665"/>
    <cellStyle name="Обычный 6 2 105 3 2" xfId="46709"/>
    <cellStyle name="Обычный 6 2 105 4" xfId="25346"/>
    <cellStyle name="Обычный 6 2 105 4 2" xfId="57389"/>
    <cellStyle name="Обычный 6 2 105 5" xfId="36029"/>
    <cellStyle name="Обычный 6 2 106" xfId="4016"/>
    <cellStyle name="Обычный 6 2 106 2" xfId="9357"/>
    <cellStyle name="Обычный 6 2 106 2 2" xfId="20037"/>
    <cellStyle name="Обычный 6 2 106 2 2 2" xfId="52081"/>
    <cellStyle name="Обычный 6 2 106 2 3" xfId="30718"/>
    <cellStyle name="Обычный 6 2 106 2 3 2" xfId="62761"/>
    <cellStyle name="Обычный 6 2 106 2 4" xfId="41401"/>
    <cellStyle name="Обычный 6 2 106 3" xfId="14697"/>
    <cellStyle name="Обычный 6 2 106 3 2" xfId="46741"/>
    <cellStyle name="Обычный 6 2 106 4" xfId="25378"/>
    <cellStyle name="Обычный 6 2 106 4 2" xfId="57421"/>
    <cellStyle name="Обычный 6 2 106 5" xfId="36061"/>
    <cellStyle name="Обычный 6 2 107" xfId="4048"/>
    <cellStyle name="Обычный 6 2 107 2" xfId="9389"/>
    <cellStyle name="Обычный 6 2 107 2 2" xfId="20069"/>
    <cellStyle name="Обычный 6 2 107 2 2 2" xfId="52113"/>
    <cellStyle name="Обычный 6 2 107 2 3" xfId="30750"/>
    <cellStyle name="Обычный 6 2 107 2 3 2" xfId="62793"/>
    <cellStyle name="Обычный 6 2 107 2 4" xfId="41433"/>
    <cellStyle name="Обычный 6 2 107 3" xfId="14729"/>
    <cellStyle name="Обычный 6 2 107 3 2" xfId="46773"/>
    <cellStyle name="Обычный 6 2 107 4" xfId="25410"/>
    <cellStyle name="Обычный 6 2 107 4 2" xfId="57453"/>
    <cellStyle name="Обычный 6 2 107 5" xfId="36093"/>
    <cellStyle name="Обычный 6 2 108" xfId="4080"/>
    <cellStyle name="Обычный 6 2 108 2" xfId="9421"/>
    <cellStyle name="Обычный 6 2 108 2 2" xfId="20101"/>
    <cellStyle name="Обычный 6 2 108 2 2 2" xfId="52145"/>
    <cellStyle name="Обычный 6 2 108 2 3" xfId="30782"/>
    <cellStyle name="Обычный 6 2 108 2 3 2" xfId="62825"/>
    <cellStyle name="Обычный 6 2 108 2 4" xfId="41465"/>
    <cellStyle name="Обычный 6 2 108 3" xfId="14761"/>
    <cellStyle name="Обычный 6 2 108 3 2" xfId="46805"/>
    <cellStyle name="Обычный 6 2 108 4" xfId="25442"/>
    <cellStyle name="Обычный 6 2 108 4 2" xfId="57485"/>
    <cellStyle name="Обычный 6 2 108 5" xfId="36125"/>
    <cellStyle name="Обычный 6 2 109" xfId="4112"/>
    <cellStyle name="Обычный 6 2 109 2" xfId="9453"/>
    <cellStyle name="Обычный 6 2 109 2 2" xfId="20133"/>
    <cellStyle name="Обычный 6 2 109 2 2 2" xfId="52177"/>
    <cellStyle name="Обычный 6 2 109 2 3" xfId="30814"/>
    <cellStyle name="Обычный 6 2 109 2 3 2" xfId="62857"/>
    <cellStyle name="Обычный 6 2 109 2 4" xfId="41497"/>
    <cellStyle name="Обычный 6 2 109 3" xfId="14793"/>
    <cellStyle name="Обычный 6 2 109 3 2" xfId="46837"/>
    <cellStyle name="Обычный 6 2 109 4" xfId="25474"/>
    <cellStyle name="Обычный 6 2 109 4 2" xfId="57517"/>
    <cellStyle name="Обычный 6 2 109 5" xfId="36157"/>
    <cellStyle name="Обычный 6 2 11" xfId="1190"/>
    <cellStyle name="Обычный 6 2 11 2" xfId="6533"/>
    <cellStyle name="Обычный 6 2 11 2 2" xfId="17213"/>
    <cellStyle name="Обычный 6 2 11 2 2 2" xfId="49257"/>
    <cellStyle name="Обычный 6 2 11 2 3" xfId="27894"/>
    <cellStyle name="Обычный 6 2 11 2 3 2" xfId="59937"/>
    <cellStyle name="Обычный 6 2 11 2 4" xfId="38577"/>
    <cellStyle name="Обычный 6 2 11 3" xfId="11873"/>
    <cellStyle name="Обычный 6 2 11 3 2" xfId="43917"/>
    <cellStyle name="Обычный 6 2 11 4" xfId="22554"/>
    <cellStyle name="Обычный 6 2 11 4 2" xfId="54597"/>
    <cellStyle name="Обычный 6 2 11 5" xfId="33237"/>
    <cellStyle name="Обычный 6 2 110" xfId="4144"/>
    <cellStyle name="Обычный 6 2 110 2" xfId="9485"/>
    <cellStyle name="Обычный 6 2 110 2 2" xfId="20165"/>
    <cellStyle name="Обычный 6 2 110 2 2 2" xfId="52209"/>
    <cellStyle name="Обычный 6 2 110 2 3" xfId="30846"/>
    <cellStyle name="Обычный 6 2 110 2 3 2" xfId="62889"/>
    <cellStyle name="Обычный 6 2 110 2 4" xfId="41529"/>
    <cellStyle name="Обычный 6 2 110 3" xfId="14825"/>
    <cellStyle name="Обычный 6 2 110 3 2" xfId="46869"/>
    <cellStyle name="Обычный 6 2 110 4" xfId="25506"/>
    <cellStyle name="Обычный 6 2 110 4 2" xfId="57549"/>
    <cellStyle name="Обычный 6 2 110 5" xfId="36189"/>
    <cellStyle name="Обычный 6 2 111" xfId="4176"/>
    <cellStyle name="Обычный 6 2 111 2" xfId="9517"/>
    <cellStyle name="Обычный 6 2 111 2 2" xfId="20197"/>
    <cellStyle name="Обычный 6 2 111 2 2 2" xfId="52241"/>
    <cellStyle name="Обычный 6 2 111 2 3" xfId="30878"/>
    <cellStyle name="Обычный 6 2 111 2 3 2" xfId="62921"/>
    <cellStyle name="Обычный 6 2 111 2 4" xfId="41561"/>
    <cellStyle name="Обычный 6 2 111 3" xfId="14857"/>
    <cellStyle name="Обычный 6 2 111 3 2" xfId="46901"/>
    <cellStyle name="Обычный 6 2 111 4" xfId="25538"/>
    <cellStyle name="Обычный 6 2 111 4 2" xfId="57581"/>
    <cellStyle name="Обычный 6 2 111 5" xfId="36221"/>
    <cellStyle name="Обычный 6 2 112" xfId="4208"/>
    <cellStyle name="Обычный 6 2 112 2" xfId="9549"/>
    <cellStyle name="Обычный 6 2 112 2 2" xfId="20229"/>
    <cellStyle name="Обычный 6 2 112 2 2 2" xfId="52273"/>
    <cellStyle name="Обычный 6 2 112 2 3" xfId="30910"/>
    <cellStyle name="Обычный 6 2 112 2 3 2" xfId="62953"/>
    <cellStyle name="Обычный 6 2 112 2 4" xfId="41593"/>
    <cellStyle name="Обычный 6 2 112 3" xfId="14889"/>
    <cellStyle name="Обычный 6 2 112 3 2" xfId="46933"/>
    <cellStyle name="Обычный 6 2 112 4" xfId="25570"/>
    <cellStyle name="Обычный 6 2 112 4 2" xfId="57613"/>
    <cellStyle name="Обычный 6 2 112 5" xfId="36253"/>
    <cellStyle name="Обычный 6 2 113" xfId="4240"/>
    <cellStyle name="Обычный 6 2 113 2" xfId="9581"/>
    <cellStyle name="Обычный 6 2 113 2 2" xfId="20261"/>
    <cellStyle name="Обычный 6 2 113 2 2 2" xfId="52305"/>
    <cellStyle name="Обычный 6 2 113 2 3" xfId="30942"/>
    <cellStyle name="Обычный 6 2 113 2 3 2" xfId="62985"/>
    <cellStyle name="Обычный 6 2 113 2 4" xfId="41625"/>
    <cellStyle name="Обычный 6 2 113 3" xfId="14921"/>
    <cellStyle name="Обычный 6 2 113 3 2" xfId="46965"/>
    <cellStyle name="Обычный 6 2 113 4" xfId="25602"/>
    <cellStyle name="Обычный 6 2 113 4 2" xfId="57645"/>
    <cellStyle name="Обычный 6 2 113 5" xfId="36285"/>
    <cellStyle name="Обычный 6 2 114" xfId="4272"/>
    <cellStyle name="Обычный 6 2 114 2" xfId="9613"/>
    <cellStyle name="Обычный 6 2 114 2 2" xfId="20293"/>
    <cellStyle name="Обычный 6 2 114 2 2 2" xfId="52337"/>
    <cellStyle name="Обычный 6 2 114 2 3" xfId="30974"/>
    <cellStyle name="Обычный 6 2 114 2 3 2" xfId="63017"/>
    <cellStyle name="Обычный 6 2 114 2 4" xfId="41657"/>
    <cellStyle name="Обычный 6 2 114 3" xfId="14953"/>
    <cellStyle name="Обычный 6 2 114 3 2" xfId="46997"/>
    <cellStyle name="Обычный 6 2 114 4" xfId="25634"/>
    <cellStyle name="Обычный 6 2 114 4 2" xfId="57677"/>
    <cellStyle name="Обычный 6 2 114 5" xfId="36317"/>
    <cellStyle name="Обычный 6 2 115" xfId="4304"/>
    <cellStyle name="Обычный 6 2 115 2" xfId="9645"/>
    <cellStyle name="Обычный 6 2 115 2 2" xfId="20325"/>
    <cellStyle name="Обычный 6 2 115 2 2 2" xfId="52369"/>
    <cellStyle name="Обычный 6 2 115 2 3" xfId="31006"/>
    <cellStyle name="Обычный 6 2 115 2 3 2" xfId="63049"/>
    <cellStyle name="Обычный 6 2 115 2 4" xfId="41689"/>
    <cellStyle name="Обычный 6 2 115 3" xfId="14985"/>
    <cellStyle name="Обычный 6 2 115 3 2" xfId="47029"/>
    <cellStyle name="Обычный 6 2 115 4" xfId="25666"/>
    <cellStyle name="Обычный 6 2 115 4 2" xfId="57709"/>
    <cellStyle name="Обычный 6 2 115 5" xfId="36349"/>
    <cellStyle name="Обычный 6 2 116" xfId="4336"/>
    <cellStyle name="Обычный 6 2 116 2" xfId="9677"/>
    <cellStyle name="Обычный 6 2 116 2 2" xfId="20357"/>
    <cellStyle name="Обычный 6 2 116 2 2 2" xfId="52401"/>
    <cellStyle name="Обычный 6 2 116 2 3" xfId="31038"/>
    <cellStyle name="Обычный 6 2 116 2 3 2" xfId="63081"/>
    <cellStyle name="Обычный 6 2 116 2 4" xfId="41721"/>
    <cellStyle name="Обычный 6 2 116 3" xfId="15017"/>
    <cellStyle name="Обычный 6 2 116 3 2" xfId="47061"/>
    <cellStyle name="Обычный 6 2 116 4" xfId="25698"/>
    <cellStyle name="Обычный 6 2 116 4 2" xfId="57741"/>
    <cellStyle name="Обычный 6 2 116 5" xfId="36381"/>
    <cellStyle name="Обычный 6 2 117" xfId="4368"/>
    <cellStyle name="Обычный 6 2 117 2" xfId="9709"/>
    <cellStyle name="Обычный 6 2 117 2 2" xfId="20389"/>
    <cellStyle name="Обычный 6 2 117 2 2 2" xfId="52433"/>
    <cellStyle name="Обычный 6 2 117 2 3" xfId="31070"/>
    <cellStyle name="Обычный 6 2 117 2 3 2" xfId="63113"/>
    <cellStyle name="Обычный 6 2 117 2 4" xfId="41753"/>
    <cellStyle name="Обычный 6 2 117 3" xfId="15049"/>
    <cellStyle name="Обычный 6 2 117 3 2" xfId="47093"/>
    <cellStyle name="Обычный 6 2 117 4" xfId="25730"/>
    <cellStyle name="Обычный 6 2 117 4 2" xfId="57773"/>
    <cellStyle name="Обычный 6 2 117 5" xfId="36413"/>
    <cellStyle name="Обычный 6 2 118" xfId="4400"/>
    <cellStyle name="Обычный 6 2 118 2" xfId="9741"/>
    <cellStyle name="Обычный 6 2 118 2 2" xfId="20421"/>
    <cellStyle name="Обычный 6 2 118 2 2 2" xfId="52465"/>
    <cellStyle name="Обычный 6 2 118 2 3" xfId="31102"/>
    <cellStyle name="Обычный 6 2 118 2 3 2" xfId="63145"/>
    <cellStyle name="Обычный 6 2 118 2 4" xfId="41785"/>
    <cellStyle name="Обычный 6 2 118 3" xfId="15081"/>
    <cellStyle name="Обычный 6 2 118 3 2" xfId="47125"/>
    <cellStyle name="Обычный 6 2 118 4" xfId="25762"/>
    <cellStyle name="Обычный 6 2 118 4 2" xfId="57805"/>
    <cellStyle name="Обычный 6 2 118 5" xfId="36445"/>
    <cellStyle name="Обычный 6 2 119" xfId="4432"/>
    <cellStyle name="Обычный 6 2 119 2" xfId="9773"/>
    <cellStyle name="Обычный 6 2 119 2 2" xfId="20453"/>
    <cellStyle name="Обычный 6 2 119 2 2 2" xfId="52497"/>
    <cellStyle name="Обычный 6 2 119 2 3" xfId="31134"/>
    <cellStyle name="Обычный 6 2 119 2 3 2" xfId="63177"/>
    <cellStyle name="Обычный 6 2 119 2 4" xfId="41817"/>
    <cellStyle name="Обычный 6 2 119 3" xfId="15113"/>
    <cellStyle name="Обычный 6 2 119 3 2" xfId="47157"/>
    <cellStyle name="Обычный 6 2 119 4" xfId="25794"/>
    <cellStyle name="Обычный 6 2 119 4 2" xfId="57837"/>
    <cellStyle name="Обычный 6 2 119 5" xfId="36477"/>
    <cellStyle name="Обычный 6 2 12" xfId="1216"/>
    <cellStyle name="Обычный 6 2 12 2" xfId="6559"/>
    <cellStyle name="Обычный 6 2 12 2 2" xfId="17239"/>
    <cellStyle name="Обычный 6 2 12 2 2 2" xfId="49283"/>
    <cellStyle name="Обычный 6 2 12 2 3" xfId="27920"/>
    <cellStyle name="Обычный 6 2 12 2 3 2" xfId="59963"/>
    <cellStyle name="Обычный 6 2 12 2 4" xfId="38603"/>
    <cellStyle name="Обычный 6 2 12 3" xfId="11899"/>
    <cellStyle name="Обычный 6 2 12 3 2" xfId="43943"/>
    <cellStyle name="Обычный 6 2 12 4" xfId="22580"/>
    <cellStyle name="Обычный 6 2 12 4 2" xfId="54623"/>
    <cellStyle name="Обычный 6 2 12 5" xfId="33263"/>
    <cellStyle name="Обычный 6 2 120" xfId="4464"/>
    <cellStyle name="Обычный 6 2 120 2" xfId="9805"/>
    <cellStyle name="Обычный 6 2 120 2 2" xfId="20485"/>
    <cellStyle name="Обычный 6 2 120 2 2 2" xfId="52529"/>
    <cellStyle name="Обычный 6 2 120 2 3" xfId="31166"/>
    <cellStyle name="Обычный 6 2 120 2 3 2" xfId="63209"/>
    <cellStyle name="Обычный 6 2 120 2 4" xfId="41849"/>
    <cellStyle name="Обычный 6 2 120 3" xfId="15145"/>
    <cellStyle name="Обычный 6 2 120 3 2" xfId="47189"/>
    <cellStyle name="Обычный 6 2 120 4" xfId="25826"/>
    <cellStyle name="Обычный 6 2 120 4 2" xfId="57869"/>
    <cellStyle name="Обычный 6 2 120 5" xfId="36509"/>
    <cellStyle name="Обычный 6 2 121" xfId="4496"/>
    <cellStyle name="Обычный 6 2 121 2" xfId="9837"/>
    <cellStyle name="Обычный 6 2 121 2 2" xfId="20517"/>
    <cellStyle name="Обычный 6 2 121 2 2 2" xfId="52561"/>
    <cellStyle name="Обычный 6 2 121 2 3" xfId="31198"/>
    <cellStyle name="Обычный 6 2 121 2 3 2" xfId="63241"/>
    <cellStyle name="Обычный 6 2 121 2 4" xfId="41881"/>
    <cellStyle name="Обычный 6 2 121 3" xfId="15177"/>
    <cellStyle name="Обычный 6 2 121 3 2" xfId="47221"/>
    <cellStyle name="Обычный 6 2 121 4" xfId="25858"/>
    <cellStyle name="Обычный 6 2 121 4 2" xfId="57901"/>
    <cellStyle name="Обычный 6 2 121 5" xfId="36541"/>
    <cellStyle name="Обычный 6 2 122" xfId="4528"/>
    <cellStyle name="Обычный 6 2 122 2" xfId="9869"/>
    <cellStyle name="Обычный 6 2 122 2 2" xfId="20549"/>
    <cellStyle name="Обычный 6 2 122 2 2 2" xfId="52593"/>
    <cellStyle name="Обычный 6 2 122 2 3" xfId="31230"/>
    <cellStyle name="Обычный 6 2 122 2 3 2" xfId="63273"/>
    <cellStyle name="Обычный 6 2 122 2 4" xfId="41913"/>
    <cellStyle name="Обычный 6 2 122 3" xfId="15209"/>
    <cellStyle name="Обычный 6 2 122 3 2" xfId="47253"/>
    <cellStyle name="Обычный 6 2 122 4" xfId="25890"/>
    <cellStyle name="Обычный 6 2 122 4 2" xfId="57933"/>
    <cellStyle name="Обычный 6 2 122 5" xfId="36573"/>
    <cellStyle name="Обычный 6 2 123" xfId="4560"/>
    <cellStyle name="Обычный 6 2 123 2" xfId="9901"/>
    <cellStyle name="Обычный 6 2 123 2 2" xfId="20581"/>
    <cellStyle name="Обычный 6 2 123 2 2 2" xfId="52625"/>
    <cellStyle name="Обычный 6 2 123 2 3" xfId="31262"/>
    <cellStyle name="Обычный 6 2 123 2 3 2" xfId="63305"/>
    <cellStyle name="Обычный 6 2 123 2 4" xfId="41945"/>
    <cellStyle name="Обычный 6 2 123 3" xfId="15241"/>
    <cellStyle name="Обычный 6 2 123 3 2" xfId="47285"/>
    <cellStyle name="Обычный 6 2 123 4" xfId="25922"/>
    <cellStyle name="Обычный 6 2 123 4 2" xfId="57965"/>
    <cellStyle name="Обычный 6 2 123 5" xfId="36605"/>
    <cellStyle name="Обычный 6 2 124" xfId="4592"/>
    <cellStyle name="Обычный 6 2 124 2" xfId="9933"/>
    <cellStyle name="Обычный 6 2 124 2 2" xfId="20613"/>
    <cellStyle name="Обычный 6 2 124 2 2 2" xfId="52657"/>
    <cellStyle name="Обычный 6 2 124 2 3" xfId="31294"/>
    <cellStyle name="Обычный 6 2 124 2 3 2" xfId="63337"/>
    <cellStyle name="Обычный 6 2 124 2 4" xfId="41977"/>
    <cellStyle name="Обычный 6 2 124 3" xfId="15273"/>
    <cellStyle name="Обычный 6 2 124 3 2" xfId="47317"/>
    <cellStyle name="Обычный 6 2 124 4" xfId="25954"/>
    <cellStyle name="Обычный 6 2 124 4 2" xfId="57997"/>
    <cellStyle name="Обычный 6 2 124 5" xfId="36637"/>
    <cellStyle name="Обычный 6 2 125" xfId="4624"/>
    <cellStyle name="Обычный 6 2 125 2" xfId="9965"/>
    <cellStyle name="Обычный 6 2 125 2 2" xfId="20645"/>
    <cellStyle name="Обычный 6 2 125 2 2 2" xfId="52689"/>
    <cellStyle name="Обычный 6 2 125 2 3" xfId="31326"/>
    <cellStyle name="Обычный 6 2 125 2 3 2" xfId="63369"/>
    <cellStyle name="Обычный 6 2 125 2 4" xfId="42009"/>
    <cellStyle name="Обычный 6 2 125 3" xfId="15305"/>
    <cellStyle name="Обычный 6 2 125 3 2" xfId="47349"/>
    <cellStyle name="Обычный 6 2 125 4" xfId="25986"/>
    <cellStyle name="Обычный 6 2 125 4 2" xfId="58029"/>
    <cellStyle name="Обычный 6 2 125 5" xfId="36669"/>
    <cellStyle name="Обычный 6 2 126" xfId="4656"/>
    <cellStyle name="Обычный 6 2 126 2" xfId="9997"/>
    <cellStyle name="Обычный 6 2 126 2 2" xfId="20677"/>
    <cellStyle name="Обычный 6 2 126 2 2 2" xfId="52721"/>
    <cellStyle name="Обычный 6 2 126 2 3" xfId="31358"/>
    <cellStyle name="Обычный 6 2 126 2 3 2" xfId="63401"/>
    <cellStyle name="Обычный 6 2 126 2 4" xfId="42041"/>
    <cellStyle name="Обычный 6 2 126 3" xfId="15337"/>
    <cellStyle name="Обычный 6 2 126 3 2" xfId="47381"/>
    <cellStyle name="Обычный 6 2 126 4" xfId="26018"/>
    <cellStyle name="Обычный 6 2 126 4 2" xfId="58061"/>
    <cellStyle name="Обычный 6 2 126 5" xfId="36701"/>
    <cellStyle name="Обычный 6 2 127" xfId="4688"/>
    <cellStyle name="Обычный 6 2 127 2" xfId="10029"/>
    <cellStyle name="Обычный 6 2 127 2 2" xfId="20709"/>
    <cellStyle name="Обычный 6 2 127 2 2 2" xfId="52753"/>
    <cellStyle name="Обычный 6 2 127 2 3" xfId="31390"/>
    <cellStyle name="Обычный 6 2 127 2 3 2" xfId="63433"/>
    <cellStyle name="Обычный 6 2 127 2 4" xfId="42073"/>
    <cellStyle name="Обычный 6 2 127 3" xfId="15369"/>
    <cellStyle name="Обычный 6 2 127 3 2" xfId="47413"/>
    <cellStyle name="Обычный 6 2 127 4" xfId="26050"/>
    <cellStyle name="Обычный 6 2 127 4 2" xfId="58093"/>
    <cellStyle name="Обычный 6 2 127 5" xfId="36733"/>
    <cellStyle name="Обычный 6 2 128" xfId="4722"/>
    <cellStyle name="Обычный 6 2 128 2" xfId="10063"/>
    <cellStyle name="Обычный 6 2 128 2 2" xfId="20743"/>
    <cellStyle name="Обычный 6 2 128 2 2 2" xfId="52787"/>
    <cellStyle name="Обычный 6 2 128 2 3" xfId="31424"/>
    <cellStyle name="Обычный 6 2 128 2 3 2" xfId="63467"/>
    <cellStyle name="Обычный 6 2 128 2 4" xfId="42107"/>
    <cellStyle name="Обычный 6 2 128 3" xfId="15403"/>
    <cellStyle name="Обычный 6 2 128 3 2" xfId="47447"/>
    <cellStyle name="Обычный 6 2 128 4" xfId="26084"/>
    <cellStyle name="Обычный 6 2 128 4 2" xfId="58127"/>
    <cellStyle name="Обычный 6 2 128 5" xfId="36767"/>
    <cellStyle name="Обычный 6 2 129" xfId="4754"/>
    <cellStyle name="Обычный 6 2 129 2" xfId="10095"/>
    <cellStyle name="Обычный 6 2 129 2 2" xfId="20775"/>
    <cellStyle name="Обычный 6 2 129 2 2 2" xfId="52819"/>
    <cellStyle name="Обычный 6 2 129 2 3" xfId="31456"/>
    <cellStyle name="Обычный 6 2 129 2 3 2" xfId="63499"/>
    <cellStyle name="Обычный 6 2 129 2 4" xfId="42139"/>
    <cellStyle name="Обычный 6 2 129 3" xfId="15435"/>
    <cellStyle name="Обычный 6 2 129 3 2" xfId="47479"/>
    <cellStyle name="Обычный 6 2 129 4" xfId="26116"/>
    <cellStyle name="Обычный 6 2 129 4 2" xfId="58159"/>
    <cellStyle name="Обычный 6 2 129 5" xfId="36799"/>
    <cellStyle name="Обычный 6 2 13" xfId="1242"/>
    <cellStyle name="Обычный 6 2 13 2" xfId="6585"/>
    <cellStyle name="Обычный 6 2 13 2 2" xfId="17265"/>
    <cellStyle name="Обычный 6 2 13 2 2 2" xfId="49309"/>
    <cellStyle name="Обычный 6 2 13 2 3" xfId="27946"/>
    <cellStyle name="Обычный 6 2 13 2 3 2" xfId="59989"/>
    <cellStyle name="Обычный 6 2 13 2 4" xfId="38629"/>
    <cellStyle name="Обычный 6 2 13 3" xfId="11925"/>
    <cellStyle name="Обычный 6 2 13 3 2" xfId="43969"/>
    <cellStyle name="Обычный 6 2 13 4" xfId="22606"/>
    <cellStyle name="Обычный 6 2 13 4 2" xfId="54649"/>
    <cellStyle name="Обычный 6 2 13 5" xfId="33289"/>
    <cellStyle name="Обычный 6 2 130" xfId="4786"/>
    <cellStyle name="Обычный 6 2 130 2" xfId="10127"/>
    <cellStyle name="Обычный 6 2 130 2 2" xfId="20807"/>
    <cellStyle name="Обычный 6 2 130 2 2 2" xfId="52851"/>
    <cellStyle name="Обычный 6 2 130 2 3" xfId="31488"/>
    <cellStyle name="Обычный 6 2 130 2 3 2" xfId="63531"/>
    <cellStyle name="Обычный 6 2 130 2 4" xfId="42171"/>
    <cellStyle name="Обычный 6 2 130 3" xfId="15467"/>
    <cellStyle name="Обычный 6 2 130 3 2" xfId="47511"/>
    <cellStyle name="Обычный 6 2 130 4" xfId="26148"/>
    <cellStyle name="Обычный 6 2 130 4 2" xfId="58191"/>
    <cellStyle name="Обычный 6 2 130 5" xfId="36831"/>
    <cellStyle name="Обычный 6 2 131" xfId="4818"/>
    <cellStyle name="Обычный 6 2 131 2" xfId="10159"/>
    <cellStyle name="Обычный 6 2 131 2 2" xfId="20839"/>
    <cellStyle name="Обычный 6 2 131 2 2 2" xfId="52883"/>
    <cellStyle name="Обычный 6 2 131 2 3" xfId="31520"/>
    <cellStyle name="Обычный 6 2 131 2 3 2" xfId="63563"/>
    <cellStyle name="Обычный 6 2 131 2 4" xfId="42203"/>
    <cellStyle name="Обычный 6 2 131 3" xfId="15499"/>
    <cellStyle name="Обычный 6 2 131 3 2" xfId="47543"/>
    <cellStyle name="Обычный 6 2 131 4" xfId="26180"/>
    <cellStyle name="Обычный 6 2 131 4 2" xfId="58223"/>
    <cellStyle name="Обычный 6 2 131 5" xfId="36863"/>
    <cellStyle name="Обычный 6 2 132" xfId="4850"/>
    <cellStyle name="Обычный 6 2 132 2" xfId="10191"/>
    <cellStyle name="Обычный 6 2 132 2 2" xfId="20871"/>
    <cellStyle name="Обычный 6 2 132 2 2 2" xfId="52915"/>
    <cellStyle name="Обычный 6 2 132 2 3" xfId="31552"/>
    <cellStyle name="Обычный 6 2 132 2 3 2" xfId="63595"/>
    <cellStyle name="Обычный 6 2 132 2 4" xfId="42235"/>
    <cellStyle name="Обычный 6 2 132 3" xfId="15531"/>
    <cellStyle name="Обычный 6 2 132 3 2" xfId="47575"/>
    <cellStyle name="Обычный 6 2 132 4" xfId="26212"/>
    <cellStyle name="Обычный 6 2 132 4 2" xfId="58255"/>
    <cellStyle name="Обычный 6 2 132 5" xfId="36895"/>
    <cellStyle name="Обычный 6 2 133" xfId="4882"/>
    <cellStyle name="Обычный 6 2 133 2" xfId="10223"/>
    <cellStyle name="Обычный 6 2 133 2 2" xfId="20903"/>
    <cellStyle name="Обычный 6 2 133 2 2 2" xfId="52947"/>
    <cellStyle name="Обычный 6 2 133 2 3" xfId="31584"/>
    <cellStyle name="Обычный 6 2 133 2 3 2" xfId="63627"/>
    <cellStyle name="Обычный 6 2 133 2 4" xfId="42267"/>
    <cellStyle name="Обычный 6 2 133 3" xfId="15563"/>
    <cellStyle name="Обычный 6 2 133 3 2" xfId="47607"/>
    <cellStyle name="Обычный 6 2 133 4" xfId="26244"/>
    <cellStyle name="Обычный 6 2 133 4 2" xfId="58287"/>
    <cellStyle name="Обычный 6 2 133 5" xfId="36927"/>
    <cellStyle name="Обычный 6 2 134" xfId="4914"/>
    <cellStyle name="Обычный 6 2 134 2" xfId="10255"/>
    <cellStyle name="Обычный 6 2 134 2 2" xfId="20935"/>
    <cellStyle name="Обычный 6 2 134 2 2 2" xfId="52979"/>
    <cellStyle name="Обычный 6 2 134 2 3" xfId="31616"/>
    <cellStyle name="Обычный 6 2 134 2 3 2" xfId="63659"/>
    <cellStyle name="Обычный 6 2 134 2 4" xfId="42299"/>
    <cellStyle name="Обычный 6 2 134 3" xfId="15595"/>
    <cellStyle name="Обычный 6 2 134 3 2" xfId="47639"/>
    <cellStyle name="Обычный 6 2 134 4" xfId="26276"/>
    <cellStyle name="Обычный 6 2 134 4 2" xfId="58319"/>
    <cellStyle name="Обычный 6 2 134 5" xfId="36959"/>
    <cellStyle name="Обычный 6 2 135" xfId="4946"/>
    <cellStyle name="Обычный 6 2 135 2" xfId="10287"/>
    <cellStyle name="Обычный 6 2 135 2 2" xfId="20967"/>
    <cellStyle name="Обычный 6 2 135 2 2 2" xfId="53011"/>
    <cellStyle name="Обычный 6 2 135 2 3" xfId="31648"/>
    <cellStyle name="Обычный 6 2 135 2 3 2" xfId="63691"/>
    <cellStyle name="Обычный 6 2 135 2 4" xfId="42331"/>
    <cellStyle name="Обычный 6 2 135 3" xfId="15627"/>
    <cellStyle name="Обычный 6 2 135 3 2" xfId="47671"/>
    <cellStyle name="Обычный 6 2 135 4" xfId="26308"/>
    <cellStyle name="Обычный 6 2 135 4 2" xfId="58351"/>
    <cellStyle name="Обычный 6 2 135 5" xfId="36991"/>
    <cellStyle name="Обычный 6 2 136" xfId="4978"/>
    <cellStyle name="Обычный 6 2 136 2" xfId="10319"/>
    <cellStyle name="Обычный 6 2 136 2 2" xfId="20999"/>
    <cellStyle name="Обычный 6 2 136 2 2 2" xfId="53043"/>
    <cellStyle name="Обычный 6 2 136 2 3" xfId="31680"/>
    <cellStyle name="Обычный 6 2 136 2 3 2" xfId="63723"/>
    <cellStyle name="Обычный 6 2 136 2 4" xfId="42363"/>
    <cellStyle name="Обычный 6 2 136 3" xfId="15659"/>
    <cellStyle name="Обычный 6 2 136 3 2" xfId="47703"/>
    <cellStyle name="Обычный 6 2 136 4" xfId="26340"/>
    <cellStyle name="Обычный 6 2 136 4 2" xfId="58383"/>
    <cellStyle name="Обычный 6 2 136 5" xfId="37023"/>
    <cellStyle name="Обычный 6 2 137" xfId="5010"/>
    <cellStyle name="Обычный 6 2 137 2" xfId="10351"/>
    <cellStyle name="Обычный 6 2 137 2 2" xfId="21031"/>
    <cellStyle name="Обычный 6 2 137 2 2 2" xfId="53075"/>
    <cellStyle name="Обычный 6 2 137 2 3" xfId="31712"/>
    <cellStyle name="Обычный 6 2 137 2 3 2" xfId="63755"/>
    <cellStyle name="Обычный 6 2 137 2 4" xfId="42395"/>
    <cellStyle name="Обычный 6 2 137 3" xfId="15691"/>
    <cellStyle name="Обычный 6 2 137 3 2" xfId="47735"/>
    <cellStyle name="Обычный 6 2 137 4" xfId="26372"/>
    <cellStyle name="Обычный 6 2 137 4 2" xfId="58415"/>
    <cellStyle name="Обычный 6 2 137 5" xfId="37055"/>
    <cellStyle name="Обычный 6 2 138" xfId="5042"/>
    <cellStyle name="Обычный 6 2 138 2" xfId="10383"/>
    <cellStyle name="Обычный 6 2 138 2 2" xfId="21063"/>
    <cellStyle name="Обычный 6 2 138 2 2 2" xfId="53107"/>
    <cellStyle name="Обычный 6 2 138 2 3" xfId="31744"/>
    <cellStyle name="Обычный 6 2 138 2 3 2" xfId="63787"/>
    <cellStyle name="Обычный 6 2 138 2 4" xfId="42427"/>
    <cellStyle name="Обычный 6 2 138 3" xfId="15723"/>
    <cellStyle name="Обычный 6 2 138 3 2" xfId="47767"/>
    <cellStyle name="Обычный 6 2 138 4" xfId="26404"/>
    <cellStyle name="Обычный 6 2 138 4 2" xfId="58447"/>
    <cellStyle name="Обычный 6 2 138 5" xfId="37087"/>
    <cellStyle name="Обычный 6 2 139" xfId="5074"/>
    <cellStyle name="Обычный 6 2 139 2" xfId="10415"/>
    <cellStyle name="Обычный 6 2 139 2 2" xfId="21095"/>
    <cellStyle name="Обычный 6 2 139 2 2 2" xfId="53139"/>
    <cellStyle name="Обычный 6 2 139 2 3" xfId="31776"/>
    <cellStyle name="Обычный 6 2 139 2 3 2" xfId="63819"/>
    <cellStyle name="Обычный 6 2 139 2 4" xfId="42459"/>
    <cellStyle name="Обычный 6 2 139 3" xfId="15755"/>
    <cellStyle name="Обычный 6 2 139 3 2" xfId="47799"/>
    <cellStyle name="Обычный 6 2 139 4" xfId="26436"/>
    <cellStyle name="Обычный 6 2 139 4 2" xfId="58479"/>
    <cellStyle name="Обычный 6 2 139 5" xfId="37119"/>
    <cellStyle name="Обычный 6 2 14" xfId="1268"/>
    <cellStyle name="Обычный 6 2 14 2" xfId="6611"/>
    <cellStyle name="Обычный 6 2 14 2 2" xfId="17291"/>
    <cellStyle name="Обычный 6 2 14 2 2 2" xfId="49335"/>
    <cellStyle name="Обычный 6 2 14 2 3" xfId="27972"/>
    <cellStyle name="Обычный 6 2 14 2 3 2" xfId="60015"/>
    <cellStyle name="Обычный 6 2 14 2 4" xfId="38655"/>
    <cellStyle name="Обычный 6 2 14 3" xfId="11951"/>
    <cellStyle name="Обычный 6 2 14 3 2" xfId="43995"/>
    <cellStyle name="Обычный 6 2 14 4" xfId="22632"/>
    <cellStyle name="Обычный 6 2 14 4 2" xfId="54675"/>
    <cellStyle name="Обычный 6 2 14 5" xfId="33315"/>
    <cellStyle name="Обычный 6 2 140" xfId="5106"/>
    <cellStyle name="Обычный 6 2 140 2" xfId="10447"/>
    <cellStyle name="Обычный 6 2 140 2 2" xfId="21127"/>
    <cellStyle name="Обычный 6 2 140 2 2 2" xfId="53171"/>
    <cellStyle name="Обычный 6 2 140 2 3" xfId="31808"/>
    <cellStyle name="Обычный 6 2 140 2 3 2" xfId="63851"/>
    <cellStyle name="Обычный 6 2 140 2 4" xfId="42491"/>
    <cellStyle name="Обычный 6 2 140 3" xfId="15787"/>
    <cellStyle name="Обычный 6 2 140 3 2" xfId="47831"/>
    <cellStyle name="Обычный 6 2 140 4" xfId="26468"/>
    <cellStyle name="Обычный 6 2 140 4 2" xfId="58511"/>
    <cellStyle name="Обычный 6 2 140 5" xfId="37151"/>
    <cellStyle name="Обычный 6 2 141" xfId="5138"/>
    <cellStyle name="Обычный 6 2 141 2" xfId="10479"/>
    <cellStyle name="Обычный 6 2 141 2 2" xfId="21159"/>
    <cellStyle name="Обычный 6 2 141 2 2 2" xfId="53203"/>
    <cellStyle name="Обычный 6 2 141 2 3" xfId="31840"/>
    <cellStyle name="Обычный 6 2 141 2 3 2" xfId="63883"/>
    <cellStyle name="Обычный 6 2 141 2 4" xfId="42523"/>
    <cellStyle name="Обычный 6 2 141 3" xfId="15819"/>
    <cellStyle name="Обычный 6 2 141 3 2" xfId="47863"/>
    <cellStyle name="Обычный 6 2 141 4" xfId="26500"/>
    <cellStyle name="Обычный 6 2 141 4 2" xfId="58543"/>
    <cellStyle name="Обычный 6 2 141 5" xfId="37183"/>
    <cellStyle name="Обычный 6 2 142" xfId="5170"/>
    <cellStyle name="Обычный 6 2 142 2" xfId="10511"/>
    <cellStyle name="Обычный 6 2 142 2 2" xfId="21191"/>
    <cellStyle name="Обычный 6 2 142 2 2 2" xfId="53235"/>
    <cellStyle name="Обычный 6 2 142 2 3" xfId="31872"/>
    <cellStyle name="Обычный 6 2 142 2 3 2" xfId="63915"/>
    <cellStyle name="Обычный 6 2 142 2 4" xfId="42555"/>
    <cellStyle name="Обычный 6 2 142 3" xfId="15851"/>
    <cellStyle name="Обычный 6 2 142 3 2" xfId="47895"/>
    <cellStyle name="Обычный 6 2 142 4" xfId="26532"/>
    <cellStyle name="Обычный 6 2 142 4 2" xfId="58575"/>
    <cellStyle name="Обычный 6 2 142 5" xfId="37215"/>
    <cellStyle name="Обычный 6 2 143" xfId="5202"/>
    <cellStyle name="Обычный 6 2 143 2" xfId="10543"/>
    <cellStyle name="Обычный 6 2 143 2 2" xfId="21223"/>
    <cellStyle name="Обычный 6 2 143 2 2 2" xfId="53267"/>
    <cellStyle name="Обычный 6 2 143 2 3" xfId="31904"/>
    <cellStyle name="Обычный 6 2 143 2 3 2" xfId="63947"/>
    <cellStyle name="Обычный 6 2 143 2 4" xfId="42587"/>
    <cellStyle name="Обычный 6 2 143 3" xfId="15883"/>
    <cellStyle name="Обычный 6 2 143 3 2" xfId="47927"/>
    <cellStyle name="Обычный 6 2 143 4" xfId="26564"/>
    <cellStyle name="Обычный 6 2 143 4 2" xfId="58607"/>
    <cellStyle name="Обычный 6 2 143 5" xfId="37247"/>
    <cellStyle name="Обычный 6 2 144" xfId="5234"/>
    <cellStyle name="Обычный 6 2 144 2" xfId="10575"/>
    <cellStyle name="Обычный 6 2 144 2 2" xfId="21255"/>
    <cellStyle name="Обычный 6 2 144 2 2 2" xfId="53299"/>
    <cellStyle name="Обычный 6 2 144 2 3" xfId="31936"/>
    <cellStyle name="Обычный 6 2 144 2 3 2" xfId="63979"/>
    <cellStyle name="Обычный 6 2 144 2 4" xfId="42619"/>
    <cellStyle name="Обычный 6 2 144 3" xfId="15915"/>
    <cellStyle name="Обычный 6 2 144 3 2" xfId="47959"/>
    <cellStyle name="Обычный 6 2 144 4" xfId="26596"/>
    <cellStyle name="Обычный 6 2 144 4 2" xfId="58639"/>
    <cellStyle name="Обычный 6 2 144 5" xfId="37279"/>
    <cellStyle name="Обычный 6 2 145" xfId="5266"/>
    <cellStyle name="Обычный 6 2 145 2" xfId="10607"/>
    <cellStyle name="Обычный 6 2 145 2 2" xfId="21287"/>
    <cellStyle name="Обычный 6 2 145 2 2 2" xfId="53331"/>
    <cellStyle name="Обычный 6 2 145 2 3" xfId="31968"/>
    <cellStyle name="Обычный 6 2 145 2 3 2" xfId="64011"/>
    <cellStyle name="Обычный 6 2 145 2 4" xfId="42651"/>
    <cellStyle name="Обычный 6 2 145 3" xfId="15947"/>
    <cellStyle name="Обычный 6 2 145 3 2" xfId="47991"/>
    <cellStyle name="Обычный 6 2 145 4" xfId="26628"/>
    <cellStyle name="Обычный 6 2 145 4 2" xfId="58671"/>
    <cellStyle name="Обычный 6 2 145 5" xfId="37311"/>
    <cellStyle name="Обычный 6 2 146" xfId="5298"/>
    <cellStyle name="Обычный 6 2 146 2" xfId="10639"/>
    <cellStyle name="Обычный 6 2 146 2 2" xfId="21319"/>
    <cellStyle name="Обычный 6 2 146 2 2 2" xfId="53363"/>
    <cellStyle name="Обычный 6 2 146 2 3" xfId="32000"/>
    <cellStyle name="Обычный 6 2 146 2 3 2" xfId="64043"/>
    <cellStyle name="Обычный 6 2 146 2 4" xfId="42683"/>
    <cellStyle name="Обычный 6 2 146 3" xfId="15979"/>
    <cellStyle name="Обычный 6 2 146 3 2" xfId="48023"/>
    <cellStyle name="Обычный 6 2 146 4" xfId="26660"/>
    <cellStyle name="Обычный 6 2 146 4 2" xfId="58703"/>
    <cellStyle name="Обычный 6 2 146 5" xfId="37343"/>
    <cellStyle name="Обычный 6 2 147" xfId="5330"/>
    <cellStyle name="Обычный 6 2 147 2" xfId="10671"/>
    <cellStyle name="Обычный 6 2 147 2 2" xfId="21351"/>
    <cellStyle name="Обычный 6 2 147 2 2 2" xfId="53395"/>
    <cellStyle name="Обычный 6 2 147 2 3" xfId="32032"/>
    <cellStyle name="Обычный 6 2 147 2 3 2" xfId="64075"/>
    <cellStyle name="Обычный 6 2 147 2 4" xfId="42715"/>
    <cellStyle name="Обычный 6 2 147 3" xfId="16011"/>
    <cellStyle name="Обычный 6 2 147 3 2" xfId="48055"/>
    <cellStyle name="Обычный 6 2 147 4" xfId="26692"/>
    <cellStyle name="Обычный 6 2 147 4 2" xfId="58735"/>
    <cellStyle name="Обычный 6 2 147 5" xfId="37375"/>
    <cellStyle name="Обычный 6 2 148" xfId="5362"/>
    <cellStyle name="Обычный 6 2 148 2" xfId="10703"/>
    <cellStyle name="Обычный 6 2 148 2 2" xfId="21383"/>
    <cellStyle name="Обычный 6 2 148 2 2 2" xfId="53427"/>
    <cellStyle name="Обычный 6 2 148 2 3" xfId="32064"/>
    <cellStyle name="Обычный 6 2 148 2 3 2" xfId="64107"/>
    <cellStyle name="Обычный 6 2 148 2 4" xfId="42747"/>
    <cellStyle name="Обычный 6 2 148 3" xfId="16043"/>
    <cellStyle name="Обычный 6 2 148 3 2" xfId="48087"/>
    <cellStyle name="Обычный 6 2 148 4" xfId="26724"/>
    <cellStyle name="Обычный 6 2 148 4 2" xfId="58767"/>
    <cellStyle name="Обычный 6 2 148 5" xfId="37407"/>
    <cellStyle name="Обычный 6 2 149" xfId="5452"/>
    <cellStyle name="Обычный 6 2 149 2" xfId="16132"/>
    <cellStyle name="Обычный 6 2 149 2 2" xfId="48176"/>
    <cellStyle name="Обычный 6 2 149 3" xfId="26813"/>
    <cellStyle name="Обычный 6 2 149 3 2" xfId="58856"/>
    <cellStyle name="Обычный 6 2 149 4" xfId="37496"/>
    <cellStyle name="Обычный 6 2 15" xfId="1294"/>
    <cellStyle name="Обычный 6 2 15 2" xfId="6637"/>
    <cellStyle name="Обычный 6 2 15 2 2" xfId="17317"/>
    <cellStyle name="Обычный 6 2 15 2 2 2" xfId="49361"/>
    <cellStyle name="Обычный 6 2 15 2 3" xfId="27998"/>
    <cellStyle name="Обычный 6 2 15 2 3 2" xfId="60041"/>
    <cellStyle name="Обычный 6 2 15 2 4" xfId="38681"/>
    <cellStyle name="Обычный 6 2 15 3" xfId="11977"/>
    <cellStyle name="Обычный 6 2 15 3 2" xfId="44021"/>
    <cellStyle name="Обычный 6 2 15 4" xfId="22658"/>
    <cellStyle name="Обычный 6 2 15 4 2" xfId="54701"/>
    <cellStyle name="Обычный 6 2 15 5" xfId="33341"/>
    <cellStyle name="Обычный 6 2 150" xfId="10792"/>
    <cellStyle name="Обычный 6 2 150 2" xfId="42836"/>
    <cellStyle name="Обычный 6 2 151" xfId="21473"/>
    <cellStyle name="Обычный 6 2 151 2" xfId="53516"/>
    <cellStyle name="Обычный 6 2 152" xfId="32156"/>
    <cellStyle name="Обычный 6 2 16" xfId="1321"/>
    <cellStyle name="Обычный 6 2 16 2" xfId="6663"/>
    <cellStyle name="Обычный 6 2 16 2 2" xfId="17343"/>
    <cellStyle name="Обычный 6 2 16 2 2 2" xfId="49387"/>
    <cellStyle name="Обычный 6 2 16 2 3" xfId="28024"/>
    <cellStyle name="Обычный 6 2 16 2 3 2" xfId="60067"/>
    <cellStyle name="Обычный 6 2 16 2 4" xfId="38707"/>
    <cellStyle name="Обычный 6 2 16 3" xfId="12003"/>
    <cellStyle name="Обычный 6 2 16 3 2" xfId="44047"/>
    <cellStyle name="Обычный 6 2 16 4" xfId="22684"/>
    <cellStyle name="Обычный 6 2 16 4 2" xfId="54727"/>
    <cellStyle name="Обычный 6 2 16 5" xfId="33367"/>
    <cellStyle name="Обычный 6 2 17" xfId="1347"/>
    <cellStyle name="Обычный 6 2 17 2" xfId="6689"/>
    <cellStyle name="Обычный 6 2 17 2 2" xfId="17369"/>
    <cellStyle name="Обычный 6 2 17 2 2 2" xfId="49413"/>
    <cellStyle name="Обычный 6 2 17 2 3" xfId="28050"/>
    <cellStyle name="Обычный 6 2 17 2 3 2" xfId="60093"/>
    <cellStyle name="Обычный 6 2 17 2 4" xfId="38733"/>
    <cellStyle name="Обычный 6 2 17 3" xfId="12029"/>
    <cellStyle name="Обычный 6 2 17 3 2" xfId="44073"/>
    <cellStyle name="Обычный 6 2 17 4" xfId="22710"/>
    <cellStyle name="Обычный 6 2 17 4 2" xfId="54753"/>
    <cellStyle name="Обычный 6 2 17 5" xfId="33393"/>
    <cellStyle name="Обычный 6 2 18" xfId="1373"/>
    <cellStyle name="Обычный 6 2 18 2" xfId="6715"/>
    <cellStyle name="Обычный 6 2 18 2 2" xfId="17395"/>
    <cellStyle name="Обычный 6 2 18 2 2 2" xfId="49439"/>
    <cellStyle name="Обычный 6 2 18 2 3" xfId="28076"/>
    <cellStyle name="Обычный 6 2 18 2 3 2" xfId="60119"/>
    <cellStyle name="Обычный 6 2 18 2 4" xfId="38759"/>
    <cellStyle name="Обычный 6 2 18 3" xfId="12055"/>
    <cellStyle name="Обычный 6 2 18 3 2" xfId="44099"/>
    <cellStyle name="Обычный 6 2 18 4" xfId="22736"/>
    <cellStyle name="Обычный 6 2 18 4 2" xfId="54779"/>
    <cellStyle name="Обычный 6 2 18 5" xfId="33419"/>
    <cellStyle name="Обычный 6 2 19" xfId="1399"/>
    <cellStyle name="Обычный 6 2 19 2" xfId="6741"/>
    <cellStyle name="Обычный 6 2 19 2 2" xfId="17421"/>
    <cellStyle name="Обычный 6 2 19 2 2 2" xfId="49465"/>
    <cellStyle name="Обычный 6 2 19 2 3" xfId="28102"/>
    <cellStyle name="Обычный 6 2 19 2 3 2" xfId="60145"/>
    <cellStyle name="Обычный 6 2 19 2 4" xfId="38785"/>
    <cellStyle name="Обычный 6 2 19 3" xfId="12081"/>
    <cellStyle name="Обычный 6 2 19 3 2" xfId="44125"/>
    <cellStyle name="Обычный 6 2 19 4" xfId="22762"/>
    <cellStyle name="Обычный 6 2 19 4 2" xfId="54805"/>
    <cellStyle name="Обычный 6 2 19 5" xfId="33445"/>
    <cellStyle name="Обычный 6 2 2" xfId="576"/>
    <cellStyle name="Обычный 6 2 2 2" xfId="5919"/>
    <cellStyle name="Обычный 6 2 2 2 2" xfId="16599"/>
    <cellStyle name="Обычный 6 2 2 2 2 2" xfId="48643"/>
    <cellStyle name="Обычный 6 2 2 2 3" xfId="27280"/>
    <cellStyle name="Обычный 6 2 2 2 3 2" xfId="59323"/>
    <cellStyle name="Обычный 6 2 2 2 4" xfId="37963"/>
    <cellStyle name="Обычный 6 2 2 3" xfId="11259"/>
    <cellStyle name="Обычный 6 2 2 3 2" xfId="43303"/>
    <cellStyle name="Обычный 6 2 2 4" xfId="21940"/>
    <cellStyle name="Обычный 6 2 2 4 2" xfId="53983"/>
    <cellStyle name="Обычный 6 2 2 5" xfId="32623"/>
    <cellStyle name="Обычный 6 2 20" xfId="1425"/>
    <cellStyle name="Обычный 6 2 20 2" xfId="6767"/>
    <cellStyle name="Обычный 6 2 20 2 2" xfId="17447"/>
    <cellStyle name="Обычный 6 2 20 2 2 2" xfId="49491"/>
    <cellStyle name="Обычный 6 2 20 2 3" xfId="28128"/>
    <cellStyle name="Обычный 6 2 20 2 3 2" xfId="60171"/>
    <cellStyle name="Обычный 6 2 20 2 4" xfId="38811"/>
    <cellStyle name="Обычный 6 2 20 3" xfId="12107"/>
    <cellStyle name="Обычный 6 2 20 3 2" xfId="44151"/>
    <cellStyle name="Обычный 6 2 20 4" xfId="22788"/>
    <cellStyle name="Обычный 6 2 20 4 2" xfId="54831"/>
    <cellStyle name="Обычный 6 2 20 5" xfId="33471"/>
    <cellStyle name="Обычный 6 2 21" xfId="1451"/>
    <cellStyle name="Обычный 6 2 21 2" xfId="6793"/>
    <cellStyle name="Обычный 6 2 21 2 2" xfId="17473"/>
    <cellStyle name="Обычный 6 2 21 2 2 2" xfId="49517"/>
    <cellStyle name="Обычный 6 2 21 2 3" xfId="28154"/>
    <cellStyle name="Обычный 6 2 21 2 3 2" xfId="60197"/>
    <cellStyle name="Обычный 6 2 21 2 4" xfId="38837"/>
    <cellStyle name="Обычный 6 2 21 3" xfId="12133"/>
    <cellStyle name="Обычный 6 2 21 3 2" xfId="44177"/>
    <cellStyle name="Обычный 6 2 21 4" xfId="22814"/>
    <cellStyle name="Обычный 6 2 21 4 2" xfId="54857"/>
    <cellStyle name="Обычный 6 2 21 5" xfId="33497"/>
    <cellStyle name="Обычный 6 2 22" xfId="1477"/>
    <cellStyle name="Обычный 6 2 22 2" xfId="6819"/>
    <cellStyle name="Обычный 6 2 22 2 2" xfId="17499"/>
    <cellStyle name="Обычный 6 2 22 2 2 2" xfId="49543"/>
    <cellStyle name="Обычный 6 2 22 2 3" xfId="28180"/>
    <cellStyle name="Обычный 6 2 22 2 3 2" xfId="60223"/>
    <cellStyle name="Обычный 6 2 22 2 4" xfId="38863"/>
    <cellStyle name="Обычный 6 2 22 3" xfId="12159"/>
    <cellStyle name="Обычный 6 2 22 3 2" xfId="44203"/>
    <cellStyle name="Обычный 6 2 22 4" xfId="22840"/>
    <cellStyle name="Обычный 6 2 22 4 2" xfId="54883"/>
    <cellStyle name="Обычный 6 2 22 5" xfId="33523"/>
    <cellStyle name="Обычный 6 2 23" xfId="1503"/>
    <cellStyle name="Обычный 6 2 23 2" xfId="6845"/>
    <cellStyle name="Обычный 6 2 23 2 2" xfId="17525"/>
    <cellStyle name="Обычный 6 2 23 2 2 2" xfId="49569"/>
    <cellStyle name="Обычный 6 2 23 2 3" xfId="28206"/>
    <cellStyle name="Обычный 6 2 23 2 3 2" xfId="60249"/>
    <cellStyle name="Обычный 6 2 23 2 4" xfId="38889"/>
    <cellStyle name="Обычный 6 2 23 3" xfId="12185"/>
    <cellStyle name="Обычный 6 2 23 3 2" xfId="44229"/>
    <cellStyle name="Обычный 6 2 23 4" xfId="22866"/>
    <cellStyle name="Обычный 6 2 23 4 2" xfId="54909"/>
    <cellStyle name="Обычный 6 2 23 5" xfId="33549"/>
    <cellStyle name="Обычный 6 2 24" xfId="1529"/>
    <cellStyle name="Обычный 6 2 24 2" xfId="6871"/>
    <cellStyle name="Обычный 6 2 24 2 2" xfId="17551"/>
    <cellStyle name="Обычный 6 2 24 2 2 2" xfId="49595"/>
    <cellStyle name="Обычный 6 2 24 2 3" xfId="28232"/>
    <cellStyle name="Обычный 6 2 24 2 3 2" xfId="60275"/>
    <cellStyle name="Обычный 6 2 24 2 4" xfId="38915"/>
    <cellStyle name="Обычный 6 2 24 3" xfId="12211"/>
    <cellStyle name="Обычный 6 2 24 3 2" xfId="44255"/>
    <cellStyle name="Обычный 6 2 24 4" xfId="22892"/>
    <cellStyle name="Обычный 6 2 24 4 2" xfId="54935"/>
    <cellStyle name="Обычный 6 2 24 5" xfId="33575"/>
    <cellStyle name="Обычный 6 2 25" xfId="1555"/>
    <cellStyle name="Обычный 6 2 25 2" xfId="6897"/>
    <cellStyle name="Обычный 6 2 25 2 2" xfId="17577"/>
    <cellStyle name="Обычный 6 2 25 2 2 2" xfId="49621"/>
    <cellStyle name="Обычный 6 2 25 2 3" xfId="28258"/>
    <cellStyle name="Обычный 6 2 25 2 3 2" xfId="60301"/>
    <cellStyle name="Обычный 6 2 25 2 4" xfId="38941"/>
    <cellStyle name="Обычный 6 2 25 3" xfId="12237"/>
    <cellStyle name="Обычный 6 2 25 3 2" xfId="44281"/>
    <cellStyle name="Обычный 6 2 25 4" xfId="22918"/>
    <cellStyle name="Обычный 6 2 25 4 2" xfId="54961"/>
    <cellStyle name="Обычный 6 2 25 5" xfId="33601"/>
    <cellStyle name="Обычный 6 2 26" xfId="1581"/>
    <cellStyle name="Обычный 6 2 26 2" xfId="6923"/>
    <cellStyle name="Обычный 6 2 26 2 2" xfId="17603"/>
    <cellStyle name="Обычный 6 2 26 2 2 2" xfId="49647"/>
    <cellStyle name="Обычный 6 2 26 2 3" xfId="28284"/>
    <cellStyle name="Обычный 6 2 26 2 3 2" xfId="60327"/>
    <cellStyle name="Обычный 6 2 26 2 4" xfId="38967"/>
    <cellStyle name="Обычный 6 2 26 3" xfId="12263"/>
    <cellStyle name="Обычный 6 2 26 3 2" xfId="44307"/>
    <cellStyle name="Обычный 6 2 26 4" xfId="22944"/>
    <cellStyle name="Обычный 6 2 26 4 2" xfId="54987"/>
    <cellStyle name="Обычный 6 2 26 5" xfId="33627"/>
    <cellStyle name="Обычный 6 2 27" xfId="1607"/>
    <cellStyle name="Обычный 6 2 27 2" xfId="6949"/>
    <cellStyle name="Обычный 6 2 27 2 2" xfId="17629"/>
    <cellStyle name="Обычный 6 2 27 2 2 2" xfId="49673"/>
    <cellStyle name="Обычный 6 2 27 2 3" xfId="28310"/>
    <cellStyle name="Обычный 6 2 27 2 3 2" xfId="60353"/>
    <cellStyle name="Обычный 6 2 27 2 4" xfId="38993"/>
    <cellStyle name="Обычный 6 2 27 3" xfId="12289"/>
    <cellStyle name="Обычный 6 2 27 3 2" xfId="44333"/>
    <cellStyle name="Обычный 6 2 27 4" xfId="22970"/>
    <cellStyle name="Обычный 6 2 27 4 2" xfId="55013"/>
    <cellStyle name="Обычный 6 2 27 5" xfId="33653"/>
    <cellStyle name="Обычный 6 2 28" xfId="1633"/>
    <cellStyle name="Обычный 6 2 28 2" xfId="6975"/>
    <cellStyle name="Обычный 6 2 28 2 2" xfId="17655"/>
    <cellStyle name="Обычный 6 2 28 2 2 2" xfId="49699"/>
    <cellStyle name="Обычный 6 2 28 2 3" xfId="28336"/>
    <cellStyle name="Обычный 6 2 28 2 3 2" xfId="60379"/>
    <cellStyle name="Обычный 6 2 28 2 4" xfId="39019"/>
    <cellStyle name="Обычный 6 2 28 3" xfId="12315"/>
    <cellStyle name="Обычный 6 2 28 3 2" xfId="44359"/>
    <cellStyle name="Обычный 6 2 28 4" xfId="22996"/>
    <cellStyle name="Обычный 6 2 28 4 2" xfId="55039"/>
    <cellStyle name="Обычный 6 2 28 5" xfId="33679"/>
    <cellStyle name="Обычный 6 2 29" xfId="1659"/>
    <cellStyle name="Обычный 6 2 29 2" xfId="7001"/>
    <cellStyle name="Обычный 6 2 29 2 2" xfId="17681"/>
    <cellStyle name="Обычный 6 2 29 2 2 2" xfId="49725"/>
    <cellStyle name="Обычный 6 2 29 2 3" xfId="28362"/>
    <cellStyle name="Обычный 6 2 29 2 3 2" xfId="60405"/>
    <cellStyle name="Обычный 6 2 29 2 4" xfId="39045"/>
    <cellStyle name="Обычный 6 2 29 3" xfId="12341"/>
    <cellStyle name="Обычный 6 2 29 3 2" xfId="44385"/>
    <cellStyle name="Обычный 6 2 29 4" xfId="23022"/>
    <cellStyle name="Обычный 6 2 29 4 2" xfId="55065"/>
    <cellStyle name="Обычный 6 2 29 5" xfId="33705"/>
    <cellStyle name="Обычный 6 2 3" xfId="986"/>
    <cellStyle name="Обычный 6 2 3 2" xfId="6329"/>
    <cellStyle name="Обычный 6 2 3 2 2" xfId="17009"/>
    <cellStyle name="Обычный 6 2 3 2 2 2" xfId="49053"/>
    <cellStyle name="Обычный 6 2 3 2 3" xfId="27690"/>
    <cellStyle name="Обычный 6 2 3 2 3 2" xfId="59733"/>
    <cellStyle name="Обычный 6 2 3 2 4" xfId="38373"/>
    <cellStyle name="Обычный 6 2 3 3" xfId="11669"/>
    <cellStyle name="Обычный 6 2 3 3 2" xfId="43713"/>
    <cellStyle name="Обычный 6 2 3 4" xfId="22350"/>
    <cellStyle name="Обычный 6 2 3 4 2" xfId="54393"/>
    <cellStyle name="Обычный 6 2 3 5" xfId="33033"/>
    <cellStyle name="Обычный 6 2 30" xfId="1685"/>
    <cellStyle name="Обычный 6 2 30 2" xfId="7027"/>
    <cellStyle name="Обычный 6 2 30 2 2" xfId="17707"/>
    <cellStyle name="Обычный 6 2 30 2 2 2" xfId="49751"/>
    <cellStyle name="Обычный 6 2 30 2 3" xfId="28388"/>
    <cellStyle name="Обычный 6 2 30 2 3 2" xfId="60431"/>
    <cellStyle name="Обычный 6 2 30 2 4" xfId="39071"/>
    <cellStyle name="Обычный 6 2 30 3" xfId="12367"/>
    <cellStyle name="Обычный 6 2 30 3 2" xfId="44411"/>
    <cellStyle name="Обычный 6 2 30 4" xfId="23048"/>
    <cellStyle name="Обычный 6 2 30 4 2" xfId="55091"/>
    <cellStyle name="Обычный 6 2 30 5" xfId="33731"/>
    <cellStyle name="Обычный 6 2 31" xfId="1711"/>
    <cellStyle name="Обычный 6 2 31 2" xfId="7053"/>
    <cellStyle name="Обычный 6 2 31 2 2" xfId="17733"/>
    <cellStyle name="Обычный 6 2 31 2 2 2" xfId="49777"/>
    <cellStyle name="Обычный 6 2 31 2 3" xfId="28414"/>
    <cellStyle name="Обычный 6 2 31 2 3 2" xfId="60457"/>
    <cellStyle name="Обычный 6 2 31 2 4" xfId="39097"/>
    <cellStyle name="Обычный 6 2 31 3" xfId="12393"/>
    <cellStyle name="Обычный 6 2 31 3 2" xfId="44437"/>
    <cellStyle name="Обычный 6 2 31 4" xfId="23074"/>
    <cellStyle name="Обычный 6 2 31 4 2" xfId="55117"/>
    <cellStyle name="Обычный 6 2 31 5" xfId="33757"/>
    <cellStyle name="Обычный 6 2 32" xfId="1737"/>
    <cellStyle name="Обычный 6 2 32 2" xfId="7079"/>
    <cellStyle name="Обычный 6 2 32 2 2" xfId="17759"/>
    <cellStyle name="Обычный 6 2 32 2 2 2" xfId="49803"/>
    <cellStyle name="Обычный 6 2 32 2 3" xfId="28440"/>
    <cellStyle name="Обычный 6 2 32 2 3 2" xfId="60483"/>
    <cellStyle name="Обычный 6 2 32 2 4" xfId="39123"/>
    <cellStyle name="Обычный 6 2 32 3" xfId="12419"/>
    <cellStyle name="Обычный 6 2 32 3 2" xfId="44463"/>
    <cellStyle name="Обычный 6 2 32 4" xfId="23100"/>
    <cellStyle name="Обычный 6 2 32 4 2" xfId="55143"/>
    <cellStyle name="Обычный 6 2 32 5" xfId="33783"/>
    <cellStyle name="Обычный 6 2 33" xfId="1763"/>
    <cellStyle name="Обычный 6 2 33 2" xfId="7105"/>
    <cellStyle name="Обычный 6 2 33 2 2" xfId="17785"/>
    <cellStyle name="Обычный 6 2 33 2 2 2" xfId="49829"/>
    <cellStyle name="Обычный 6 2 33 2 3" xfId="28466"/>
    <cellStyle name="Обычный 6 2 33 2 3 2" xfId="60509"/>
    <cellStyle name="Обычный 6 2 33 2 4" xfId="39149"/>
    <cellStyle name="Обычный 6 2 33 3" xfId="12445"/>
    <cellStyle name="Обычный 6 2 33 3 2" xfId="44489"/>
    <cellStyle name="Обычный 6 2 33 4" xfId="23126"/>
    <cellStyle name="Обычный 6 2 33 4 2" xfId="55169"/>
    <cellStyle name="Обычный 6 2 33 5" xfId="33809"/>
    <cellStyle name="Обычный 6 2 34" xfId="1789"/>
    <cellStyle name="Обычный 6 2 34 2" xfId="7131"/>
    <cellStyle name="Обычный 6 2 34 2 2" xfId="17811"/>
    <cellStyle name="Обычный 6 2 34 2 2 2" xfId="49855"/>
    <cellStyle name="Обычный 6 2 34 2 3" xfId="28492"/>
    <cellStyle name="Обычный 6 2 34 2 3 2" xfId="60535"/>
    <cellStyle name="Обычный 6 2 34 2 4" xfId="39175"/>
    <cellStyle name="Обычный 6 2 34 3" xfId="12471"/>
    <cellStyle name="Обычный 6 2 34 3 2" xfId="44515"/>
    <cellStyle name="Обычный 6 2 34 4" xfId="23152"/>
    <cellStyle name="Обычный 6 2 34 4 2" xfId="55195"/>
    <cellStyle name="Обычный 6 2 34 5" xfId="33835"/>
    <cellStyle name="Обычный 6 2 35" xfId="1815"/>
    <cellStyle name="Обычный 6 2 35 2" xfId="7157"/>
    <cellStyle name="Обычный 6 2 35 2 2" xfId="17837"/>
    <cellStyle name="Обычный 6 2 35 2 2 2" xfId="49881"/>
    <cellStyle name="Обычный 6 2 35 2 3" xfId="28518"/>
    <cellStyle name="Обычный 6 2 35 2 3 2" xfId="60561"/>
    <cellStyle name="Обычный 6 2 35 2 4" xfId="39201"/>
    <cellStyle name="Обычный 6 2 35 3" xfId="12497"/>
    <cellStyle name="Обычный 6 2 35 3 2" xfId="44541"/>
    <cellStyle name="Обычный 6 2 35 4" xfId="23178"/>
    <cellStyle name="Обычный 6 2 35 4 2" xfId="55221"/>
    <cellStyle name="Обычный 6 2 35 5" xfId="33861"/>
    <cellStyle name="Обычный 6 2 36" xfId="1841"/>
    <cellStyle name="Обычный 6 2 36 2" xfId="7183"/>
    <cellStyle name="Обычный 6 2 36 2 2" xfId="17863"/>
    <cellStyle name="Обычный 6 2 36 2 2 2" xfId="49907"/>
    <cellStyle name="Обычный 6 2 36 2 3" xfId="28544"/>
    <cellStyle name="Обычный 6 2 36 2 3 2" xfId="60587"/>
    <cellStyle name="Обычный 6 2 36 2 4" xfId="39227"/>
    <cellStyle name="Обычный 6 2 36 3" xfId="12523"/>
    <cellStyle name="Обычный 6 2 36 3 2" xfId="44567"/>
    <cellStyle name="Обычный 6 2 36 4" xfId="23204"/>
    <cellStyle name="Обычный 6 2 36 4 2" xfId="55247"/>
    <cellStyle name="Обычный 6 2 36 5" xfId="33887"/>
    <cellStyle name="Обычный 6 2 37" xfId="1867"/>
    <cellStyle name="Обычный 6 2 37 2" xfId="7209"/>
    <cellStyle name="Обычный 6 2 37 2 2" xfId="17889"/>
    <cellStyle name="Обычный 6 2 37 2 2 2" xfId="49933"/>
    <cellStyle name="Обычный 6 2 37 2 3" xfId="28570"/>
    <cellStyle name="Обычный 6 2 37 2 3 2" xfId="60613"/>
    <cellStyle name="Обычный 6 2 37 2 4" xfId="39253"/>
    <cellStyle name="Обычный 6 2 37 3" xfId="12549"/>
    <cellStyle name="Обычный 6 2 37 3 2" xfId="44593"/>
    <cellStyle name="Обычный 6 2 37 4" xfId="23230"/>
    <cellStyle name="Обычный 6 2 37 4 2" xfId="55273"/>
    <cellStyle name="Обычный 6 2 37 5" xfId="33913"/>
    <cellStyle name="Обычный 6 2 38" xfId="1893"/>
    <cellStyle name="Обычный 6 2 38 2" xfId="7235"/>
    <cellStyle name="Обычный 6 2 38 2 2" xfId="17915"/>
    <cellStyle name="Обычный 6 2 38 2 2 2" xfId="49959"/>
    <cellStyle name="Обычный 6 2 38 2 3" xfId="28596"/>
    <cellStyle name="Обычный 6 2 38 2 3 2" xfId="60639"/>
    <cellStyle name="Обычный 6 2 38 2 4" xfId="39279"/>
    <cellStyle name="Обычный 6 2 38 3" xfId="12575"/>
    <cellStyle name="Обычный 6 2 38 3 2" xfId="44619"/>
    <cellStyle name="Обычный 6 2 38 4" xfId="23256"/>
    <cellStyle name="Обычный 6 2 38 4 2" xfId="55299"/>
    <cellStyle name="Обычный 6 2 38 5" xfId="33939"/>
    <cellStyle name="Обычный 6 2 39" xfId="1919"/>
    <cellStyle name="Обычный 6 2 39 2" xfId="7261"/>
    <cellStyle name="Обычный 6 2 39 2 2" xfId="17941"/>
    <cellStyle name="Обычный 6 2 39 2 2 2" xfId="49985"/>
    <cellStyle name="Обычный 6 2 39 2 3" xfId="28622"/>
    <cellStyle name="Обычный 6 2 39 2 3 2" xfId="60665"/>
    <cellStyle name="Обычный 6 2 39 2 4" xfId="39305"/>
    <cellStyle name="Обычный 6 2 39 3" xfId="12601"/>
    <cellStyle name="Обычный 6 2 39 3 2" xfId="44645"/>
    <cellStyle name="Обычный 6 2 39 4" xfId="23282"/>
    <cellStyle name="Обычный 6 2 39 4 2" xfId="55325"/>
    <cellStyle name="Обычный 6 2 39 5" xfId="33965"/>
    <cellStyle name="Обычный 6 2 4" xfId="1010"/>
    <cellStyle name="Обычный 6 2 4 2" xfId="6353"/>
    <cellStyle name="Обычный 6 2 4 2 2" xfId="17033"/>
    <cellStyle name="Обычный 6 2 4 2 2 2" xfId="49077"/>
    <cellStyle name="Обычный 6 2 4 2 3" xfId="27714"/>
    <cellStyle name="Обычный 6 2 4 2 3 2" xfId="59757"/>
    <cellStyle name="Обычный 6 2 4 2 4" xfId="38397"/>
    <cellStyle name="Обычный 6 2 4 3" xfId="11693"/>
    <cellStyle name="Обычный 6 2 4 3 2" xfId="43737"/>
    <cellStyle name="Обычный 6 2 4 4" xfId="22374"/>
    <cellStyle name="Обычный 6 2 4 4 2" xfId="54417"/>
    <cellStyle name="Обычный 6 2 4 5" xfId="33057"/>
    <cellStyle name="Обычный 6 2 40" xfId="1947"/>
    <cellStyle name="Обычный 6 2 40 2" xfId="7289"/>
    <cellStyle name="Обычный 6 2 40 2 2" xfId="17969"/>
    <cellStyle name="Обычный 6 2 40 2 2 2" xfId="50013"/>
    <cellStyle name="Обычный 6 2 40 2 3" xfId="28650"/>
    <cellStyle name="Обычный 6 2 40 2 3 2" xfId="60693"/>
    <cellStyle name="Обычный 6 2 40 2 4" xfId="39333"/>
    <cellStyle name="Обычный 6 2 40 3" xfId="12629"/>
    <cellStyle name="Обычный 6 2 40 3 2" xfId="44673"/>
    <cellStyle name="Обычный 6 2 40 4" xfId="23310"/>
    <cellStyle name="Обычный 6 2 40 4 2" xfId="55353"/>
    <cellStyle name="Обычный 6 2 40 5" xfId="33993"/>
    <cellStyle name="Обычный 6 2 41" xfId="1975"/>
    <cellStyle name="Обычный 6 2 41 2" xfId="7317"/>
    <cellStyle name="Обычный 6 2 41 2 2" xfId="17997"/>
    <cellStyle name="Обычный 6 2 41 2 2 2" xfId="50041"/>
    <cellStyle name="Обычный 6 2 41 2 3" xfId="28678"/>
    <cellStyle name="Обычный 6 2 41 2 3 2" xfId="60721"/>
    <cellStyle name="Обычный 6 2 41 2 4" xfId="39361"/>
    <cellStyle name="Обычный 6 2 41 3" xfId="12657"/>
    <cellStyle name="Обычный 6 2 41 3 2" xfId="44701"/>
    <cellStyle name="Обычный 6 2 41 4" xfId="23338"/>
    <cellStyle name="Обычный 6 2 41 4 2" xfId="55381"/>
    <cellStyle name="Обычный 6 2 41 5" xfId="34021"/>
    <cellStyle name="Обычный 6 2 42" xfId="2003"/>
    <cellStyle name="Обычный 6 2 42 2" xfId="7345"/>
    <cellStyle name="Обычный 6 2 42 2 2" xfId="18025"/>
    <cellStyle name="Обычный 6 2 42 2 2 2" xfId="50069"/>
    <cellStyle name="Обычный 6 2 42 2 3" xfId="28706"/>
    <cellStyle name="Обычный 6 2 42 2 3 2" xfId="60749"/>
    <cellStyle name="Обычный 6 2 42 2 4" xfId="39389"/>
    <cellStyle name="Обычный 6 2 42 3" xfId="12685"/>
    <cellStyle name="Обычный 6 2 42 3 2" xfId="44729"/>
    <cellStyle name="Обычный 6 2 42 4" xfId="23366"/>
    <cellStyle name="Обычный 6 2 42 4 2" xfId="55409"/>
    <cellStyle name="Обычный 6 2 42 5" xfId="34049"/>
    <cellStyle name="Обычный 6 2 43" xfId="2031"/>
    <cellStyle name="Обычный 6 2 43 2" xfId="7373"/>
    <cellStyle name="Обычный 6 2 43 2 2" xfId="18053"/>
    <cellStyle name="Обычный 6 2 43 2 2 2" xfId="50097"/>
    <cellStyle name="Обычный 6 2 43 2 3" xfId="28734"/>
    <cellStyle name="Обычный 6 2 43 2 3 2" xfId="60777"/>
    <cellStyle name="Обычный 6 2 43 2 4" xfId="39417"/>
    <cellStyle name="Обычный 6 2 43 3" xfId="12713"/>
    <cellStyle name="Обычный 6 2 43 3 2" xfId="44757"/>
    <cellStyle name="Обычный 6 2 43 4" xfId="23394"/>
    <cellStyle name="Обычный 6 2 43 4 2" xfId="55437"/>
    <cellStyle name="Обычный 6 2 43 5" xfId="34077"/>
    <cellStyle name="Обычный 6 2 44" xfId="2059"/>
    <cellStyle name="Обычный 6 2 44 2" xfId="7401"/>
    <cellStyle name="Обычный 6 2 44 2 2" xfId="18081"/>
    <cellStyle name="Обычный 6 2 44 2 2 2" xfId="50125"/>
    <cellStyle name="Обычный 6 2 44 2 3" xfId="28762"/>
    <cellStyle name="Обычный 6 2 44 2 3 2" xfId="60805"/>
    <cellStyle name="Обычный 6 2 44 2 4" xfId="39445"/>
    <cellStyle name="Обычный 6 2 44 3" xfId="12741"/>
    <cellStyle name="Обычный 6 2 44 3 2" xfId="44785"/>
    <cellStyle name="Обычный 6 2 44 4" xfId="23422"/>
    <cellStyle name="Обычный 6 2 44 4 2" xfId="55465"/>
    <cellStyle name="Обычный 6 2 44 5" xfId="34105"/>
    <cellStyle name="Обычный 6 2 45" xfId="2087"/>
    <cellStyle name="Обычный 6 2 45 2" xfId="7429"/>
    <cellStyle name="Обычный 6 2 45 2 2" xfId="18109"/>
    <cellStyle name="Обычный 6 2 45 2 2 2" xfId="50153"/>
    <cellStyle name="Обычный 6 2 45 2 3" xfId="28790"/>
    <cellStyle name="Обычный 6 2 45 2 3 2" xfId="60833"/>
    <cellStyle name="Обычный 6 2 45 2 4" xfId="39473"/>
    <cellStyle name="Обычный 6 2 45 3" xfId="12769"/>
    <cellStyle name="Обычный 6 2 45 3 2" xfId="44813"/>
    <cellStyle name="Обычный 6 2 45 4" xfId="23450"/>
    <cellStyle name="Обычный 6 2 45 4 2" xfId="55493"/>
    <cellStyle name="Обычный 6 2 45 5" xfId="34133"/>
    <cellStyle name="Обычный 6 2 46" xfId="2115"/>
    <cellStyle name="Обычный 6 2 46 2" xfId="7457"/>
    <cellStyle name="Обычный 6 2 46 2 2" xfId="18137"/>
    <cellStyle name="Обычный 6 2 46 2 2 2" xfId="50181"/>
    <cellStyle name="Обычный 6 2 46 2 3" xfId="28818"/>
    <cellStyle name="Обычный 6 2 46 2 3 2" xfId="60861"/>
    <cellStyle name="Обычный 6 2 46 2 4" xfId="39501"/>
    <cellStyle name="Обычный 6 2 46 3" xfId="12797"/>
    <cellStyle name="Обычный 6 2 46 3 2" xfId="44841"/>
    <cellStyle name="Обычный 6 2 46 4" xfId="23478"/>
    <cellStyle name="Обычный 6 2 46 4 2" xfId="55521"/>
    <cellStyle name="Обычный 6 2 46 5" xfId="34161"/>
    <cellStyle name="Обычный 6 2 47" xfId="2145"/>
    <cellStyle name="Обычный 6 2 47 2" xfId="7487"/>
    <cellStyle name="Обычный 6 2 47 2 2" xfId="18167"/>
    <cellStyle name="Обычный 6 2 47 2 2 2" xfId="50211"/>
    <cellStyle name="Обычный 6 2 47 2 3" xfId="28848"/>
    <cellStyle name="Обычный 6 2 47 2 3 2" xfId="60891"/>
    <cellStyle name="Обычный 6 2 47 2 4" xfId="39531"/>
    <cellStyle name="Обычный 6 2 47 3" xfId="12827"/>
    <cellStyle name="Обычный 6 2 47 3 2" xfId="44871"/>
    <cellStyle name="Обычный 6 2 47 4" xfId="23508"/>
    <cellStyle name="Обычный 6 2 47 4 2" xfId="55551"/>
    <cellStyle name="Обычный 6 2 47 5" xfId="34191"/>
    <cellStyle name="Обычный 6 2 48" xfId="2175"/>
    <cellStyle name="Обычный 6 2 48 2" xfId="7517"/>
    <cellStyle name="Обычный 6 2 48 2 2" xfId="18197"/>
    <cellStyle name="Обычный 6 2 48 2 2 2" xfId="50241"/>
    <cellStyle name="Обычный 6 2 48 2 3" xfId="28878"/>
    <cellStyle name="Обычный 6 2 48 2 3 2" xfId="60921"/>
    <cellStyle name="Обычный 6 2 48 2 4" xfId="39561"/>
    <cellStyle name="Обычный 6 2 48 3" xfId="12857"/>
    <cellStyle name="Обычный 6 2 48 3 2" xfId="44901"/>
    <cellStyle name="Обычный 6 2 48 4" xfId="23538"/>
    <cellStyle name="Обычный 6 2 48 4 2" xfId="55581"/>
    <cellStyle name="Обычный 6 2 48 5" xfId="34221"/>
    <cellStyle name="Обычный 6 2 49" xfId="2205"/>
    <cellStyle name="Обычный 6 2 49 2" xfId="7547"/>
    <cellStyle name="Обычный 6 2 49 2 2" xfId="18227"/>
    <cellStyle name="Обычный 6 2 49 2 2 2" xfId="50271"/>
    <cellStyle name="Обычный 6 2 49 2 3" xfId="28908"/>
    <cellStyle name="Обычный 6 2 49 2 3 2" xfId="60951"/>
    <cellStyle name="Обычный 6 2 49 2 4" xfId="39591"/>
    <cellStyle name="Обычный 6 2 49 3" xfId="12887"/>
    <cellStyle name="Обычный 6 2 49 3 2" xfId="44931"/>
    <cellStyle name="Обычный 6 2 49 4" xfId="23568"/>
    <cellStyle name="Обычный 6 2 49 4 2" xfId="55611"/>
    <cellStyle name="Обычный 6 2 49 5" xfId="34251"/>
    <cellStyle name="Обычный 6 2 5" xfId="1034"/>
    <cellStyle name="Обычный 6 2 5 2" xfId="6377"/>
    <cellStyle name="Обычный 6 2 5 2 2" xfId="17057"/>
    <cellStyle name="Обычный 6 2 5 2 2 2" xfId="49101"/>
    <cellStyle name="Обычный 6 2 5 2 3" xfId="27738"/>
    <cellStyle name="Обычный 6 2 5 2 3 2" xfId="59781"/>
    <cellStyle name="Обычный 6 2 5 2 4" xfId="38421"/>
    <cellStyle name="Обычный 6 2 5 3" xfId="11717"/>
    <cellStyle name="Обычный 6 2 5 3 2" xfId="43761"/>
    <cellStyle name="Обычный 6 2 5 4" xfId="22398"/>
    <cellStyle name="Обычный 6 2 5 4 2" xfId="54441"/>
    <cellStyle name="Обычный 6 2 5 5" xfId="33081"/>
    <cellStyle name="Обычный 6 2 50" xfId="2235"/>
    <cellStyle name="Обычный 6 2 50 2" xfId="7577"/>
    <cellStyle name="Обычный 6 2 50 2 2" xfId="18257"/>
    <cellStyle name="Обычный 6 2 50 2 2 2" xfId="50301"/>
    <cellStyle name="Обычный 6 2 50 2 3" xfId="28938"/>
    <cellStyle name="Обычный 6 2 50 2 3 2" xfId="60981"/>
    <cellStyle name="Обычный 6 2 50 2 4" xfId="39621"/>
    <cellStyle name="Обычный 6 2 50 3" xfId="12917"/>
    <cellStyle name="Обычный 6 2 50 3 2" xfId="44961"/>
    <cellStyle name="Обычный 6 2 50 4" xfId="23598"/>
    <cellStyle name="Обычный 6 2 50 4 2" xfId="55641"/>
    <cellStyle name="Обычный 6 2 50 5" xfId="34281"/>
    <cellStyle name="Обычный 6 2 51" xfId="2265"/>
    <cellStyle name="Обычный 6 2 51 2" xfId="7607"/>
    <cellStyle name="Обычный 6 2 51 2 2" xfId="18287"/>
    <cellStyle name="Обычный 6 2 51 2 2 2" xfId="50331"/>
    <cellStyle name="Обычный 6 2 51 2 3" xfId="28968"/>
    <cellStyle name="Обычный 6 2 51 2 3 2" xfId="61011"/>
    <cellStyle name="Обычный 6 2 51 2 4" xfId="39651"/>
    <cellStyle name="Обычный 6 2 51 3" xfId="12947"/>
    <cellStyle name="Обычный 6 2 51 3 2" xfId="44991"/>
    <cellStyle name="Обычный 6 2 51 4" xfId="23628"/>
    <cellStyle name="Обычный 6 2 51 4 2" xfId="55671"/>
    <cellStyle name="Обычный 6 2 51 5" xfId="34311"/>
    <cellStyle name="Обычный 6 2 52" xfId="2295"/>
    <cellStyle name="Обычный 6 2 52 2" xfId="7637"/>
    <cellStyle name="Обычный 6 2 52 2 2" xfId="18317"/>
    <cellStyle name="Обычный 6 2 52 2 2 2" xfId="50361"/>
    <cellStyle name="Обычный 6 2 52 2 3" xfId="28998"/>
    <cellStyle name="Обычный 6 2 52 2 3 2" xfId="61041"/>
    <cellStyle name="Обычный 6 2 52 2 4" xfId="39681"/>
    <cellStyle name="Обычный 6 2 52 3" xfId="12977"/>
    <cellStyle name="Обычный 6 2 52 3 2" xfId="45021"/>
    <cellStyle name="Обычный 6 2 52 4" xfId="23658"/>
    <cellStyle name="Обычный 6 2 52 4 2" xfId="55701"/>
    <cellStyle name="Обычный 6 2 52 5" xfId="34341"/>
    <cellStyle name="Обычный 6 2 53" xfId="2325"/>
    <cellStyle name="Обычный 6 2 53 2" xfId="7667"/>
    <cellStyle name="Обычный 6 2 53 2 2" xfId="18347"/>
    <cellStyle name="Обычный 6 2 53 2 2 2" xfId="50391"/>
    <cellStyle name="Обычный 6 2 53 2 3" xfId="29028"/>
    <cellStyle name="Обычный 6 2 53 2 3 2" xfId="61071"/>
    <cellStyle name="Обычный 6 2 53 2 4" xfId="39711"/>
    <cellStyle name="Обычный 6 2 53 3" xfId="13007"/>
    <cellStyle name="Обычный 6 2 53 3 2" xfId="45051"/>
    <cellStyle name="Обычный 6 2 53 4" xfId="23688"/>
    <cellStyle name="Обычный 6 2 53 4 2" xfId="55731"/>
    <cellStyle name="Обычный 6 2 53 5" xfId="34371"/>
    <cellStyle name="Обычный 6 2 54" xfId="2355"/>
    <cellStyle name="Обычный 6 2 54 2" xfId="7697"/>
    <cellStyle name="Обычный 6 2 54 2 2" xfId="18377"/>
    <cellStyle name="Обычный 6 2 54 2 2 2" xfId="50421"/>
    <cellStyle name="Обычный 6 2 54 2 3" xfId="29058"/>
    <cellStyle name="Обычный 6 2 54 2 3 2" xfId="61101"/>
    <cellStyle name="Обычный 6 2 54 2 4" xfId="39741"/>
    <cellStyle name="Обычный 6 2 54 3" xfId="13037"/>
    <cellStyle name="Обычный 6 2 54 3 2" xfId="45081"/>
    <cellStyle name="Обычный 6 2 54 4" xfId="23718"/>
    <cellStyle name="Обычный 6 2 54 4 2" xfId="55761"/>
    <cellStyle name="Обычный 6 2 54 5" xfId="34401"/>
    <cellStyle name="Обычный 6 2 55" xfId="2385"/>
    <cellStyle name="Обычный 6 2 55 2" xfId="7727"/>
    <cellStyle name="Обычный 6 2 55 2 2" xfId="18407"/>
    <cellStyle name="Обычный 6 2 55 2 2 2" xfId="50451"/>
    <cellStyle name="Обычный 6 2 55 2 3" xfId="29088"/>
    <cellStyle name="Обычный 6 2 55 2 3 2" xfId="61131"/>
    <cellStyle name="Обычный 6 2 55 2 4" xfId="39771"/>
    <cellStyle name="Обычный 6 2 55 3" xfId="13067"/>
    <cellStyle name="Обычный 6 2 55 3 2" xfId="45111"/>
    <cellStyle name="Обычный 6 2 55 4" xfId="23748"/>
    <cellStyle name="Обычный 6 2 55 4 2" xfId="55791"/>
    <cellStyle name="Обычный 6 2 55 5" xfId="34431"/>
    <cellStyle name="Обычный 6 2 56" xfId="2415"/>
    <cellStyle name="Обычный 6 2 56 2" xfId="7757"/>
    <cellStyle name="Обычный 6 2 56 2 2" xfId="18437"/>
    <cellStyle name="Обычный 6 2 56 2 2 2" xfId="50481"/>
    <cellStyle name="Обычный 6 2 56 2 3" xfId="29118"/>
    <cellStyle name="Обычный 6 2 56 2 3 2" xfId="61161"/>
    <cellStyle name="Обычный 6 2 56 2 4" xfId="39801"/>
    <cellStyle name="Обычный 6 2 56 3" xfId="13097"/>
    <cellStyle name="Обычный 6 2 56 3 2" xfId="45141"/>
    <cellStyle name="Обычный 6 2 56 4" xfId="23778"/>
    <cellStyle name="Обычный 6 2 56 4 2" xfId="55821"/>
    <cellStyle name="Обычный 6 2 56 5" xfId="34461"/>
    <cellStyle name="Обычный 6 2 57" xfId="2445"/>
    <cellStyle name="Обычный 6 2 57 2" xfId="7787"/>
    <cellStyle name="Обычный 6 2 57 2 2" xfId="18467"/>
    <cellStyle name="Обычный 6 2 57 2 2 2" xfId="50511"/>
    <cellStyle name="Обычный 6 2 57 2 3" xfId="29148"/>
    <cellStyle name="Обычный 6 2 57 2 3 2" xfId="61191"/>
    <cellStyle name="Обычный 6 2 57 2 4" xfId="39831"/>
    <cellStyle name="Обычный 6 2 57 3" xfId="13127"/>
    <cellStyle name="Обычный 6 2 57 3 2" xfId="45171"/>
    <cellStyle name="Обычный 6 2 57 4" xfId="23808"/>
    <cellStyle name="Обычный 6 2 57 4 2" xfId="55851"/>
    <cellStyle name="Обычный 6 2 57 5" xfId="34491"/>
    <cellStyle name="Обычный 6 2 58" xfId="2475"/>
    <cellStyle name="Обычный 6 2 58 2" xfId="7817"/>
    <cellStyle name="Обычный 6 2 58 2 2" xfId="18497"/>
    <cellStyle name="Обычный 6 2 58 2 2 2" xfId="50541"/>
    <cellStyle name="Обычный 6 2 58 2 3" xfId="29178"/>
    <cellStyle name="Обычный 6 2 58 2 3 2" xfId="61221"/>
    <cellStyle name="Обычный 6 2 58 2 4" xfId="39861"/>
    <cellStyle name="Обычный 6 2 58 3" xfId="13157"/>
    <cellStyle name="Обычный 6 2 58 3 2" xfId="45201"/>
    <cellStyle name="Обычный 6 2 58 4" xfId="23838"/>
    <cellStyle name="Обычный 6 2 58 4 2" xfId="55881"/>
    <cellStyle name="Обычный 6 2 58 5" xfId="34521"/>
    <cellStyle name="Обычный 6 2 59" xfId="2507"/>
    <cellStyle name="Обычный 6 2 59 2" xfId="7849"/>
    <cellStyle name="Обычный 6 2 59 2 2" xfId="18529"/>
    <cellStyle name="Обычный 6 2 59 2 2 2" xfId="50573"/>
    <cellStyle name="Обычный 6 2 59 2 3" xfId="29210"/>
    <cellStyle name="Обычный 6 2 59 2 3 2" xfId="61253"/>
    <cellStyle name="Обычный 6 2 59 2 4" xfId="39893"/>
    <cellStyle name="Обычный 6 2 59 3" xfId="13189"/>
    <cellStyle name="Обычный 6 2 59 3 2" xfId="45233"/>
    <cellStyle name="Обычный 6 2 59 4" xfId="23870"/>
    <cellStyle name="Обычный 6 2 59 4 2" xfId="55913"/>
    <cellStyle name="Обычный 6 2 59 5" xfId="34553"/>
    <cellStyle name="Обычный 6 2 6" xfId="1060"/>
    <cellStyle name="Обычный 6 2 6 2" xfId="6403"/>
    <cellStyle name="Обычный 6 2 6 2 2" xfId="17083"/>
    <cellStyle name="Обычный 6 2 6 2 2 2" xfId="49127"/>
    <cellStyle name="Обычный 6 2 6 2 3" xfId="27764"/>
    <cellStyle name="Обычный 6 2 6 2 3 2" xfId="59807"/>
    <cellStyle name="Обычный 6 2 6 2 4" xfId="38447"/>
    <cellStyle name="Обычный 6 2 6 3" xfId="11743"/>
    <cellStyle name="Обычный 6 2 6 3 2" xfId="43787"/>
    <cellStyle name="Обычный 6 2 6 4" xfId="22424"/>
    <cellStyle name="Обычный 6 2 6 4 2" xfId="54467"/>
    <cellStyle name="Обычный 6 2 6 5" xfId="33107"/>
    <cellStyle name="Обычный 6 2 60" xfId="2541"/>
    <cellStyle name="Обычный 6 2 60 2" xfId="7883"/>
    <cellStyle name="Обычный 6 2 60 2 2" xfId="18563"/>
    <cellStyle name="Обычный 6 2 60 2 2 2" xfId="50607"/>
    <cellStyle name="Обычный 6 2 60 2 3" xfId="29244"/>
    <cellStyle name="Обычный 6 2 60 2 3 2" xfId="61287"/>
    <cellStyle name="Обычный 6 2 60 2 4" xfId="39927"/>
    <cellStyle name="Обычный 6 2 60 3" xfId="13223"/>
    <cellStyle name="Обычный 6 2 60 3 2" xfId="45267"/>
    <cellStyle name="Обычный 6 2 60 4" xfId="23904"/>
    <cellStyle name="Обычный 6 2 60 4 2" xfId="55947"/>
    <cellStyle name="Обычный 6 2 60 5" xfId="34587"/>
    <cellStyle name="Обычный 6 2 61" xfId="2573"/>
    <cellStyle name="Обычный 6 2 61 2" xfId="7915"/>
    <cellStyle name="Обычный 6 2 61 2 2" xfId="18595"/>
    <cellStyle name="Обычный 6 2 61 2 2 2" xfId="50639"/>
    <cellStyle name="Обычный 6 2 61 2 3" xfId="29276"/>
    <cellStyle name="Обычный 6 2 61 2 3 2" xfId="61319"/>
    <cellStyle name="Обычный 6 2 61 2 4" xfId="39959"/>
    <cellStyle name="Обычный 6 2 61 3" xfId="13255"/>
    <cellStyle name="Обычный 6 2 61 3 2" xfId="45299"/>
    <cellStyle name="Обычный 6 2 61 4" xfId="23936"/>
    <cellStyle name="Обычный 6 2 61 4 2" xfId="55979"/>
    <cellStyle name="Обычный 6 2 61 5" xfId="34619"/>
    <cellStyle name="Обычный 6 2 62" xfId="2605"/>
    <cellStyle name="Обычный 6 2 62 2" xfId="7947"/>
    <cellStyle name="Обычный 6 2 62 2 2" xfId="18627"/>
    <cellStyle name="Обычный 6 2 62 2 2 2" xfId="50671"/>
    <cellStyle name="Обычный 6 2 62 2 3" xfId="29308"/>
    <cellStyle name="Обычный 6 2 62 2 3 2" xfId="61351"/>
    <cellStyle name="Обычный 6 2 62 2 4" xfId="39991"/>
    <cellStyle name="Обычный 6 2 62 3" xfId="13287"/>
    <cellStyle name="Обычный 6 2 62 3 2" xfId="45331"/>
    <cellStyle name="Обычный 6 2 62 4" xfId="23968"/>
    <cellStyle name="Обычный 6 2 62 4 2" xfId="56011"/>
    <cellStyle name="Обычный 6 2 62 5" xfId="34651"/>
    <cellStyle name="Обычный 6 2 63" xfId="2637"/>
    <cellStyle name="Обычный 6 2 63 2" xfId="7979"/>
    <cellStyle name="Обычный 6 2 63 2 2" xfId="18659"/>
    <cellStyle name="Обычный 6 2 63 2 2 2" xfId="50703"/>
    <cellStyle name="Обычный 6 2 63 2 3" xfId="29340"/>
    <cellStyle name="Обычный 6 2 63 2 3 2" xfId="61383"/>
    <cellStyle name="Обычный 6 2 63 2 4" xfId="40023"/>
    <cellStyle name="Обычный 6 2 63 3" xfId="13319"/>
    <cellStyle name="Обычный 6 2 63 3 2" xfId="45363"/>
    <cellStyle name="Обычный 6 2 63 4" xfId="24000"/>
    <cellStyle name="Обычный 6 2 63 4 2" xfId="56043"/>
    <cellStyle name="Обычный 6 2 63 5" xfId="34683"/>
    <cellStyle name="Обычный 6 2 64" xfId="2669"/>
    <cellStyle name="Обычный 6 2 64 2" xfId="8011"/>
    <cellStyle name="Обычный 6 2 64 2 2" xfId="18691"/>
    <cellStyle name="Обычный 6 2 64 2 2 2" xfId="50735"/>
    <cellStyle name="Обычный 6 2 64 2 3" xfId="29372"/>
    <cellStyle name="Обычный 6 2 64 2 3 2" xfId="61415"/>
    <cellStyle name="Обычный 6 2 64 2 4" xfId="40055"/>
    <cellStyle name="Обычный 6 2 64 3" xfId="13351"/>
    <cellStyle name="Обычный 6 2 64 3 2" xfId="45395"/>
    <cellStyle name="Обычный 6 2 64 4" xfId="24032"/>
    <cellStyle name="Обычный 6 2 64 4 2" xfId="56075"/>
    <cellStyle name="Обычный 6 2 64 5" xfId="34715"/>
    <cellStyle name="Обычный 6 2 65" xfId="2701"/>
    <cellStyle name="Обычный 6 2 65 2" xfId="8043"/>
    <cellStyle name="Обычный 6 2 65 2 2" xfId="18723"/>
    <cellStyle name="Обычный 6 2 65 2 2 2" xfId="50767"/>
    <cellStyle name="Обычный 6 2 65 2 3" xfId="29404"/>
    <cellStyle name="Обычный 6 2 65 2 3 2" xfId="61447"/>
    <cellStyle name="Обычный 6 2 65 2 4" xfId="40087"/>
    <cellStyle name="Обычный 6 2 65 3" xfId="13383"/>
    <cellStyle name="Обычный 6 2 65 3 2" xfId="45427"/>
    <cellStyle name="Обычный 6 2 65 4" xfId="24064"/>
    <cellStyle name="Обычный 6 2 65 4 2" xfId="56107"/>
    <cellStyle name="Обычный 6 2 65 5" xfId="34747"/>
    <cellStyle name="Обычный 6 2 66" xfId="2733"/>
    <cellStyle name="Обычный 6 2 66 2" xfId="8075"/>
    <cellStyle name="Обычный 6 2 66 2 2" xfId="18755"/>
    <cellStyle name="Обычный 6 2 66 2 2 2" xfId="50799"/>
    <cellStyle name="Обычный 6 2 66 2 3" xfId="29436"/>
    <cellStyle name="Обычный 6 2 66 2 3 2" xfId="61479"/>
    <cellStyle name="Обычный 6 2 66 2 4" xfId="40119"/>
    <cellStyle name="Обычный 6 2 66 3" xfId="13415"/>
    <cellStyle name="Обычный 6 2 66 3 2" xfId="45459"/>
    <cellStyle name="Обычный 6 2 66 4" xfId="24096"/>
    <cellStyle name="Обычный 6 2 66 4 2" xfId="56139"/>
    <cellStyle name="Обычный 6 2 66 5" xfId="34779"/>
    <cellStyle name="Обычный 6 2 67" xfId="2767"/>
    <cellStyle name="Обычный 6 2 67 2" xfId="8109"/>
    <cellStyle name="Обычный 6 2 67 2 2" xfId="18789"/>
    <cellStyle name="Обычный 6 2 67 2 2 2" xfId="50833"/>
    <cellStyle name="Обычный 6 2 67 2 3" xfId="29470"/>
    <cellStyle name="Обычный 6 2 67 2 3 2" xfId="61513"/>
    <cellStyle name="Обычный 6 2 67 2 4" xfId="40153"/>
    <cellStyle name="Обычный 6 2 67 3" xfId="13449"/>
    <cellStyle name="Обычный 6 2 67 3 2" xfId="45493"/>
    <cellStyle name="Обычный 6 2 67 4" xfId="24130"/>
    <cellStyle name="Обычный 6 2 67 4 2" xfId="56173"/>
    <cellStyle name="Обычный 6 2 67 5" xfId="34813"/>
    <cellStyle name="Обычный 6 2 68" xfId="2799"/>
    <cellStyle name="Обычный 6 2 68 2" xfId="8141"/>
    <cellStyle name="Обычный 6 2 68 2 2" xfId="18821"/>
    <cellStyle name="Обычный 6 2 68 2 2 2" xfId="50865"/>
    <cellStyle name="Обычный 6 2 68 2 3" xfId="29502"/>
    <cellStyle name="Обычный 6 2 68 2 3 2" xfId="61545"/>
    <cellStyle name="Обычный 6 2 68 2 4" xfId="40185"/>
    <cellStyle name="Обычный 6 2 68 3" xfId="13481"/>
    <cellStyle name="Обычный 6 2 68 3 2" xfId="45525"/>
    <cellStyle name="Обычный 6 2 68 4" xfId="24162"/>
    <cellStyle name="Обычный 6 2 68 4 2" xfId="56205"/>
    <cellStyle name="Обычный 6 2 68 5" xfId="34845"/>
    <cellStyle name="Обычный 6 2 69" xfId="2831"/>
    <cellStyle name="Обычный 6 2 69 2" xfId="8173"/>
    <cellStyle name="Обычный 6 2 69 2 2" xfId="18853"/>
    <cellStyle name="Обычный 6 2 69 2 2 2" xfId="50897"/>
    <cellStyle name="Обычный 6 2 69 2 3" xfId="29534"/>
    <cellStyle name="Обычный 6 2 69 2 3 2" xfId="61577"/>
    <cellStyle name="Обычный 6 2 69 2 4" xfId="40217"/>
    <cellStyle name="Обычный 6 2 69 3" xfId="13513"/>
    <cellStyle name="Обычный 6 2 69 3 2" xfId="45557"/>
    <cellStyle name="Обычный 6 2 69 4" xfId="24194"/>
    <cellStyle name="Обычный 6 2 69 4 2" xfId="56237"/>
    <cellStyle name="Обычный 6 2 69 5" xfId="34877"/>
    <cellStyle name="Обычный 6 2 7" xfId="1086"/>
    <cellStyle name="Обычный 6 2 7 2" xfId="6429"/>
    <cellStyle name="Обычный 6 2 7 2 2" xfId="17109"/>
    <cellStyle name="Обычный 6 2 7 2 2 2" xfId="49153"/>
    <cellStyle name="Обычный 6 2 7 2 3" xfId="27790"/>
    <cellStyle name="Обычный 6 2 7 2 3 2" xfId="59833"/>
    <cellStyle name="Обычный 6 2 7 2 4" xfId="38473"/>
    <cellStyle name="Обычный 6 2 7 3" xfId="11769"/>
    <cellStyle name="Обычный 6 2 7 3 2" xfId="43813"/>
    <cellStyle name="Обычный 6 2 7 4" xfId="22450"/>
    <cellStyle name="Обычный 6 2 7 4 2" xfId="54493"/>
    <cellStyle name="Обычный 6 2 7 5" xfId="33133"/>
    <cellStyle name="Обычный 6 2 70" xfId="2863"/>
    <cellStyle name="Обычный 6 2 70 2" xfId="8205"/>
    <cellStyle name="Обычный 6 2 70 2 2" xfId="18885"/>
    <cellStyle name="Обычный 6 2 70 2 2 2" xfId="50929"/>
    <cellStyle name="Обычный 6 2 70 2 3" xfId="29566"/>
    <cellStyle name="Обычный 6 2 70 2 3 2" xfId="61609"/>
    <cellStyle name="Обычный 6 2 70 2 4" xfId="40249"/>
    <cellStyle name="Обычный 6 2 70 3" xfId="13545"/>
    <cellStyle name="Обычный 6 2 70 3 2" xfId="45589"/>
    <cellStyle name="Обычный 6 2 70 4" xfId="24226"/>
    <cellStyle name="Обычный 6 2 70 4 2" xfId="56269"/>
    <cellStyle name="Обычный 6 2 70 5" xfId="34909"/>
    <cellStyle name="Обычный 6 2 71" xfId="2895"/>
    <cellStyle name="Обычный 6 2 71 2" xfId="8237"/>
    <cellStyle name="Обычный 6 2 71 2 2" xfId="18917"/>
    <cellStyle name="Обычный 6 2 71 2 2 2" xfId="50961"/>
    <cellStyle name="Обычный 6 2 71 2 3" xfId="29598"/>
    <cellStyle name="Обычный 6 2 71 2 3 2" xfId="61641"/>
    <cellStyle name="Обычный 6 2 71 2 4" xfId="40281"/>
    <cellStyle name="Обычный 6 2 71 3" xfId="13577"/>
    <cellStyle name="Обычный 6 2 71 3 2" xfId="45621"/>
    <cellStyle name="Обычный 6 2 71 4" xfId="24258"/>
    <cellStyle name="Обычный 6 2 71 4 2" xfId="56301"/>
    <cellStyle name="Обычный 6 2 71 5" xfId="34941"/>
    <cellStyle name="Обычный 6 2 72" xfId="2927"/>
    <cellStyle name="Обычный 6 2 72 2" xfId="8269"/>
    <cellStyle name="Обычный 6 2 72 2 2" xfId="18949"/>
    <cellStyle name="Обычный 6 2 72 2 2 2" xfId="50993"/>
    <cellStyle name="Обычный 6 2 72 2 3" xfId="29630"/>
    <cellStyle name="Обычный 6 2 72 2 3 2" xfId="61673"/>
    <cellStyle name="Обычный 6 2 72 2 4" xfId="40313"/>
    <cellStyle name="Обычный 6 2 72 3" xfId="13609"/>
    <cellStyle name="Обычный 6 2 72 3 2" xfId="45653"/>
    <cellStyle name="Обычный 6 2 72 4" xfId="24290"/>
    <cellStyle name="Обычный 6 2 72 4 2" xfId="56333"/>
    <cellStyle name="Обычный 6 2 72 5" xfId="34973"/>
    <cellStyle name="Обычный 6 2 73" xfId="2959"/>
    <cellStyle name="Обычный 6 2 73 2" xfId="8301"/>
    <cellStyle name="Обычный 6 2 73 2 2" xfId="18981"/>
    <cellStyle name="Обычный 6 2 73 2 2 2" xfId="51025"/>
    <cellStyle name="Обычный 6 2 73 2 3" xfId="29662"/>
    <cellStyle name="Обычный 6 2 73 2 3 2" xfId="61705"/>
    <cellStyle name="Обычный 6 2 73 2 4" xfId="40345"/>
    <cellStyle name="Обычный 6 2 73 3" xfId="13641"/>
    <cellStyle name="Обычный 6 2 73 3 2" xfId="45685"/>
    <cellStyle name="Обычный 6 2 73 4" xfId="24322"/>
    <cellStyle name="Обычный 6 2 73 4 2" xfId="56365"/>
    <cellStyle name="Обычный 6 2 73 5" xfId="35005"/>
    <cellStyle name="Обычный 6 2 74" xfId="2991"/>
    <cellStyle name="Обычный 6 2 74 2" xfId="8333"/>
    <cellStyle name="Обычный 6 2 74 2 2" xfId="19013"/>
    <cellStyle name="Обычный 6 2 74 2 2 2" xfId="51057"/>
    <cellStyle name="Обычный 6 2 74 2 3" xfId="29694"/>
    <cellStyle name="Обычный 6 2 74 2 3 2" xfId="61737"/>
    <cellStyle name="Обычный 6 2 74 2 4" xfId="40377"/>
    <cellStyle name="Обычный 6 2 74 3" xfId="13673"/>
    <cellStyle name="Обычный 6 2 74 3 2" xfId="45717"/>
    <cellStyle name="Обычный 6 2 74 4" xfId="24354"/>
    <cellStyle name="Обычный 6 2 74 4 2" xfId="56397"/>
    <cellStyle name="Обычный 6 2 74 5" xfId="35037"/>
    <cellStyle name="Обычный 6 2 75" xfId="3023"/>
    <cellStyle name="Обычный 6 2 75 2" xfId="8365"/>
    <cellStyle name="Обычный 6 2 75 2 2" xfId="19045"/>
    <cellStyle name="Обычный 6 2 75 2 2 2" xfId="51089"/>
    <cellStyle name="Обычный 6 2 75 2 3" xfId="29726"/>
    <cellStyle name="Обычный 6 2 75 2 3 2" xfId="61769"/>
    <cellStyle name="Обычный 6 2 75 2 4" xfId="40409"/>
    <cellStyle name="Обычный 6 2 75 3" xfId="13705"/>
    <cellStyle name="Обычный 6 2 75 3 2" xfId="45749"/>
    <cellStyle name="Обычный 6 2 75 4" xfId="24386"/>
    <cellStyle name="Обычный 6 2 75 4 2" xfId="56429"/>
    <cellStyle name="Обычный 6 2 75 5" xfId="35069"/>
    <cellStyle name="Обычный 6 2 76" xfId="3055"/>
    <cellStyle name="Обычный 6 2 76 2" xfId="8397"/>
    <cellStyle name="Обычный 6 2 76 2 2" xfId="19077"/>
    <cellStyle name="Обычный 6 2 76 2 2 2" xfId="51121"/>
    <cellStyle name="Обычный 6 2 76 2 3" xfId="29758"/>
    <cellStyle name="Обычный 6 2 76 2 3 2" xfId="61801"/>
    <cellStyle name="Обычный 6 2 76 2 4" xfId="40441"/>
    <cellStyle name="Обычный 6 2 76 3" xfId="13737"/>
    <cellStyle name="Обычный 6 2 76 3 2" xfId="45781"/>
    <cellStyle name="Обычный 6 2 76 4" xfId="24418"/>
    <cellStyle name="Обычный 6 2 76 4 2" xfId="56461"/>
    <cellStyle name="Обычный 6 2 76 5" xfId="35101"/>
    <cellStyle name="Обычный 6 2 77" xfId="3087"/>
    <cellStyle name="Обычный 6 2 77 2" xfId="8429"/>
    <cellStyle name="Обычный 6 2 77 2 2" xfId="19109"/>
    <cellStyle name="Обычный 6 2 77 2 2 2" xfId="51153"/>
    <cellStyle name="Обычный 6 2 77 2 3" xfId="29790"/>
    <cellStyle name="Обычный 6 2 77 2 3 2" xfId="61833"/>
    <cellStyle name="Обычный 6 2 77 2 4" xfId="40473"/>
    <cellStyle name="Обычный 6 2 77 3" xfId="13769"/>
    <cellStyle name="Обычный 6 2 77 3 2" xfId="45813"/>
    <cellStyle name="Обычный 6 2 77 4" xfId="24450"/>
    <cellStyle name="Обычный 6 2 77 4 2" xfId="56493"/>
    <cellStyle name="Обычный 6 2 77 5" xfId="35133"/>
    <cellStyle name="Обычный 6 2 78" xfId="3120"/>
    <cellStyle name="Обычный 6 2 78 2" xfId="8461"/>
    <cellStyle name="Обычный 6 2 78 2 2" xfId="19141"/>
    <cellStyle name="Обычный 6 2 78 2 2 2" xfId="51185"/>
    <cellStyle name="Обычный 6 2 78 2 3" xfId="29822"/>
    <cellStyle name="Обычный 6 2 78 2 3 2" xfId="61865"/>
    <cellStyle name="Обычный 6 2 78 2 4" xfId="40505"/>
    <cellStyle name="Обычный 6 2 78 3" xfId="13801"/>
    <cellStyle name="Обычный 6 2 78 3 2" xfId="45845"/>
    <cellStyle name="Обычный 6 2 78 4" xfId="24482"/>
    <cellStyle name="Обычный 6 2 78 4 2" xfId="56525"/>
    <cellStyle name="Обычный 6 2 78 5" xfId="35165"/>
    <cellStyle name="Обычный 6 2 79" xfId="3152"/>
    <cellStyle name="Обычный 6 2 79 2" xfId="8493"/>
    <cellStyle name="Обычный 6 2 79 2 2" xfId="19173"/>
    <cellStyle name="Обычный 6 2 79 2 2 2" xfId="51217"/>
    <cellStyle name="Обычный 6 2 79 2 3" xfId="29854"/>
    <cellStyle name="Обычный 6 2 79 2 3 2" xfId="61897"/>
    <cellStyle name="Обычный 6 2 79 2 4" xfId="40537"/>
    <cellStyle name="Обычный 6 2 79 3" xfId="13833"/>
    <cellStyle name="Обычный 6 2 79 3 2" xfId="45877"/>
    <cellStyle name="Обычный 6 2 79 4" xfId="24514"/>
    <cellStyle name="Обычный 6 2 79 4 2" xfId="56557"/>
    <cellStyle name="Обычный 6 2 79 5" xfId="35197"/>
    <cellStyle name="Обычный 6 2 8" xfId="1112"/>
    <cellStyle name="Обычный 6 2 8 2" xfId="6455"/>
    <cellStyle name="Обычный 6 2 8 2 2" xfId="17135"/>
    <cellStyle name="Обычный 6 2 8 2 2 2" xfId="49179"/>
    <cellStyle name="Обычный 6 2 8 2 3" xfId="27816"/>
    <cellStyle name="Обычный 6 2 8 2 3 2" xfId="59859"/>
    <cellStyle name="Обычный 6 2 8 2 4" xfId="38499"/>
    <cellStyle name="Обычный 6 2 8 3" xfId="11795"/>
    <cellStyle name="Обычный 6 2 8 3 2" xfId="43839"/>
    <cellStyle name="Обычный 6 2 8 4" xfId="22476"/>
    <cellStyle name="Обычный 6 2 8 4 2" xfId="54519"/>
    <cellStyle name="Обычный 6 2 8 5" xfId="33159"/>
    <cellStyle name="Обычный 6 2 80" xfId="3184"/>
    <cellStyle name="Обычный 6 2 80 2" xfId="8525"/>
    <cellStyle name="Обычный 6 2 80 2 2" xfId="19205"/>
    <cellStyle name="Обычный 6 2 80 2 2 2" xfId="51249"/>
    <cellStyle name="Обычный 6 2 80 2 3" xfId="29886"/>
    <cellStyle name="Обычный 6 2 80 2 3 2" xfId="61929"/>
    <cellStyle name="Обычный 6 2 80 2 4" xfId="40569"/>
    <cellStyle name="Обычный 6 2 80 3" xfId="13865"/>
    <cellStyle name="Обычный 6 2 80 3 2" xfId="45909"/>
    <cellStyle name="Обычный 6 2 80 4" xfId="24546"/>
    <cellStyle name="Обычный 6 2 80 4 2" xfId="56589"/>
    <cellStyle name="Обычный 6 2 80 5" xfId="35229"/>
    <cellStyle name="Обычный 6 2 81" xfId="3216"/>
    <cellStyle name="Обычный 6 2 81 2" xfId="8557"/>
    <cellStyle name="Обычный 6 2 81 2 2" xfId="19237"/>
    <cellStyle name="Обычный 6 2 81 2 2 2" xfId="51281"/>
    <cellStyle name="Обычный 6 2 81 2 3" xfId="29918"/>
    <cellStyle name="Обычный 6 2 81 2 3 2" xfId="61961"/>
    <cellStyle name="Обычный 6 2 81 2 4" xfId="40601"/>
    <cellStyle name="Обычный 6 2 81 3" xfId="13897"/>
    <cellStyle name="Обычный 6 2 81 3 2" xfId="45941"/>
    <cellStyle name="Обычный 6 2 81 4" xfId="24578"/>
    <cellStyle name="Обычный 6 2 81 4 2" xfId="56621"/>
    <cellStyle name="Обычный 6 2 81 5" xfId="35261"/>
    <cellStyle name="Обычный 6 2 82" xfId="3248"/>
    <cellStyle name="Обычный 6 2 82 2" xfId="8589"/>
    <cellStyle name="Обычный 6 2 82 2 2" xfId="19269"/>
    <cellStyle name="Обычный 6 2 82 2 2 2" xfId="51313"/>
    <cellStyle name="Обычный 6 2 82 2 3" xfId="29950"/>
    <cellStyle name="Обычный 6 2 82 2 3 2" xfId="61993"/>
    <cellStyle name="Обычный 6 2 82 2 4" xfId="40633"/>
    <cellStyle name="Обычный 6 2 82 3" xfId="13929"/>
    <cellStyle name="Обычный 6 2 82 3 2" xfId="45973"/>
    <cellStyle name="Обычный 6 2 82 4" xfId="24610"/>
    <cellStyle name="Обычный 6 2 82 4 2" xfId="56653"/>
    <cellStyle name="Обычный 6 2 82 5" xfId="35293"/>
    <cellStyle name="Обычный 6 2 83" xfId="3280"/>
    <cellStyle name="Обычный 6 2 83 2" xfId="8621"/>
    <cellStyle name="Обычный 6 2 83 2 2" xfId="19301"/>
    <cellStyle name="Обычный 6 2 83 2 2 2" xfId="51345"/>
    <cellStyle name="Обычный 6 2 83 2 3" xfId="29982"/>
    <cellStyle name="Обычный 6 2 83 2 3 2" xfId="62025"/>
    <cellStyle name="Обычный 6 2 83 2 4" xfId="40665"/>
    <cellStyle name="Обычный 6 2 83 3" xfId="13961"/>
    <cellStyle name="Обычный 6 2 83 3 2" xfId="46005"/>
    <cellStyle name="Обычный 6 2 83 4" xfId="24642"/>
    <cellStyle name="Обычный 6 2 83 4 2" xfId="56685"/>
    <cellStyle name="Обычный 6 2 83 5" xfId="35325"/>
    <cellStyle name="Обычный 6 2 84" xfId="3312"/>
    <cellStyle name="Обычный 6 2 84 2" xfId="8653"/>
    <cellStyle name="Обычный 6 2 84 2 2" xfId="19333"/>
    <cellStyle name="Обычный 6 2 84 2 2 2" xfId="51377"/>
    <cellStyle name="Обычный 6 2 84 2 3" xfId="30014"/>
    <cellStyle name="Обычный 6 2 84 2 3 2" xfId="62057"/>
    <cellStyle name="Обычный 6 2 84 2 4" xfId="40697"/>
    <cellStyle name="Обычный 6 2 84 3" xfId="13993"/>
    <cellStyle name="Обычный 6 2 84 3 2" xfId="46037"/>
    <cellStyle name="Обычный 6 2 84 4" xfId="24674"/>
    <cellStyle name="Обычный 6 2 84 4 2" xfId="56717"/>
    <cellStyle name="Обычный 6 2 84 5" xfId="35357"/>
    <cellStyle name="Обычный 6 2 85" xfId="3344"/>
    <cellStyle name="Обычный 6 2 85 2" xfId="8685"/>
    <cellStyle name="Обычный 6 2 85 2 2" xfId="19365"/>
    <cellStyle name="Обычный 6 2 85 2 2 2" xfId="51409"/>
    <cellStyle name="Обычный 6 2 85 2 3" xfId="30046"/>
    <cellStyle name="Обычный 6 2 85 2 3 2" xfId="62089"/>
    <cellStyle name="Обычный 6 2 85 2 4" xfId="40729"/>
    <cellStyle name="Обычный 6 2 85 3" xfId="14025"/>
    <cellStyle name="Обычный 6 2 85 3 2" xfId="46069"/>
    <cellStyle name="Обычный 6 2 85 4" xfId="24706"/>
    <cellStyle name="Обычный 6 2 85 4 2" xfId="56749"/>
    <cellStyle name="Обычный 6 2 85 5" xfId="35389"/>
    <cellStyle name="Обычный 6 2 86" xfId="3376"/>
    <cellStyle name="Обычный 6 2 86 2" xfId="8717"/>
    <cellStyle name="Обычный 6 2 86 2 2" xfId="19397"/>
    <cellStyle name="Обычный 6 2 86 2 2 2" xfId="51441"/>
    <cellStyle name="Обычный 6 2 86 2 3" xfId="30078"/>
    <cellStyle name="Обычный 6 2 86 2 3 2" xfId="62121"/>
    <cellStyle name="Обычный 6 2 86 2 4" xfId="40761"/>
    <cellStyle name="Обычный 6 2 86 3" xfId="14057"/>
    <cellStyle name="Обычный 6 2 86 3 2" xfId="46101"/>
    <cellStyle name="Обычный 6 2 86 4" xfId="24738"/>
    <cellStyle name="Обычный 6 2 86 4 2" xfId="56781"/>
    <cellStyle name="Обычный 6 2 86 5" xfId="35421"/>
    <cellStyle name="Обычный 6 2 87" xfId="3408"/>
    <cellStyle name="Обычный 6 2 87 2" xfId="8749"/>
    <cellStyle name="Обычный 6 2 87 2 2" xfId="19429"/>
    <cellStyle name="Обычный 6 2 87 2 2 2" xfId="51473"/>
    <cellStyle name="Обычный 6 2 87 2 3" xfId="30110"/>
    <cellStyle name="Обычный 6 2 87 2 3 2" xfId="62153"/>
    <cellStyle name="Обычный 6 2 87 2 4" xfId="40793"/>
    <cellStyle name="Обычный 6 2 87 3" xfId="14089"/>
    <cellStyle name="Обычный 6 2 87 3 2" xfId="46133"/>
    <cellStyle name="Обычный 6 2 87 4" xfId="24770"/>
    <cellStyle name="Обычный 6 2 87 4 2" xfId="56813"/>
    <cellStyle name="Обычный 6 2 87 5" xfId="35453"/>
    <cellStyle name="Обычный 6 2 88" xfId="3440"/>
    <cellStyle name="Обычный 6 2 88 2" xfId="8781"/>
    <cellStyle name="Обычный 6 2 88 2 2" xfId="19461"/>
    <cellStyle name="Обычный 6 2 88 2 2 2" xfId="51505"/>
    <cellStyle name="Обычный 6 2 88 2 3" xfId="30142"/>
    <cellStyle name="Обычный 6 2 88 2 3 2" xfId="62185"/>
    <cellStyle name="Обычный 6 2 88 2 4" xfId="40825"/>
    <cellStyle name="Обычный 6 2 88 3" xfId="14121"/>
    <cellStyle name="Обычный 6 2 88 3 2" xfId="46165"/>
    <cellStyle name="Обычный 6 2 88 4" xfId="24802"/>
    <cellStyle name="Обычный 6 2 88 4 2" xfId="56845"/>
    <cellStyle name="Обычный 6 2 88 5" xfId="35485"/>
    <cellStyle name="Обычный 6 2 89" xfId="3472"/>
    <cellStyle name="Обычный 6 2 89 2" xfId="8813"/>
    <cellStyle name="Обычный 6 2 89 2 2" xfId="19493"/>
    <cellStyle name="Обычный 6 2 89 2 2 2" xfId="51537"/>
    <cellStyle name="Обычный 6 2 89 2 3" xfId="30174"/>
    <cellStyle name="Обычный 6 2 89 2 3 2" xfId="62217"/>
    <cellStyle name="Обычный 6 2 89 2 4" xfId="40857"/>
    <cellStyle name="Обычный 6 2 89 3" xfId="14153"/>
    <cellStyle name="Обычный 6 2 89 3 2" xfId="46197"/>
    <cellStyle name="Обычный 6 2 89 4" xfId="24834"/>
    <cellStyle name="Обычный 6 2 89 4 2" xfId="56877"/>
    <cellStyle name="Обычный 6 2 89 5" xfId="35517"/>
    <cellStyle name="Обычный 6 2 9" xfId="1138"/>
    <cellStyle name="Обычный 6 2 9 2" xfId="6481"/>
    <cellStyle name="Обычный 6 2 9 2 2" xfId="17161"/>
    <cellStyle name="Обычный 6 2 9 2 2 2" xfId="49205"/>
    <cellStyle name="Обычный 6 2 9 2 3" xfId="27842"/>
    <cellStyle name="Обычный 6 2 9 2 3 2" xfId="59885"/>
    <cellStyle name="Обычный 6 2 9 2 4" xfId="38525"/>
    <cellStyle name="Обычный 6 2 9 3" xfId="11821"/>
    <cellStyle name="Обычный 6 2 9 3 2" xfId="43865"/>
    <cellStyle name="Обычный 6 2 9 4" xfId="22502"/>
    <cellStyle name="Обычный 6 2 9 4 2" xfId="54545"/>
    <cellStyle name="Обычный 6 2 9 5" xfId="33185"/>
    <cellStyle name="Обычный 6 2 90" xfId="3504"/>
    <cellStyle name="Обычный 6 2 90 2" xfId="8845"/>
    <cellStyle name="Обычный 6 2 90 2 2" xfId="19525"/>
    <cellStyle name="Обычный 6 2 90 2 2 2" xfId="51569"/>
    <cellStyle name="Обычный 6 2 90 2 3" xfId="30206"/>
    <cellStyle name="Обычный 6 2 90 2 3 2" xfId="62249"/>
    <cellStyle name="Обычный 6 2 90 2 4" xfId="40889"/>
    <cellStyle name="Обычный 6 2 90 3" xfId="14185"/>
    <cellStyle name="Обычный 6 2 90 3 2" xfId="46229"/>
    <cellStyle name="Обычный 6 2 90 4" xfId="24866"/>
    <cellStyle name="Обычный 6 2 90 4 2" xfId="56909"/>
    <cellStyle name="Обычный 6 2 90 5" xfId="35549"/>
    <cellStyle name="Обычный 6 2 91" xfId="3536"/>
    <cellStyle name="Обычный 6 2 91 2" xfId="8877"/>
    <cellStyle name="Обычный 6 2 91 2 2" xfId="19557"/>
    <cellStyle name="Обычный 6 2 91 2 2 2" xfId="51601"/>
    <cellStyle name="Обычный 6 2 91 2 3" xfId="30238"/>
    <cellStyle name="Обычный 6 2 91 2 3 2" xfId="62281"/>
    <cellStyle name="Обычный 6 2 91 2 4" xfId="40921"/>
    <cellStyle name="Обычный 6 2 91 3" xfId="14217"/>
    <cellStyle name="Обычный 6 2 91 3 2" xfId="46261"/>
    <cellStyle name="Обычный 6 2 91 4" xfId="24898"/>
    <cellStyle name="Обычный 6 2 91 4 2" xfId="56941"/>
    <cellStyle name="Обычный 6 2 91 5" xfId="35581"/>
    <cellStyle name="Обычный 6 2 92" xfId="3568"/>
    <cellStyle name="Обычный 6 2 92 2" xfId="8909"/>
    <cellStyle name="Обычный 6 2 92 2 2" xfId="19589"/>
    <cellStyle name="Обычный 6 2 92 2 2 2" xfId="51633"/>
    <cellStyle name="Обычный 6 2 92 2 3" xfId="30270"/>
    <cellStyle name="Обычный 6 2 92 2 3 2" xfId="62313"/>
    <cellStyle name="Обычный 6 2 92 2 4" xfId="40953"/>
    <cellStyle name="Обычный 6 2 92 3" xfId="14249"/>
    <cellStyle name="Обычный 6 2 92 3 2" xfId="46293"/>
    <cellStyle name="Обычный 6 2 92 4" xfId="24930"/>
    <cellStyle name="Обычный 6 2 92 4 2" xfId="56973"/>
    <cellStyle name="Обычный 6 2 92 5" xfId="35613"/>
    <cellStyle name="Обычный 6 2 93" xfId="3600"/>
    <cellStyle name="Обычный 6 2 93 2" xfId="8941"/>
    <cellStyle name="Обычный 6 2 93 2 2" xfId="19621"/>
    <cellStyle name="Обычный 6 2 93 2 2 2" xfId="51665"/>
    <cellStyle name="Обычный 6 2 93 2 3" xfId="30302"/>
    <cellStyle name="Обычный 6 2 93 2 3 2" xfId="62345"/>
    <cellStyle name="Обычный 6 2 93 2 4" xfId="40985"/>
    <cellStyle name="Обычный 6 2 93 3" xfId="14281"/>
    <cellStyle name="Обычный 6 2 93 3 2" xfId="46325"/>
    <cellStyle name="Обычный 6 2 93 4" xfId="24962"/>
    <cellStyle name="Обычный 6 2 93 4 2" xfId="57005"/>
    <cellStyle name="Обычный 6 2 93 5" xfId="35645"/>
    <cellStyle name="Обычный 6 2 94" xfId="3632"/>
    <cellStyle name="Обычный 6 2 94 2" xfId="8973"/>
    <cellStyle name="Обычный 6 2 94 2 2" xfId="19653"/>
    <cellStyle name="Обычный 6 2 94 2 2 2" xfId="51697"/>
    <cellStyle name="Обычный 6 2 94 2 3" xfId="30334"/>
    <cellStyle name="Обычный 6 2 94 2 3 2" xfId="62377"/>
    <cellStyle name="Обычный 6 2 94 2 4" xfId="41017"/>
    <cellStyle name="Обычный 6 2 94 3" xfId="14313"/>
    <cellStyle name="Обычный 6 2 94 3 2" xfId="46357"/>
    <cellStyle name="Обычный 6 2 94 4" xfId="24994"/>
    <cellStyle name="Обычный 6 2 94 4 2" xfId="57037"/>
    <cellStyle name="Обычный 6 2 94 5" xfId="35677"/>
    <cellStyle name="Обычный 6 2 95" xfId="3664"/>
    <cellStyle name="Обычный 6 2 95 2" xfId="9005"/>
    <cellStyle name="Обычный 6 2 95 2 2" xfId="19685"/>
    <cellStyle name="Обычный 6 2 95 2 2 2" xfId="51729"/>
    <cellStyle name="Обычный 6 2 95 2 3" xfId="30366"/>
    <cellStyle name="Обычный 6 2 95 2 3 2" xfId="62409"/>
    <cellStyle name="Обычный 6 2 95 2 4" xfId="41049"/>
    <cellStyle name="Обычный 6 2 95 3" xfId="14345"/>
    <cellStyle name="Обычный 6 2 95 3 2" xfId="46389"/>
    <cellStyle name="Обычный 6 2 95 4" xfId="25026"/>
    <cellStyle name="Обычный 6 2 95 4 2" xfId="57069"/>
    <cellStyle name="Обычный 6 2 95 5" xfId="35709"/>
    <cellStyle name="Обычный 6 2 96" xfId="3696"/>
    <cellStyle name="Обычный 6 2 96 2" xfId="9037"/>
    <cellStyle name="Обычный 6 2 96 2 2" xfId="19717"/>
    <cellStyle name="Обычный 6 2 96 2 2 2" xfId="51761"/>
    <cellStyle name="Обычный 6 2 96 2 3" xfId="30398"/>
    <cellStyle name="Обычный 6 2 96 2 3 2" xfId="62441"/>
    <cellStyle name="Обычный 6 2 96 2 4" xfId="41081"/>
    <cellStyle name="Обычный 6 2 96 3" xfId="14377"/>
    <cellStyle name="Обычный 6 2 96 3 2" xfId="46421"/>
    <cellStyle name="Обычный 6 2 96 4" xfId="25058"/>
    <cellStyle name="Обычный 6 2 96 4 2" xfId="57101"/>
    <cellStyle name="Обычный 6 2 96 5" xfId="35741"/>
    <cellStyle name="Обычный 6 2 97" xfId="3728"/>
    <cellStyle name="Обычный 6 2 97 2" xfId="9069"/>
    <cellStyle name="Обычный 6 2 97 2 2" xfId="19749"/>
    <cellStyle name="Обычный 6 2 97 2 2 2" xfId="51793"/>
    <cellStyle name="Обычный 6 2 97 2 3" xfId="30430"/>
    <cellStyle name="Обычный 6 2 97 2 3 2" xfId="62473"/>
    <cellStyle name="Обычный 6 2 97 2 4" xfId="41113"/>
    <cellStyle name="Обычный 6 2 97 3" xfId="14409"/>
    <cellStyle name="Обычный 6 2 97 3 2" xfId="46453"/>
    <cellStyle name="Обычный 6 2 97 4" xfId="25090"/>
    <cellStyle name="Обычный 6 2 97 4 2" xfId="57133"/>
    <cellStyle name="Обычный 6 2 97 5" xfId="35773"/>
    <cellStyle name="Обычный 6 2 98" xfId="3760"/>
    <cellStyle name="Обычный 6 2 98 2" xfId="9101"/>
    <cellStyle name="Обычный 6 2 98 2 2" xfId="19781"/>
    <cellStyle name="Обычный 6 2 98 2 2 2" xfId="51825"/>
    <cellStyle name="Обычный 6 2 98 2 3" xfId="30462"/>
    <cellStyle name="Обычный 6 2 98 2 3 2" xfId="62505"/>
    <cellStyle name="Обычный 6 2 98 2 4" xfId="41145"/>
    <cellStyle name="Обычный 6 2 98 3" xfId="14441"/>
    <cellStyle name="Обычный 6 2 98 3 2" xfId="46485"/>
    <cellStyle name="Обычный 6 2 98 4" xfId="25122"/>
    <cellStyle name="Обычный 6 2 98 4 2" xfId="57165"/>
    <cellStyle name="Обычный 6 2 98 5" xfId="35805"/>
    <cellStyle name="Обычный 6 2 99" xfId="3792"/>
    <cellStyle name="Обычный 6 2 99 2" xfId="9133"/>
    <cellStyle name="Обычный 6 2 99 2 2" xfId="19813"/>
    <cellStyle name="Обычный 6 2 99 2 2 2" xfId="51857"/>
    <cellStyle name="Обычный 6 2 99 2 3" xfId="30494"/>
    <cellStyle name="Обычный 6 2 99 2 3 2" xfId="62537"/>
    <cellStyle name="Обычный 6 2 99 2 4" xfId="41177"/>
    <cellStyle name="Обычный 6 2 99 3" xfId="14473"/>
    <cellStyle name="Обычный 6 2 99 3 2" xfId="46517"/>
    <cellStyle name="Обычный 6 2 99 4" xfId="25154"/>
    <cellStyle name="Обычный 6 2 99 4 2" xfId="57197"/>
    <cellStyle name="Обычный 6 2 99 5" xfId="35837"/>
    <cellStyle name="Обычный 6 20" xfId="288"/>
    <cellStyle name="Обычный 6 20 2" xfId="756"/>
    <cellStyle name="Обычный 6 20 2 2" xfId="6099"/>
    <cellStyle name="Обычный 6 20 2 2 2" xfId="16779"/>
    <cellStyle name="Обычный 6 20 2 2 2 2" xfId="48823"/>
    <cellStyle name="Обычный 6 20 2 2 3" xfId="27460"/>
    <cellStyle name="Обычный 6 20 2 2 3 2" xfId="59503"/>
    <cellStyle name="Обычный 6 20 2 2 4" xfId="38143"/>
    <cellStyle name="Обычный 6 20 2 3" xfId="11439"/>
    <cellStyle name="Обычный 6 20 2 3 2" xfId="43483"/>
    <cellStyle name="Обычный 6 20 2 4" xfId="22120"/>
    <cellStyle name="Обычный 6 20 2 4 2" xfId="54163"/>
    <cellStyle name="Обычный 6 20 2 5" xfId="32803"/>
    <cellStyle name="Обычный 6 20 3" xfId="5632"/>
    <cellStyle name="Обычный 6 20 3 2" xfId="16312"/>
    <cellStyle name="Обычный 6 20 3 2 2" xfId="48356"/>
    <cellStyle name="Обычный 6 20 3 3" xfId="26993"/>
    <cellStyle name="Обычный 6 20 3 3 2" xfId="59036"/>
    <cellStyle name="Обычный 6 20 3 4" xfId="37676"/>
    <cellStyle name="Обычный 6 20 4" xfId="10972"/>
    <cellStyle name="Обычный 6 20 4 2" xfId="43016"/>
    <cellStyle name="Обычный 6 20 5" xfId="21653"/>
    <cellStyle name="Обычный 6 20 5 2" xfId="53696"/>
    <cellStyle name="Обычный 6 20 6" xfId="32336"/>
    <cellStyle name="Обычный 6 21" xfId="298"/>
    <cellStyle name="Обычный 6 21 2" xfId="766"/>
    <cellStyle name="Обычный 6 21 2 2" xfId="6109"/>
    <cellStyle name="Обычный 6 21 2 2 2" xfId="16789"/>
    <cellStyle name="Обычный 6 21 2 2 2 2" xfId="48833"/>
    <cellStyle name="Обычный 6 21 2 2 3" xfId="27470"/>
    <cellStyle name="Обычный 6 21 2 2 3 2" xfId="59513"/>
    <cellStyle name="Обычный 6 21 2 2 4" xfId="38153"/>
    <cellStyle name="Обычный 6 21 2 3" xfId="11449"/>
    <cellStyle name="Обычный 6 21 2 3 2" xfId="43493"/>
    <cellStyle name="Обычный 6 21 2 4" xfId="22130"/>
    <cellStyle name="Обычный 6 21 2 4 2" xfId="54173"/>
    <cellStyle name="Обычный 6 21 2 5" xfId="32813"/>
    <cellStyle name="Обычный 6 21 3" xfId="5642"/>
    <cellStyle name="Обычный 6 21 3 2" xfId="16322"/>
    <cellStyle name="Обычный 6 21 3 2 2" xfId="48366"/>
    <cellStyle name="Обычный 6 21 3 3" xfId="27003"/>
    <cellStyle name="Обычный 6 21 3 3 2" xfId="59046"/>
    <cellStyle name="Обычный 6 21 3 4" xfId="37686"/>
    <cellStyle name="Обычный 6 21 4" xfId="10982"/>
    <cellStyle name="Обычный 6 21 4 2" xfId="43026"/>
    <cellStyle name="Обычный 6 21 5" xfId="21663"/>
    <cellStyle name="Обычный 6 21 5 2" xfId="53706"/>
    <cellStyle name="Обычный 6 21 6" xfId="32346"/>
    <cellStyle name="Обычный 6 22" xfId="308"/>
    <cellStyle name="Обычный 6 22 2" xfId="776"/>
    <cellStyle name="Обычный 6 22 2 2" xfId="6119"/>
    <cellStyle name="Обычный 6 22 2 2 2" xfId="16799"/>
    <cellStyle name="Обычный 6 22 2 2 2 2" xfId="48843"/>
    <cellStyle name="Обычный 6 22 2 2 3" xfId="27480"/>
    <cellStyle name="Обычный 6 22 2 2 3 2" xfId="59523"/>
    <cellStyle name="Обычный 6 22 2 2 4" xfId="38163"/>
    <cellStyle name="Обычный 6 22 2 3" xfId="11459"/>
    <cellStyle name="Обычный 6 22 2 3 2" xfId="43503"/>
    <cellStyle name="Обычный 6 22 2 4" xfId="22140"/>
    <cellStyle name="Обычный 6 22 2 4 2" xfId="54183"/>
    <cellStyle name="Обычный 6 22 2 5" xfId="32823"/>
    <cellStyle name="Обычный 6 22 3" xfId="5652"/>
    <cellStyle name="Обычный 6 22 3 2" xfId="16332"/>
    <cellStyle name="Обычный 6 22 3 2 2" xfId="48376"/>
    <cellStyle name="Обычный 6 22 3 3" xfId="27013"/>
    <cellStyle name="Обычный 6 22 3 3 2" xfId="59056"/>
    <cellStyle name="Обычный 6 22 3 4" xfId="37696"/>
    <cellStyle name="Обычный 6 22 4" xfId="10992"/>
    <cellStyle name="Обычный 6 22 4 2" xfId="43036"/>
    <cellStyle name="Обычный 6 22 5" xfId="21673"/>
    <cellStyle name="Обычный 6 22 5 2" xfId="53716"/>
    <cellStyle name="Обычный 6 22 6" xfId="32356"/>
    <cellStyle name="Обычный 6 23" xfId="318"/>
    <cellStyle name="Обычный 6 23 2" xfId="786"/>
    <cellStyle name="Обычный 6 23 2 2" xfId="6129"/>
    <cellStyle name="Обычный 6 23 2 2 2" xfId="16809"/>
    <cellStyle name="Обычный 6 23 2 2 2 2" xfId="48853"/>
    <cellStyle name="Обычный 6 23 2 2 3" xfId="27490"/>
    <cellStyle name="Обычный 6 23 2 2 3 2" xfId="59533"/>
    <cellStyle name="Обычный 6 23 2 2 4" xfId="38173"/>
    <cellStyle name="Обычный 6 23 2 3" xfId="11469"/>
    <cellStyle name="Обычный 6 23 2 3 2" xfId="43513"/>
    <cellStyle name="Обычный 6 23 2 4" xfId="22150"/>
    <cellStyle name="Обычный 6 23 2 4 2" xfId="54193"/>
    <cellStyle name="Обычный 6 23 2 5" xfId="32833"/>
    <cellStyle name="Обычный 6 23 3" xfId="5662"/>
    <cellStyle name="Обычный 6 23 3 2" xfId="16342"/>
    <cellStyle name="Обычный 6 23 3 2 2" xfId="48386"/>
    <cellStyle name="Обычный 6 23 3 3" xfId="27023"/>
    <cellStyle name="Обычный 6 23 3 3 2" xfId="59066"/>
    <cellStyle name="Обычный 6 23 3 4" xfId="37706"/>
    <cellStyle name="Обычный 6 23 4" xfId="11002"/>
    <cellStyle name="Обычный 6 23 4 2" xfId="43046"/>
    <cellStyle name="Обычный 6 23 5" xfId="21683"/>
    <cellStyle name="Обычный 6 23 5 2" xfId="53726"/>
    <cellStyle name="Обычный 6 23 6" xfId="32366"/>
    <cellStyle name="Обычный 6 24" xfId="328"/>
    <cellStyle name="Обычный 6 24 2" xfId="796"/>
    <cellStyle name="Обычный 6 24 2 2" xfId="6139"/>
    <cellStyle name="Обычный 6 24 2 2 2" xfId="16819"/>
    <cellStyle name="Обычный 6 24 2 2 2 2" xfId="48863"/>
    <cellStyle name="Обычный 6 24 2 2 3" xfId="27500"/>
    <cellStyle name="Обычный 6 24 2 2 3 2" xfId="59543"/>
    <cellStyle name="Обычный 6 24 2 2 4" xfId="38183"/>
    <cellStyle name="Обычный 6 24 2 3" xfId="11479"/>
    <cellStyle name="Обычный 6 24 2 3 2" xfId="43523"/>
    <cellStyle name="Обычный 6 24 2 4" xfId="22160"/>
    <cellStyle name="Обычный 6 24 2 4 2" xfId="54203"/>
    <cellStyle name="Обычный 6 24 2 5" xfId="32843"/>
    <cellStyle name="Обычный 6 24 3" xfId="5672"/>
    <cellStyle name="Обычный 6 24 3 2" xfId="16352"/>
    <cellStyle name="Обычный 6 24 3 2 2" xfId="48396"/>
    <cellStyle name="Обычный 6 24 3 3" xfId="27033"/>
    <cellStyle name="Обычный 6 24 3 3 2" xfId="59076"/>
    <cellStyle name="Обычный 6 24 3 4" xfId="37716"/>
    <cellStyle name="Обычный 6 24 4" xfId="11012"/>
    <cellStyle name="Обычный 6 24 4 2" xfId="43056"/>
    <cellStyle name="Обычный 6 24 5" xfId="21693"/>
    <cellStyle name="Обычный 6 24 5 2" xfId="53736"/>
    <cellStyle name="Обычный 6 24 6" xfId="32376"/>
    <cellStyle name="Обычный 6 25" xfId="338"/>
    <cellStyle name="Обычный 6 25 2" xfId="806"/>
    <cellStyle name="Обычный 6 25 2 2" xfId="6149"/>
    <cellStyle name="Обычный 6 25 2 2 2" xfId="16829"/>
    <cellStyle name="Обычный 6 25 2 2 2 2" xfId="48873"/>
    <cellStyle name="Обычный 6 25 2 2 3" xfId="27510"/>
    <cellStyle name="Обычный 6 25 2 2 3 2" xfId="59553"/>
    <cellStyle name="Обычный 6 25 2 2 4" xfId="38193"/>
    <cellStyle name="Обычный 6 25 2 3" xfId="11489"/>
    <cellStyle name="Обычный 6 25 2 3 2" xfId="43533"/>
    <cellStyle name="Обычный 6 25 2 4" xfId="22170"/>
    <cellStyle name="Обычный 6 25 2 4 2" xfId="54213"/>
    <cellStyle name="Обычный 6 25 2 5" xfId="32853"/>
    <cellStyle name="Обычный 6 25 3" xfId="5682"/>
    <cellStyle name="Обычный 6 25 3 2" xfId="16362"/>
    <cellStyle name="Обычный 6 25 3 2 2" xfId="48406"/>
    <cellStyle name="Обычный 6 25 3 3" xfId="27043"/>
    <cellStyle name="Обычный 6 25 3 3 2" xfId="59086"/>
    <cellStyle name="Обычный 6 25 3 4" xfId="37726"/>
    <cellStyle name="Обычный 6 25 4" xfId="11022"/>
    <cellStyle name="Обычный 6 25 4 2" xfId="43066"/>
    <cellStyle name="Обычный 6 25 5" xfId="21703"/>
    <cellStyle name="Обычный 6 25 5 2" xfId="53746"/>
    <cellStyle name="Обычный 6 25 6" xfId="32386"/>
    <cellStyle name="Обычный 6 26" xfId="348"/>
    <cellStyle name="Обычный 6 26 2" xfId="816"/>
    <cellStyle name="Обычный 6 26 2 2" xfId="6159"/>
    <cellStyle name="Обычный 6 26 2 2 2" xfId="16839"/>
    <cellStyle name="Обычный 6 26 2 2 2 2" xfId="48883"/>
    <cellStyle name="Обычный 6 26 2 2 3" xfId="27520"/>
    <cellStyle name="Обычный 6 26 2 2 3 2" xfId="59563"/>
    <cellStyle name="Обычный 6 26 2 2 4" xfId="38203"/>
    <cellStyle name="Обычный 6 26 2 3" xfId="11499"/>
    <cellStyle name="Обычный 6 26 2 3 2" xfId="43543"/>
    <cellStyle name="Обычный 6 26 2 4" xfId="22180"/>
    <cellStyle name="Обычный 6 26 2 4 2" xfId="54223"/>
    <cellStyle name="Обычный 6 26 2 5" xfId="32863"/>
    <cellStyle name="Обычный 6 26 3" xfId="5692"/>
    <cellStyle name="Обычный 6 26 3 2" xfId="16372"/>
    <cellStyle name="Обычный 6 26 3 2 2" xfId="48416"/>
    <cellStyle name="Обычный 6 26 3 3" xfId="27053"/>
    <cellStyle name="Обычный 6 26 3 3 2" xfId="59096"/>
    <cellStyle name="Обычный 6 26 3 4" xfId="37736"/>
    <cellStyle name="Обычный 6 26 4" xfId="11032"/>
    <cellStyle name="Обычный 6 26 4 2" xfId="43076"/>
    <cellStyle name="Обычный 6 26 5" xfId="21713"/>
    <cellStyle name="Обычный 6 26 5 2" xfId="53756"/>
    <cellStyle name="Обычный 6 26 6" xfId="32396"/>
    <cellStyle name="Обычный 6 27" xfId="358"/>
    <cellStyle name="Обычный 6 27 2" xfId="826"/>
    <cellStyle name="Обычный 6 27 2 2" xfId="6169"/>
    <cellStyle name="Обычный 6 27 2 2 2" xfId="16849"/>
    <cellStyle name="Обычный 6 27 2 2 2 2" xfId="48893"/>
    <cellStyle name="Обычный 6 27 2 2 3" xfId="27530"/>
    <cellStyle name="Обычный 6 27 2 2 3 2" xfId="59573"/>
    <cellStyle name="Обычный 6 27 2 2 4" xfId="38213"/>
    <cellStyle name="Обычный 6 27 2 3" xfId="11509"/>
    <cellStyle name="Обычный 6 27 2 3 2" xfId="43553"/>
    <cellStyle name="Обычный 6 27 2 4" xfId="22190"/>
    <cellStyle name="Обычный 6 27 2 4 2" xfId="54233"/>
    <cellStyle name="Обычный 6 27 2 5" xfId="32873"/>
    <cellStyle name="Обычный 6 27 3" xfId="5702"/>
    <cellStyle name="Обычный 6 27 3 2" xfId="16382"/>
    <cellStyle name="Обычный 6 27 3 2 2" xfId="48426"/>
    <cellStyle name="Обычный 6 27 3 3" xfId="27063"/>
    <cellStyle name="Обычный 6 27 3 3 2" xfId="59106"/>
    <cellStyle name="Обычный 6 27 3 4" xfId="37746"/>
    <cellStyle name="Обычный 6 27 4" xfId="11042"/>
    <cellStyle name="Обычный 6 27 4 2" xfId="43086"/>
    <cellStyle name="Обычный 6 27 5" xfId="21723"/>
    <cellStyle name="Обычный 6 27 5 2" xfId="53766"/>
    <cellStyle name="Обычный 6 27 6" xfId="32406"/>
    <cellStyle name="Обычный 6 28" xfId="368"/>
    <cellStyle name="Обычный 6 28 2" xfId="836"/>
    <cellStyle name="Обычный 6 28 2 2" xfId="6179"/>
    <cellStyle name="Обычный 6 28 2 2 2" xfId="16859"/>
    <cellStyle name="Обычный 6 28 2 2 2 2" xfId="48903"/>
    <cellStyle name="Обычный 6 28 2 2 3" xfId="27540"/>
    <cellStyle name="Обычный 6 28 2 2 3 2" xfId="59583"/>
    <cellStyle name="Обычный 6 28 2 2 4" xfId="38223"/>
    <cellStyle name="Обычный 6 28 2 3" xfId="11519"/>
    <cellStyle name="Обычный 6 28 2 3 2" xfId="43563"/>
    <cellStyle name="Обычный 6 28 2 4" xfId="22200"/>
    <cellStyle name="Обычный 6 28 2 4 2" xfId="54243"/>
    <cellStyle name="Обычный 6 28 2 5" xfId="32883"/>
    <cellStyle name="Обычный 6 28 3" xfId="5712"/>
    <cellStyle name="Обычный 6 28 3 2" xfId="16392"/>
    <cellStyle name="Обычный 6 28 3 2 2" xfId="48436"/>
    <cellStyle name="Обычный 6 28 3 3" xfId="27073"/>
    <cellStyle name="Обычный 6 28 3 3 2" xfId="59116"/>
    <cellStyle name="Обычный 6 28 3 4" xfId="37756"/>
    <cellStyle name="Обычный 6 28 4" xfId="11052"/>
    <cellStyle name="Обычный 6 28 4 2" xfId="43096"/>
    <cellStyle name="Обычный 6 28 5" xfId="21733"/>
    <cellStyle name="Обычный 6 28 5 2" xfId="53776"/>
    <cellStyle name="Обычный 6 28 6" xfId="32416"/>
    <cellStyle name="Обычный 6 29" xfId="378"/>
    <cellStyle name="Обычный 6 29 2" xfId="846"/>
    <cellStyle name="Обычный 6 29 2 2" xfId="6189"/>
    <cellStyle name="Обычный 6 29 2 2 2" xfId="16869"/>
    <cellStyle name="Обычный 6 29 2 2 2 2" xfId="48913"/>
    <cellStyle name="Обычный 6 29 2 2 3" xfId="27550"/>
    <cellStyle name="Обычный 6 29 2 2 3 2" xfId="59593"/>
    <cellStyle name="Обычный 6 29 2 2 4" xfId="38233"/>
    <cellStyle name="Обычный 6 29 2 3" xfId="11529"/>
    <cellStyle name="Обычный 6 29 2 3 2" xfId="43573"/>
    <cellStyle name="Обычный 6 29 2 4" xfId="22210"/>
    <cellStyle name="Обычный 6 29 2 4 2" xfId="54253"/>
    <cellStyle name="Обычный 6 29 2 5" xfId="32893"/>
    <cellStyle name="Обычный 6 29 3" xfId="5722"/>
    <cellStyle name="Обычный 6 29 3 2" xfId="16402"/>
    <cellStyle name="Обычный 6 29 3 2 2" xfId="48446"/>
    <cellStyle name="Обычный 6 29 3 3" xfId="27083"/>
    <cellStyle name="Обычный 6 29 3 3 2" xfId="59126"/>
    <cellStyle name="Обычный 6 29 3 4" xfId="37766"/>
    <cellStyle name="Обычный 6 29 4" xfId="11062"/>
    <cellStyle name="Обычный 6 29 4 2" xfId="43106"/>
    <cellStyle name="Обычный 6 29 5" xfId="21743"/>
    <cellStyle name="Обычный 6 29 5 2" xfId="53786"/>
    <cellStyle name="Обычный 6 29 6" xfId="32426"/>
    <cellStyle name="Обычный 6 3" xfId="118"/>
    <cellStyle name="Обычный 6 3 2" xfId="586"/>
    <cellStyle name="Обычный 6 3 2 2" xfId="5929"/>
    <cellStyle name="Обычный 6 3 2 2 2" xfId="16609"/>
    <cellStyle name="Обычный 6 3 2 2 2 2" xfId="48653"/>
    <cellStyle name="Обычный 6 3 2 2 3" xfId="27290"/>
    <cellStyle name="Обычный 6 3 2 2 3 2" xfId="59333"/>
    <cellStyle name="Обычный 6 3 2 2 4" xfId="37973"/>
    <cellStyle name="Обычный 6 3 2 3" xfId="11269"/>
    <cellStyle name="Обычный 6 3 2 3 2" xfId="43313"/>
    <cellStyle name="Обычный 6 3 2 4" xfId="21950"/>
    <cellStyle name="Обычный 6 3 2 4 2" xfId="53993"/>
    <cellStyle name="Обычный 6 3 2 5" xfId="32633"/>
    <cellStyle name="Обычный 6 3 3" xfId="5462"/>
    <cellStyle name="Обычный 6 3 3 2" xfId="16142"/>
    <cellStyle name="Обычный 6 3 3 2 2" xfId="48186"/>
    <cellStyle name="Обычный 6 3 3 3" xfId="26823"/>
    <cellStyle name="Обычный 6 3 3 3 2" xfId="58866"/>
    <cellStyle name="Обычный 6 3 3 4" xfId="37506"/>
    <cellStyle name="Обычный 6 3 4" xfId="10802"/>
    <cellStyle name="Обычный 6 3 4 2" xfId="42846"/>
    <cellStyle name="Обычный 6 3 5" xfId="21483"/>
    <cellStyle name="Обычный 6 3 5 2" xfId="53526"/>
    <cellStyle name="Обычный 6 3 6" xfId="32166"/>
    <cellStyle name="Обычный 6 30" xfId="388"/>
    <cellStyle name="Обычный 6 30 2" xfId="856"/>
    <cellStyle name="Обычный 6 30 2 2" xfId="6199"/>
    <cellStyle name="Обычный 6 30 2 2 2" xfId="16879"/>
    <cellStyle name="Обычный 6 30 2 2 2 2" xfId="48923"/>
    <cellStyle name="Обычный 6 30 2 2 3" xfId="27560"/>
    <cellStyle name="Обычный 6 30 2 2 3 2" xfId="59603"/>
    <cellStyle name="Обычный 6 30 2 2 4" xfId="38243"/>
    <cellStyle name="Обычный 6 30 2 3" xfId="11539"/>
    <cellStyle name="Обычный 6 30 2 3 2" xfId="43583"/>
    <cellStyle name="Обычный 6 30 2 4" xfId="22220"/>
    <cellStyle name="Обычный 6 30 2 4 2" xfId="54263"/>
    <cellStyle name="Обычный 6 30 2 5" xfId="32903"/>
    <cellStyle name="Обычный 6 30 3" xfId="5732"/>
    <cellStyle name="Обычный 6 30 3 2" xfId="16412"/>
    <cellStyle name="Обычный 6 30 3 2 2" xfId="48456"/>
    <cellStyle name="Обычный 6 30 3 3" xfId="27093"/>
    <cellStyle name="Обычный 6 30 3 3 2" xfId="59136"/>
    <cellStyle name="Обычный 6 30 3 4" xfId="37776"/>
    <cellStyle name="Обычный 6 30 4" xfId="11072"/>
    <cellStyle name="Обычный 6 30 4 2" xfId="43116"/>
    <cellStyle name="Обычный 6 30 5" xfId="21753"/>
    <cellStyle name="Обычный 6 30 5 2" xfId="53796"/>
    <cellStyle name="Обычный 6 30 6" xfId="32436"/>
    <cellStyle name="Обычный 6 31" xfId="398"/>
    <cellStyle name="Обычный 6 31 2" xfId="866"/>
    <cellStyle name="Обычный 6 31 2 2" xfId="6209"/>
    <cellStyle name="Обычный 6 31 2 2 2" xfId="16889"/>
    <cellStyle name="Обычный 6 31 2 2 2 2" xfId="48933"/>
    <cellStyle name="Обычный 6 31 2 2 3" xfId="27570"/>
    <cellStyle name="Обычный 6 31 2 2 3 2" xfId="59613"/>
    <cellStyle name="Обычный 6 31 2 2 4" xfId="38253"/>
    <cellStyle name="Обычный 6 31 2 3" xfId="11549"/>
    <cellStyle name="Обычный 6 31 2 3 2" xfId="43593"/>
    <cellStyle name="Обычный 6 31 2 4" xfId="22230"/>
    <cellStyle name="Обычный 6 31 2 4 2" xfId="54273"/>
    <cellStyle name="Обычный 6 31 2 5" xfId="32913"/>
    <cellStyle name="Обычный 6 31 3" xfId="5742"/>
    <cellStyle name="Обычный 6 31 3 2" xfId="16422"/>
    <cellStyle name="Обычный 6 31 3 2 2" xfId="48466"/>
    <cellStyle name="Обычный 6 31 3 3" xfId="27103"/>
    <cellStyle name="Обычный 6 31 3 3 2" xfId="59146"/>
    <cellStyle name="Обычный 6 31 3 4" xfId="37786"/>
    <cellStyle name="Обычный 6 31 4" xfId="11082"/>
    <cellStyle name="Обычный 6 31 4 2" xfId="43126"/>
    <cellStyle name="Обычный 6 31 5" xfId="21763"/>
    <cellStyle name="Обычный 6 31 5 2" xfId="53806"/>
    <cellStyle name="Обычный 6 31 6" xfId="32446"/>
    <cellStyle name="Обычный 6 32" xfId="410"/>
    <cellStyle name="Обычный 6 32 2" xfId="878"/>
    <cellStyle name="Обычный 6 32 2 2" xfId="6221"/>
    <cellStyle name="Обычный 6 32 2 2 2" xfId="16901"/>
    <cellStyle name="Обычный 6 32 2 2 2 2" xfId="48945"/>
    <cellStyle name="Обычный 6 32 2 2 3" xfId="27582"/>
    <cellStyle name="Обычный 6 32 2 2 3 2" xfId="59625"/>
    <cellStyle name="Обычный 6 32 2 2 4" xfId="38265"/>
    <cellStyle name="Обычный 6 32 2 3" xfId="11561"/>
    <cellStyle name="Обычный 6 32 2 3 2" xfId="43605"/>
    <cellStyle name="Обычный 6 32 2 4" xfId="22242"/>
    <cellStyle name="Обычный 6 32 2 4 2" xfId="54285"/>
    <cellStyle name="Обычный 6 32 2 5" xfId="32925"/>
    <cellStyle name="Обычный 6 32 3" xfId="5754"/>
    <cellStyle name="Обычный 6 32 3 2" xfId="16434"/>
    <cellStyle name="Обычный 6 32 3 2 2" xfId="48478"/>
    <cellStyle name="Обычный 6 32 3 3" xfId="27115"/>
    <cellStyle name="Обычный 6 32 3 3 2" xfId="59158"/>
    <cellStyle name="Обычный 6 32 3 4" xfId="37798"/>
    <cellStyle name="Обычный 6 32 4" xfId="11094"/>
    <cellStyle name="Обычный 6 32 4 2" xfId="43138"/>
    <cellStyle name="Обычный 6 32 5" xfId="21775"/>
    <cellStyle name="Обычный 6 32 5 2" xfId="53818"/>
    <cellStyle name="Обычный 6 32 6" xfId="32458"/>
    <cellStyle name="Обычный 6 33" xfId="422"/>
    <cellStyle name="Обычный 6 33 2" xfId="890"/>
    <cellStyle name="Обычный 6 33 2 2" xfId="6233"/>
    <cellStyle name="Обычный 6 33 2 2 2" xfId="16913"/>
    <cellStyle name="Обычный 6 33 2 2 2 2" xfId="48957"/>
    <cellStyle name="Обычный 6 33 2 2 3" xfId="27594"/>
    <cellStyle name="Обычный 6 33 2 2 3 2" xfId="59637"/>
    <cellStyle name="Обычный 6 33 2 2 4" xfId="38277"/>
    <cellStyle name="Обычный 6 33 2 3" xfId="11573"/>
    <cellStyle name="Обычный 6 33 2 3 2" xfId="43617"/>
    <cellStyle name="Обычный 6 33 2 4" xfId="22254"/>
    <cellStyle name="Обычный 6 33 2 4 2" xfId="54297"/>
    <cellStyle name="Обычный 6 33 2 5" xfId="32937"/>
    <cellStyle name="Обычный 6 33 3" xfId="5766"/>
    <cellStyle name="Обычный 6 33 3 2" xfId="16446"/>
    <cellStyle name="Обычный 6 33 3 2 2" xfId="48490"/>
    <cellStyle name="Обычный 6 33 3 3" xfId="27127"/>
    <cellStyle name="Обычный 6 33 3 3 2" xfId="59170"/>
    <cellStyle name="Обычный 6 33 3 4" xfId="37810"/>
    <cellStyle name="Обычный 6 33 4" xfId="11106"/>
    <cellStyle name="Обычный 6 33 4 2" xfId="43150"/>
    <cellStyle name="Обычный 6 33 5" xfId="21787"/>
    <cellStyle name="Обычный 6 33 5 2" xfId="53830"/>
    <cellStyle name="Обычный 6 33 6" xfId="32470"/>
    <cellStyle name="Обычный 6 34" xfId="434"/>
    <cellStyle name="Обычный 6 34 2" xfId="902"/>
    <cellStyle name="Обычный 6 34 2 2" xfId="6245"/>
    <cellStyle name="Обычный 6 34 2 2 2" xfId="16925"/>
    <cellStyle name="Обычный 6 34 2 2 2 2" xfId="48969"/>
    <cellStyle name="Обычный 6 34 2 2 3" xfId="27606"/>
    <cellStyle name="Обычный 6 34 2 2 3 2" xfId="59649"/>
    <cellStyle name="Обычный 6 34 2 2 4" xfId="38289"/>
    <cellStyle name="Обычный 6 34 2 3" xfId="11585"/>
    <cellStyle name="Обычный 6 34 2 3 2" xfId="43629"/>
    <cellStyle name="Обычный 6 34 2 4" xfId="22266"/>
    <cellStyle name="Обычный 6 34 2 4 2" xfId="54309"/>
    <cellStyle name="Обычный 6 34 2 5" xfId="32949"/>
    <cellStyle name="Обычный 6 34 3" xfId="5778"/>
    <cellStyle name="Обычный 6 34 3 2" xfId="16458"/>
    <cellStyle name="Обычный 6 34 3 2 2" xfId="48502"/>
    <cellStyle name="Обычный 6 34 3 3" xfId="27139"/>
    <cellStyle name="Обычный 6 34 3 3 2" xfId="59182"/>
    <cellStyle name="Обычный 6 34 3 4" xfId="37822"/>
    <cellStyle name="Обычный 6 34 4" xfId="11118"/>
    <cellStyle name="Обычный 6 34 4 2" xfId="43162"/>
    <cellStyle name="Обычный 6 34 5" xfId="21799"/>
    <cellStyle name="Обычный 6 34 5 2" xfId="53842"/>
    <cellStyle name="Обычный 6 34 6" xfId="32482"/>
    <cellStyle name="Обычный 6 35" xfId="446"/>
    <cellStyle name="Обычный 6 35 2" xfId="914"/>
    <cellStyle name="Обычный 6 35 2 2" xfId="6257"/>
    <cellStyle name="Обычный 6 35 2 2 2" xfId="16937"/>
    <cellStyle name="Обычный 6 35 2 2 2 2" xfId="48981"/>
    <cellStyle name="Обычный 6 35 2 2 3" xfId="27618"/>
    <cellStyle name="Обычный 6 35 2 2 3 2" xfId="59661"/>
    <cellStyle name="Обычный 6 35 2 2 4" xfId="38301"/>
    <cellStyle name="Обычный 6 35 2 3" xfId="11597"/>
    <cellStyle name="Обычный 6 35 2 3 2" xfId="43641"/>
    <cellStyle name="Обычный 6 35 2 4" xfId="22278"/>
    <cellStyle name="Обычный 6 35 2 4 2" xfId="54321"/>
    <cellStyle name="Обычный 6 35 2 5" xfId="32961"/>
    <cellStyle name="Обычный 6 35 3" xfId="5790"/>
    <cellStyle name="Обычный 6 35 3 2" xfId="16470"/>
    <cellStyle name="Обычный 6 35 3 2 2" xfId="48514"/>
    <cellStyle name="Обычный 6 35 3 3" xfId="27151"/>
    <cellStyle name="Обычный 6 35 3 3 2" xfId="59194"/>
    <cellStyle name="Обычный 6 35 3 4" xfId="37834"/>
    <cellStyle name="Обычный 6 35 4" xfId="11130"/>
    <cellStyle name="Обычный 6 35 4 2" xfId="43174"/>
    <cellStyle name="Обычный 6 35 5" xfId="21811"/>
    <cellStyle name="Обычный 6 35 5 2" xfId="53854"/>
    <cellStyle name="Обычный 6 35 6" xfId="32494"/>
    <cellStyle name="Обычный 6 36" xfId="458"/>
    <cellStyle name="Обычный 6 36 2" xfId="926"/>
    <cellStyle name="Обычный 6 36 2 2" xfId="6269"/>
    <cellStyle name="Обычный 6 36 2 2 2" xfId="16949"/>
    <cellStyle name="Обычный 6 36 2 2 2 2" xfId="48993"/>
    <cellStyle name="Обычный 6 36 2 2 3" xfId="27630"/>
    <cellStyle name="Обычный 6 36 2 2 3 2" xfId="59673"/>
    <cellStyle name="Обычный 6 36 2 2 4" xfId="38313"/>
    <cellStyle name="Обычный 6 36 2 3" xfId="11609"/>
    <cellStyle name="Обычный 6 36 2 3 2" xfId="43653"/>
    <cellStyle name="Обычный 6 36 2 4" xfId="22290"/>
    <cellStyle name="Обычный 6 36 2 4 2" xfId="54333"/>
    <cellStyle name="Обычный 6 36 2 5" xfId="32973"/>
    <cellStyle name="Обычный 6 36 3" xfId="5802"/>
    <cellStyle name="Обычный 6 36 3 2" xfId="16482"/>
    <cellStyle name="Обычный 6 36 3 2 2" xfId="48526"/>
    <cellStyle name="Обычный 6 36 3 3" xfId="27163"/>
    <cellStyle name="Обычный 6 36 3 3 2" xfId="59206"/>
    <cellStyle name="Обычный 6 36 3 4" xfId="37846"/>
    <cellStyle name="Обычный 6 36 4" xfId="11142"/>
    <cellStyle name="Обычный 6 36 4 2" xfId="43186"/>
    <cellStyle name="Обычный 6 36 5" xfId="21823"/>
    <cellStyle name="Обычный 6 36 5 2" xfId="53866"/>
    <cellStyle name="Обычный 6 36 6" xfId="32506"/>
    <cellStyle name="Обычный 6 37" xfId="470"/>
    <cellStyle name="Обычный 6 37 2" xfId="938"/>
    <cellStyle name="Обычный 6 37 2 2" xfId="6281"/>
    <cellStyle name="Обычный 6 37 2 2 2" xfId="16961"/>
    <cellStyle name="Обычный 6 37 2 2 2 2" xfId="49005"/>
    <cellStyle name="Обычный 6 37 2 2 3" xfId="27642"/>
    <cellStyle name="Обычный 6 37 2 2 3 2" xfId="59685"/>
    <cellStyle name="Обычный 6 37 2 2 4" xfId="38325"/>
    <cellStyle name="Обычный 6 37 2 3" xfId="11621"/>
    <cellStyle name="Обычный 6 37 2 3 2" xfId="43665"/>
    <cellStyle name="Обычный 6 37 2 4" xfId="22302"/>
    <cellStyle name="Обычный 6 37 2 4 2" xfId="54345"/>
    <cellStyle name="Обычный 6 37 2 5" xfId="32985"/>
    <cellStyle name="Обычный 6 37 3" xfId="5814"/>
    <cellStyle name="Обычный 6 37 3 2" xfId="16494"/>
    <cellStyle name="Обычный 6 37 3 2 2" xfId="48538"/>
    <cellStyle name="Обычный 6 37 3 3" xfId="27175"/>
    <cellStyle name="Обычный 6 37 3 3 2" xfId="59218"/>
    <cellStyle name="Обычный 6 37 3 4" xfId="37858"/>
    <cellStyle name="Обычный 6 37 4" xfId="11154"/>
    <cellStyle name="Обычный 6 37 4 2" xfId="43198"/>
    <cellStyle name="Обычный 6 37 5" xfId="21835"/>
    <cellStyle name="Обычный 6 37 5 2" xfId="53878"/>
    <cellStyle name="Обычный 6 37 6" xfId="32518"/>
    <cellStyle name="Обычный 6 38" xfId="482"/>
    <cellStyle name="Обычный 6 38 2" xfId="950"/>
    <cellStyle name="Обычный 6 38 2 2" xfId="6293"/>
    <cellStyle name="Обычный 6 38 2 2 2" xfId="16973"/>
    <cellStyle name="Обычный 6 38 2 2 2 2" xfId="49017"/>
    <cellStyle name="Обычный 6 38 2 2 3" xfId="27654"/>
    <cellStyle name="Обычный 6 38 2 2 3 2" xfId="59697"/>
    <cellStyle name="Обычный 6 38 2 2 4" xfId="38337"/>
    <cellStyle name="Обычный 6 38 2 3" xfId="11633"/>
    <cellStyle name="Обычный 6 38 2 3 2" xfId="43677"/>
    <cellStyle name="Обычный 6 38 2 4" xfId="22314"/>
    <cellStyle name="Обычный 6 38 2 4 2" xfId="54357"/>
    <cellStyle name="Обычный 6 38 2 5" xfId="32997"/>
    <cellStyle name="Обычный 6 38 3" xfId="5826"/>
    <cellStyle name="Обычный 6 38 3 2" xfId="16506"/>
    <cellStyle name="Обычный 6 38 3 2 2" xfId="48550"/>
    <cellStyle name="Обычный 6 38 3 3" xfId="27187"/>
    <cellStyle name="Обычный 6 38 3 3 2" xfId="59230"/>
    <cellStyle name="Обычный 6 38 3 4" xfId="37870"/>
    <cellStyle name="Обычный 6 38 4" xfId="11166"/>
    <cellStyle name="Обычный 6 38 4 2" xfId="43210"/>
    <cellStyle name="Обычный 6 38 5" xfId="21847"/>
    <cellStyle name="Обычный 6 38 5 2" xfId="53890"/>
    <cellStyle name="Обычный 6 38 6" xfId="32530"/>
    <cellStyle name="Обычный 6 39" xfId="494"/>
    <cellStyle name="Обычный 6 39 2" xfId="962"/>
    <cellStyle name="Обычный 6 39 2 2" xfId="6305"/>
    <cellStyle name="Обычный 6 39 2 2 2" xfId="16985"/>
    <cellStyle name="Обычный 6 39 2 2 2 2" xfId="49029"/>
    <cellStyle name="Обычный 6 39 2 2 3" xfId="27666"/>
    <cellStyle name="Обычный 6 39 2 2 3 2" xfId="59709"/>
    <cellStyle name="Обычный 6 39 2 2 4" xfId="38349"/>
    <cellStyle name="Обычный 6 39 2 3" xfId="11645"/>
    <cellStyle name="Обычный 6 39 2 3 2" xfId="43689"/>
    <cellStyle name="Обычный 6 39 2 4" xfId="22326"/>
    <cellStyle name="Обычный 6 39 2 4 2" xfId="54369"/>
    <cellStyle name="Обычный 6 39 2 5" xfId="33009"/>
    <cellStyle name="Обычный 6 39 3" xfId="5838"/>
    <cellStyle name="Обычный 6 39 3 2" xfId="16518"/>
    <cellStyle name="Обычный 6 39 3 2 2" xfId="48562"/>
    <cellStyle name="Обычный 6 39 3 3" xfId="27199"/>
    <cellStyle name="Обычный 6 39 3 3 2" xfId="59242"/>
    <cellStyle name="Обычный 6 39 3 4" xfId="37882"/>
    <cellStyle name="Обычный 6 39 4" xfId="11178"/>
    <cellStyle name="Обычный 6 39 4 2" xfId="43222"/>
    <cellStyle name="Обычный 6 39 5" xfId="21859"/>
    <cellStyle name="Обычный 6 39 5 2" xfId="53902"/>
    <cellStyle name="Обычный 6 39 6" xfId="32542"/>
    <cellStyle name="Обычный 6 4" xfId="128"/>
    <cellStyle name="Обычный 6 4 2" xfId="596"/>
    <cellStyle name="Обычный 6 4 2 2" xfId="5939"/>
    <cellStyle name="Обычный 6 4 2 2 2" xfId="16619"/>
    <cellStyle name="Обычный 6 4 2 2 2 2" xfId="48663"/>
    <cellStyle name="Обычный 6 4 2 2 3" xfId="27300"/>
    <cellStyle name="Обычный 6 4 2 2 3 2" xfId="59343"/>
    <cellStyle name="Обычный 6 4 2 2 4" xfId="37983"/>
    <cellStyle name="Обычный 6 4 2 3" xfId="11279"/>
    <cellStyle name="Обычный 6 4 2 3 2" xfId="43323"/>
    <cellStyle name="Обычный 6 4 2 4" xfId="21960"/>
    <cellStyle name="Обычный 6 4 2 4 2" xfId="54003"/>
    <cellStyle name="Обычный 6 4 2 5" xfId="32643"/>
    <cellStyle name="Обычный 6 4 3" xfId="5472"/>
    <cellStyle name="Обычный 6 4 3 2" xfId="16152"/>
    <cellStyle name="Обычный 6 4 3 2 2" xfId="48196"/>
    <cellStyle name="Обычный 6 4 3 3" xfId="26833"/>
    <cellStyle name="Обычный 6 4 3 3 2" xfId="58876"/>
    <cellStyle name="Обычный 6 4 3 4" xfId="37516"/>
    <cellStyle name="Обычный 6 4 4" xfId="10812"/>
    <cellStyle name="Обычный 6 4 4 2" xfId="42856"/>
    <cellStyle name="Обычный 6 4 5" xfId="21493"/>
    <cellStyle name="Обычный 6 4 5 2" xfId="53536"/>
    <cellStyle name="Обычный 6 4 6" xfId="32176"/>
    <cellStyle name="Обычный 6 40" xfId="566"/>
    <cellStyle name="Обычный 6 40 2" xfId="5909"/>
    <cellStyle name="Обычный 6 40 2 2" xfId="16589"/>
    <cellStyle name="Обычный 6 40 2 2 2" xfId="48633"/>
    <cellStyle name="Обычный 6 40 2 3" xfId="27270"/>
    <cellStyle name="Обычный 6 40 2 3 2" xfId="59313"/>
    <cellStyle name="Обычный 6 40 2 4" xfId="37953"/>
    <cellStyle name="Обычный 6 40 3" xfId="11249"/>
    <cellStyle name="Обычный 6 40 3 2" xfId="43293"/>
    <cellStyle name="Обычный 6 40 4" xfId="21930"/>
    <cellStyle name="Обычный 6 40 4 2" xfId="53973"/>
    <cellStyle name="Обычный 6 40 5" xfId="32613"/>
    <cellStyle name="Обычный 6 41" xfId="974"/>
    <cellStyle name="Обычный 6 41 2" xfId="6317"/>
    <cellStyle name="Обычный 6 41 2 2" xfId="16997"/>
    <cellStyle name="Обычный 6 41 2 2 2" xfId="49041"/>
    <cellStyle name="Обычный 6 41 2 3" xfId="27678"/>
    <cellStyle name="Обычный 6 41 2 3 2" xfId="59721"/>
    <cellStyle name="Обычный 6 41 2 4" xfId="38361"/>
    <cellStyle name="Обычный 6 41 3" xfId="11657"/>
    <cellStyle name="Обычный 6 41 3 2" xfId="43701"/>
    <cellStyle name="Обычный 6 41 4" xfId="22338"/>
    <cellStyle name="Обычный 6 41 4 2" xfId="54381"/>
    <cellStyle name="Обычный 6 41 5" xfId="33021"/>
    <cellStyle name="Обычный 6 42" xfId="998"/>
    <cellStyle name="Обычный 6 42 2" xfId="6341"/>
    <cellStyle name="Обычный 6 42 2 2" xfId="17021"/>
    <cellStyle name="Обычный 6 42 2 2 2" xfId="49065"/>
    <cellStyle name="Обычный 6 42 2 3" xfId="27702"/>
    <cellStyle name="Обычный 6 42 2 3 2" xfId="59745"/>
    <cellStyle name="Обычный 6 42 2 4" xfId="38385"/>
    <cellStyle name="Обычный 6 42 3" xfId="11681"/>
    <cellStyle name="Обычный 6 42 3 2" xfId="43725"/>
    <cellStyle name="Обычный 6 42 4" xfId="22362"/>
    <cellStyle name="Обычный 6 42 4 2" xfId="54405"/>
    <cellStyle name="Обычный 6 42 5" xfId="33045"/>
    <cellStyle name="Обычный 6 43" xfId="1022"/>
    <cellStyle name="Обычный 6 43 2" xfId="6365"/>
    <cellStyle name="Обычный 6 43 2 2" xfId="17045"/>
    <cellStyle name="Обычный 6 43 2 2 2" xfId="49089"/>
    <cellStyle name="Обычный 6 43 2 3" xfId="27726"/>
    <cellStyle name="Обычный 6 43 2 3 2" xfId="59769"/>
    <cellStyle name="Обычный 6 43 2 4" xfId="38409"/>
    <cellStyle name="Обычный 6 43 3" xfId="11705"/>
    <cellStyle name="Обычный 6 43 3 2" xfId="43749"/>
    <cellStyle name="Обычный 6 43 4" xfId="22386"/>
    <cellStyle name="Обычный 6 43 4 2" xfId="54429"/>
    <cellStyle name="Обычный 6 43 5" xfId="33069"/>
    <cellStyle name="Обычный 6 44" xfId="1048"/>
    <cellStyle name="Обычный 6 44 2" xfId="6391"/>
    <cellStyle name="Обычный 6 44 2 2" xfId="17071"/>
    <cellStyle name="Обычный 6 44 2 2 2" xfId="49115"/>
    <cellStyle name="Обычный 6 44 2 3" xfId="27752"/>
    <cellStyle name="Обычный 6 44 2 3 2" xfId="59795"/>
    <cellStyle name="Обычный 6 44 2 4" xfId="38435"/>
    <cellStyle name="Обычный 6 44 3" xfId="11731"/>
    <cellStyle name="Обычный 6 44 3 2" xfId="43775"/>
    <cellStyle name="Обычный 6 44 4" xfId="22412"/>
    <cellStyle name="Обычный 6 44 4 2" xfId="54455"/>
    <cellStyle name="Обычный 6 44 5" xfId="33095"/>
    <cellStyle name="Обычный 6 45" xfId="1074"/>
    <cellStyle name="Обычный 6 45 2" xfId="6417"/>
    <cellStyle name="Обычный 6 45 2 2" xfId="17097"/>
    <cellStyle name="Обычный 6 45 2 2 2" xfId="49141"/>
    <cellStyle name="Обычный 6 45 2 3" xfId="27778"/>
    <cellStyle name="Обычный 6 45 2 3 2" xfId="59821"/>
    <cellStyle name="Обычный 6 45 2 4" xfId="38461"/>
    <cellStyle name="Обычный 6 45 3" xfId="11757"/>
    <cellStyle name="Обычный 6 45 3 2" xfId="43801"/>
    <cellStyle name="Обычный 6 45 4" xfId="22438"/>
    <cellStyle name="Обычный 6 45 4 2" xfId="54481"/>
    <cellStyle name="Обычный 6 45 5" xfId="33121"/>
    <cellStyle name="Обычный 6 46" xfId="1100"/>
    <cellStyle name="Обычный 6 46 2" xfId="6443"/>
    <cellStyle name="Обычный 6 46 2 2" xfId="17123"/>
    <cellStyle name="Обычный 6 46 2 2 2" xfId="49167"/>
    <cellStyle name="Обычный 6 46 2 3" xfId="27804"/>
    <cellStyle name="Обычный 6 46 2 3 2" xfId="59847"/>
    <cellStyle name="Обычный 6 46 2 4" xfId="38487"/>
    <cellStyle name="Обычный 6 46 3" xfId="11783"/>
    <cellStyle name="Обычный 6 46 3 2" xfId="43827"/>
    <cellStyle name="Обычный 6 46 4" xfId="22464"/>
    <cellStyle name="Обычный 6 46 4 2" xfId="54507"/>
    <cellStyle name="Обычный 6 46 5" xfId="33147"/>
    <cellStyle name="Обычный 6 47" xfId="1126"/>
    <cellStyle name="Обычный 6 47 2" xfId="6469"/>
    <cellStyle name="Обычный 6 47 2 2" xfId="17149"/>
    <cellStyle name="Обычный 6 47 2 2 2" xfId="49193"/>
    <cellStyle name="Обычный 6 47 2 3" xfId="27830"/>
    <cellStyle name="Обычный 6 47 2 3 2" xfId="59873"/>
    <cellStyle name="Обычный 6 47 2 4" xfId="38513"/>
    <cellStyle name="Обычный 6 47 3" xfId="11809"/>
    <cellStyle name="Обычный 6 47 3 2" xfId="43853"/>
    <cellStyle name="Обычный 6 47 4" xfId="22490"/>
    <cellStyle name="Обычный 6 47 4 2" xfId="54533"/>
    <cellStyle name="Обычный 6 47 5" xfId="33173"/>
    <cellStyle name="Обычный 6 48" xfId="1152"/>
    <cellStyle name="Обычный 6 48 2" xfId="6495"/>
    <cellStyle name="Обычный 6 48 2 2" xfId="17175"/>
    <cellStyle name="Обычный 6 48 2 2 2" xfId="49219"/>
    <cellStyle name="Обычный 6 48 2 3" xfId="27856"/>
    <cellStyle name="Обычный 6 48 2 3 2" xfId="59899"/>
    <cellStyle name="Обычный 6 48 2 4" xfId="38539"/>
    <cellStyle name="Обычный 6 48 3" xfId="11835"/>
    <cellStyle name="Обычный 6 48 3 2" xfId="43879"/>
    <cellStyle name="Обычный 6 48 4" xfId="22516"/>
    <cellStyle name="Обычный 6 48 4 2" xfId="54559"/>
    <cellStyle name="Обычный 6 48 5" xfId="33199"/>
    <cellStyle name="Обычный 6 49" xfId="1178"/>
    <cellStyle name="Обычный 6 49 2" xfId="6521"/>
    <cellStyle name="Обычный 6 49 2 2" xfId="17201"/>
    <cellStyle name="Обычный 6 49 2 2 2" xfId="49245"/>
    <cellStyle name="Обычный 6 49 2 3" xfId="27882"/>
    <cellStyle name="Обычный 6 49 2 3 2" xfId="59925"/>
    <cellStyle name="Обычный 6 49 2 4" xfId="38565"/>
    <cellStyle name="Обычный 6 49 3" xfId="11861"/>
    <cellStyle name="Обычный 6 49 3 2" xfId="43905"/>
    <cellStyle name="Обычный 6 49 4" xfId="22542"/>
    <cellStyle name="Обычный 6 49 4 2" xfId="54585"/>
    <cellStyle name="Обычный 6 49 5" xfId="33225"/>
    <cellStyle name="Обычный 6 5" xfId="138"/>
    <cellStyle name="Обычный 6 5 2" xfId="606"/>
    <cellStyle name="Обычный 6 5 2 2" xfId="5949"/>
    <cellStyle name="Обычный 6 5 2 2 2" xfId="16629"/>
    <cellStyle name="Обычный 6 5 2 2 2 2" xfId="48673"/>
    <cellStyle name="Обычный 6 5 2 2 3" xfId="27310"/>
    <cellStyle name="Обычный 6 5 2 2 3 2" xfId="59353"/>
    <cellStyle name="Обычный 6 5 2 2 4" xfId="37993"/>
    <cellStyle name="Обычный 6 5 2 3" xfId="11289"/>
    <cellStyle name="Обычный 6 5 2 3 2" xfId="43333"/>
    <cellStyle name="Обычный 6 5 2 4" xfId="21970"/>
    <cellStyle name="Обычный 6 5 2 4 2" xfId="54013"/>
    <cellStyle name="Обычный 6 5 2 5" xfId="32653"/>
    <cellStyle name="Обычный 6 5 3" xfId="5482"/>
    <cellStyle name="Обычный 6 5 3 2" xfId="16162"/>
    <cellStyle name="Обычный 6 5 3 2 2" xfId="48206"/>
    <cellStyle name="Обычный 6 5 3 3" xfId="26843"/>
    <cellStyle name="Обычный 6 5 3 3 2" xfId="58886"/>
    <cellStyle name="Обычный 6 5 3 4" xfId="37526"/>
    <cellStyle name="Обычный 6 5 4" xfId="10822"/>
    <cellStyle name="Обычный 6 5 4 2" xfId="42866"/>
    <cellStyle name="Обычный 6 5 5" xfId="21503"/>
    <cellStyle name="Обычный 6 5 5 2" xfId="53546"/>
    <cellStyle name="Обычный 6 5 6" xfId="32186"/>
    <cellStyle name="Обычный 6 50" xfId="1204"/>
    <cellStyle name="Обычный 6 50 2" xfId="6547"/>
    <cellStyle name="Обычный 6 50 2 2" xfId="17227"/>
    <cellStyle name="Обычный 6 50 2 2 2" xfId="49271"/>
    <cellStyle name="Обычный 6 50 2 3" xfId="27908"/>
    <cellStyle name="Обычный 6 50 2 3 2" xfId="59951"/>
    <cellStyle name="Обычный 6 50 2 4" xfId="38591"/>
    <cellStyle name="Обычный 6 50 3" xfId="11887"/>
    <cellStyle name="Обычный 6 50 3 2" xfId="43931"/>
    <cellStyle name="Обычный 6 50 4" xfId="22568"/>
    <cellStyle name="Обычный 6 50 4 2" xfId="54611"/>
    <cellStyle name="Обычный 6 50 5" xfId="33251"/>
    <cellStyle name="Обычный 6 51" xfId="1230"/>
    <cellStyle name="Обычный 6 51 2" xfId="6573"/>
    <cellStyle name="Обычный 6 51 2 2" xfId="17253"/>
    <cellStyle name="Обычный 6 51 2 2 2" xfId="49297"/>
    <cellStyle name="Обычный 6 51 2 3" xfId="27934"/>
    <cellStyle name="Обычный 6 51 2 3 2" xfId="59977"/>
    <cellStyle name="Обычный 6 51 2 4" xfId="38617"/>
    <cellStyle name="Обычный 6 51 3" xfId="11913"/>
    <cellStyle name="Обычный 6 51 3 2" xfId="43957"/>
    <cellStyle name="Обычный 6 51 4" xfId="22594"/>
    <cellStyle name="Обычный 6 51 4 2" xfId="54637"/>
    <cellStyle name="Обычный 6 51 5" xfId="33277"/>
    <cellStyle name="Обычный 6 52" xfId="1256"/>
    <cellStyle name="Обычный 6 52 2" xfId="6599"/>
    <cellStyle name="Обычный 6 52 2 2" xfId="17279"/>
    <cellStyle name="Обычный 6 52 2 2 2" xfId="49323"/>
    <cellStyle name="Обычный 6 52 2 3" xfId="27960"/>
    <cellStyle name="Обычный 6 52 2 3 2" xfId="60003"/>
    <cellStyle name="Обычный 6 52 2 4" xfId="38643"/>
    <cellStyle name="Обычный 6 52 3" xfId="11939"/>
    <cellStyle name="Обычный 6 52 3 2" xfId="43983"/>
    <cellStyle name="Обычный 6 52 4" xfId="22620"/>
    <cellStyle name="Обычный 6 52 4 2" xfId="54663"/>
    <cellStyle name="Обычный 6 52 5" xfId="33303"/>
    <cellStyle name="Обычный 6 53" xfId="1282"/>
    <cellStyle name="Обычный 6 53 2" xfId="6625"/>
    <cellStyle name="Обычный 6 53 2 2" xfId="17305"/>
    <cellStyle name="Обычный 6 53 2 2 2" xfId="49349"/>
    <cellStyle name="Обычный 6 53 2 3" xfId="27986"/>
    <cellStyle name="Обычный 6 53 2 3 2" xfId="60029"/>
    <cellStyle name="Обычный 6 53 2 4" xfId="38669"/>
    <cellStyle name="Обычный 6 53 3" xfId="11965"/>
    <cellStyle name="Обычный 6 53 3 2" xfId="44009"/>
    <cellStyle name="Обычный 6 53 4" xfId="22646"/>
    <cellStyle name="Обычный 6 53 4 2" xfId="54689"/>
    <cellStyle name="Обычный 6 53 5" xfId="33329"/>
    <cellStyle name="Обычный 6 54" xfId="1309"/>
    <cellStyle name="Обычный 6 54 2" xfId="6651"/>
    <cellStyle name="Обычный 6 54 2 2" xfId="17331"/>
    <cellStyle name="Обычный 6 54 2 2 2" xfId="49375"/>
    <cellStyle name="Обычный 6 54 2 3" xfId="28012"/>
    <cellStyle name="Обычный 6 54 2 3 2" xfId="60055"/>
    <cellStyle name="Обычный 6 54 2 4" xfId="38695"/>
    <cellStyle name="Обычный 6 54 3" xfId="11991"/>
    <cellStyle name="Обычный 6 54 3 2" xfId="44035"/>
    <cellStyle name="Обычный 6 54 4" xfId="22672"/>
    <cellStyle name="Обычный 6 54 4 2" xfId="54715"/>
    <cellStyle name="Обычный 6 54 5" xfId="33355"/>
    <cellStyle name="Обычный 6 55" xfId="1335"/>
    <cellStyle name="Обычный 6 55 2" xfId="6677"/>
    <cellStyle name="Обычный 6 55 2 2" xfId="17357"/>
    <cellStyle name="Обычный 6 55 2 2 2" xfId="49401"/>
    <cellStyle name="Обычный 6 55 2 3" xfId="28038"/>
    <cellStyle name="Обычный 6 55 2 3 2" xfId="60081"/>
    <cellStyle name="Обычный 6 55 2 4" xfId="38721"/>
    <cellStyle name="Обычный 6 55 3" xfId="12017"/>
    <cellStyle name="Обычный 6 55 3 2" xfId="44061"/>
    <cellStyle name="Обычный 6 55 4" xfId="22698"/>
    <cellStyle name="Обычный 6 55 4 2" xfId="54741"/>
    <cellStyle name="Обычный 6 55 5" xfId="33381"/>
    <cellStyle name="Обычный 6 56" xfId="1361"/>
    <cellStyle name="Обычный 6 56 2" xfId="6703"/>
    <cellStyle name="Обычный 6 56 2 2" xfId="17383"/>
    <cellStyle name="Обычный 6 56 2 2 2" xfId="49427"/>
    <cellStyle name="Обычный 6 56 2 3" xfId="28064"/>
    <cellStyle name="Обычный 6 56 2 3 2" xfId="60107"/>
    <cellStyle name="Обычный 6 56 2 4" xfId="38747"/>
    <cellStyle name="Обычный 6 56 3" xfId="12043"/>
    <cellStyle name="Обычный 6 56 3 2" xfId="44087"/>
    <cellStyle name="Обычный 6 56 4" xfId="22724"/>
    <cellStyle name="Обычный 6 56 4 2" xfId="54767"/>
    <cellStyle name="Обычный 6 56 5" xfId="33407"/>
    <cellStyle name="Обычный 6 57" xfId="1387"/>
    <cellStyle name="Обычный 6 57 2" xfId="6729"/>
    <cellStyle name="Обычный 6 57 2 2" xfId="17409"/>
    <cellStyle name="Обычный 6 57 2 2 2" xfId="49453"/>
    <cellStyle name="Обычный 6 57 2 3" xfId="28090"/>
    <cellStyle name="Обычный 6 57 2 3 2" xfId="60133"/>
    <cellStyle name="Обычный 6 57 2 4" xfId="38773"/>
    <cellStyle name="Обычный 6 57 3" xfId="12069"/>
    <cellStyle name="Обычный 6 57 3 2" xfId="44113"/>
    <cellStyle name="Обычный 6 57 4" xfId="22750"/>
    <cellStyle name="Обычный 6 57 4 2" xfId="54793"/>
    <cellStyle name="Обычный 6 57 5" xfId="33433"/>
    <cellStyle name="Обычный 6 58" xfId="1413"/>
    <cellStyle name="Обычный 6 58 2" xfId="6755"/>
    <cellStyle name="Обычный 6 58 2 2" xfId="17435"/>
    <cellStyle name="Обычный 6 58 2 2 2" xfId="49479"/>
    <cellStyle name="Обычный 6 58 2 3" xfId="28116"/>
    <cellStyle name="Обычный 6 58 2 3 2" xfId="60159"/>
    <cellStyle name="Обычный 6 58 2 4" xfId="38799"/>
    <cellStyle name="Обычный 6 58 3" xfId="12095"/>
    <cellStyle name="Обычный 6 58 3 2" xfId="44139"/>
    <cellStyle name="Обычный 6 58 4" xfId="22776"/>
    <cellStyle name="Обычный 6 58 4 2" xfId="54819"/>
    <cellStyle name="Обычный 6 58 5" xfId="33459"/>
    <cellStyle name="Обычный 6 59" xfId="1439"/>
    <cellStyle name="Обычный 6 59 2" xfId="6781"/>
    <cellStyle name="Обычный 6 59 2 2" xfId="17461"/>
    <cellStyle name="Обычный 6 59 2 2 2" xfId="49505"/>
    <cellStyle name="Обычный 6 59 2 3" xfId="28142"/>
    <cellStyle name="Обычный 6 59 2 3 2" xfId="60185"/>
    <cellStyle name="Обычный 6 59 2 4" xfId="38825"/>
    <cellStyle name="Обычный 6 59 3" xfId="12121"/>
    <cellStyle name="Обычный 6 59 3 2" xfId="44165"/>
    <cellStyle name="Обычный 6 59 4" xfId="22802"/>
    <cellStyle name="Обычный 6 59 4 2" xfId="54845"/>
    <cellStyle name="Обычный 6 59 5" xfId="33485"/>
    <cellStyle name="Обычный 6 6" xfId="148"/>
    <cellStyle name="Обычный 6 6 2" xfId="616"/>
    <cellStyle name="Обычный 6 6 2 2" xfId="5959"/>
    <cellStyle name="Обычный 6 6 2 2 2" xfId="16639"/>
    <cellStyle name="Обычный 6 6 2 2 2 2" xfId="48683"/>
    <cellStyle name="Обычный 6 6 2 2 3" xfId="27320"/>
    <cellStyle name="Обычный 6 6 2 2 3 2" xfId="59363"/>
    <cellStyle name="Обычный 6 6 2 2 4" xfId="38003"/>
    <cellStyle name="Обычный 6 6 2 3" xfId="11299"/>
    <cellStyle name="Обычный 6 6 2 3 2" xfId="43343"/>
    <cellStyle name="Обычный 6 6 2 4" xfId="21980"/>
    <cellStyle name="Обычный 6 6 2 4 2" xfId="54023"/>
    <cellStyle name="Обычный 6 6 2 5" xfId="32663"/>
    <cellStyle name="Обычный 6 6 3" xfId="5492"/>
    <cellStyle name="Обычный 6 6 3 2" xfId="16172"/>
    <cellStyle name="Обычный 6 6 3 2 2" xfId="48216"/>
    <cellStyle name="Обычный 6 6 3 3" xfId="26853"/>
    <cellStyle name="Обычный 6 6 3 3 2" xfId="58896"/>
    <cellStyle name="Обычный 6 6 3 4" xfId="37536"/>
    <cellStyle name="Обычный 6 6 4" xfId="10832"/>
    <cellStyle name="Обычный 6 6 4 2" xfId="42876"/>
    <cellStyle name="Обычный 6 6 5" xfId="21513"/>
    <cellStyle name="Обычный 6 6 5 2" xfId="53556"/>
    <cellStyle name="Обычный 6 6 6" xfId="32196"/>
    <cellStyle name="Обычный 6 60" xfId="1465"/>
    <cellStyle name="Обычный 6 60 2" xfId="6807"/>
    <cellStyle name="Обычный 6 60 2 2" xfId="17487"/>
    <cellStyle name="Обычный 6 60 2 2 2" xfId="49531"/>
    <cellStyle name="Обычный 6 60 2 3" xfId="28168"/>
    <cellStyle name="Обычный 6 60 2 3 2" xfId="60211"/>
    <cellStyle name="Обычный 6 60 2 4" xfId="38851"/>
    <cellStyle name="Обычный 6 60 3" xfId="12147"/>
    <cellStyle name="Обычный 6 60 3 2" xfId="44191"/>
    <cellStyle name="Обычный 6 60 4" xfId="22828"/>
    <cellStyle name="Обычный 6 60 4 2" xfId="54871"/>
    <cellStyle name="Обычный 6 60 5" xfId="33511"/>
    <cellStyle name="Обычный 6 61" xfId="1491"/>
    <cellStyle name="Обычный 6 61 2" xfId="6833"/>
    <cellStyle name="Обычный 6 61 2 2" xfId="17513"/>
    <cellStyle name="Обычный 6 61 2 2 2" xfId="49557"/>
    <cellStyle name="Обычный 6 61 2 3" xfId="28194"/>
    <cellStyle name="Обычный 6 61 2 3 2" xfId="60237"/>
    <cellStyle name="Обычный 6 61 2 4" xfId="38877"/>
    <cellStyle name="Обычный 6 61 3" xfId="12173"/>
    <cellStyle name="Обычный 6 61 3 2" xfId="44217"/>
    <cellStyle name="Обычный 6 61 4" xfId="22854"/>
    <cellStyle name="Обычный 6 61 4 2" xfId="54897"/>
    <cellStyle name="Обычный 6 61 5" xfId="33537"/>
    <cellStyle name="Обычный 6 62" xfId="1517"/>
    <cellStyle name="Обычный 6 62 2" xfId="6859"/>
    <cellStyle name="Обычный 6 62 2 2" xfId="17539"/>
    <cellStyle name="Обычный 6 62 2 2 2" xfId="49583"/>
    <cellStyle name="Обычный 6 62 2 3" xfId="28220"/>
    <cellStyle name="Обычный 6 62 2 3 2" xfId="60263"/>
    <cellStyle name="Обычный 6 62 2 4" xfId="38903"/>
    <cellStyle name="Обычный 6 62 3" xfId="12199"/>
    <cellStyle name="Обычный 6 62 3 2" xfId="44243"/>
    <cellStyle name="Обычный 6 62 4" xfId="22880"/>
    <cellStyle name="Обычный 6 62 4 2" xfId="54923"/>
    <cellStyle name="Обычный 6 62 5" xfId="33563"/>
    <cellStyle name="Обычный 6 63" xfId="1543"/>
    <cellStyle name="Обычный 6 63 2" xfId="6885"/>
    <cellStyle name="Обычный 6 63 2 2" xfId="17565"/>
    <cellStyle name="Обычный 6 63 2 2 2" xfId="49609"/>
    <cellStyle name="Обычный 6 63 2 3" xfId="28246"/>
    <cellStyle name="Обычный 6 63 2 3 2" xfId="60289"/>
    <cellStyle name="Обычный 6 63 2 4" xfId="38929"/>
    <cellStyle name="Обычный 6 63 3" xfId="12225"/>
    <cellStyle name="Обычный 6 63 3 2" xfId="44269"/>
    <cellStyle name="Обычный 6 63 4" xfId="22906"/>
    <cellStyle name="Обычный 6 63 4 2" xfId="54949"/>
    <cellStyle name="Обычный 6 63 5" xfId="33589"/>
    <cellStyle name="Обычный 6 64" xfId="1569"/>
    <cellStyle name="Обычный 6 64 2" xfId="6911"/>
    <cellStyle name="Обычный 6 64 2 2" xfId="17591"/>
    <cellStyle name="Обычный 6 64 2 2 2" xfId="49635"/>
    <cellStyle name="Обычный 6 64 2 3" xfId="28272"/>
    <cellStyle name="Обычный 6 64 2 3 2" xfId="60315"/>
    <cellStyle name="Обычный 6 64 2 4" xfId="38955"/>
    <cellStyle name="Обычный 6 64 3" xfId="12251"/>
    <cellStyle name="Обычный 6 64 3 2" xfId="44295"/>
    <cellStyle name="Обычный 6 64 4" xfId="22932"/>
    <cellStyle name="Обычный 6 64 4 2" xfId="54975"/>
    <cellStyle name="Обычный 6 64 5" xfId="33615"/>
    <cellStyle name="Обычный 6 65" xfId="1595"/>
    <cellStyle name="Обычный 6 65 2" xfId="6937"/>
    <cellStyle name="Обычный 6 65 2 2" xfId="17617"/>
    <cellStyle name="Обычный 6 65 2 2 2" xfId="49661"/>
    <cellStyle name="Обычный 6 65 2 3" xfId="28298"/>
    <cellStyle name="Обычный 6 65 2 3 2" xfId="60341"/>
    <cellStyle name="Обычный 6 65 2 4" xfId="38981"/>
    <cellStyle name="Обычный 6 65 3" xfId="12277"/>
    <cellStyle name="Обычный 6 65 3 2" xfId="44321"/>
    <cellStyle name="Обычный 6 65 4" xfId="22958"/>
    <cellStyle name="Обычный 6 65 4 2" xfId="55001"/>
    <cellStyle name="Обычный 6 65 5" xfId="33641"/>
    <cellStyle name="Обычный 6 66" xfId="1621"/>
    <cellStyle name="Обычный 6 66 2" xfId="6963"/>
    <cellStyle name="Обычный 6 66 2 2" xfId="17643"/>
    <cellStyle name="Обычный 6 66 2 2 2" xfId="49687"/>
    <cellStyle name="Обычный 6 66 2 3" xfId="28324"/>
    <cellStyle name="Обычный 6 66 2 3 2" xfId="60367"/>
    <cellStyle name="Обычный 6 66 2 4" xfId="39007"/>
    <cellStyle name="Обычный 6 66 3" xfId="12303"/>
    <cellStyle name="Обычный 6 66 3 2" xfId="44347"/>
    <cellStyle name="Обычный 6 66 4" xfId="22984"/>
    <cellStyle name="Обычный 6 66 4 2" xfId="55027"/>
    <cellStyle name="Обычный 6 66 5" xfId="33667"/>
    <cellStyle name="Обычный 6 67" xfId="1647"/>
    <cellStyle name="Обычный 6 67 2" xfId="6989"/>
    <cellStyle name="Обычный 6 67 2 2" xfId="17669"/>
    <cellStyle name="Обычный 6 67 2 2 2" xfId="49713"/>
    <cellStyle name="Обычный 6 67 2 3" xfId="28350"/>
    <cellStyle name="Обычный 6 67 2 3 2" xfId="60393"/>
    <cellStyle name="Обычный 6 67 2 4" xfId="39033"/>
    <cellStyle name="Обычный 6 67 3" xfId="12329"/>
    <cellStyle name="Обычный 6 67 3 2" xfId="44373"/>
    <cellStyle name="Обычный 6 67 4" xfId="23010"/>
    <cellStyle name="Обычный 6 67 4 2" xfId="55053"/>
    <cellStyle name="Обычный 6 67 5" xfId="33693"/>
    <cellStyle name="Обычный 6 68" xfId="1673"/>
    <cellStyle name="Обычный 6 68 2" xfId="7015"/>
    <cellStyle name="Обычный 6 68 2 2" xfId="17695"/>
    <cellStyle name="Обычный 6 68 2 2 2" xfId="49739"/>
    <cellStyle name="Обычный 6 68 2 3" xfId="28376"/>
    <cellStyle name="Обычный 6 68 2 3 2" xfId="60419"/>
    <cellStyle name="Обычный 6 68 2 4" xfId="39059"/>
    <cellStyle name="Обычный 6 68 3" xfId="12355"/>
    <cellStyle name="Обычный 6 68 3 2" xfId="44399"/>
    <cellStyle name="Обычный 6 68 4" xfId="23036"/>
    <cellStyle name="Обычный 6 68 4 2" xfId="55079"/>
    <cellStyle name="Обычный 6 68 5" xfId="33719"/>
    <cellStyle name="Обычный 6 69" xfId="1699"/>
    <cellStyle name="Обычный 6 69 2" xfId="7041"/>
    <cellStyle name="Обычный 6 69 2 2" xfId="17721"/>
    <cellStyle name="Обычный 6 69 2 2 2" xfId="49765"/>
    <cellStyle name="Обычный 6 69 2 3" xfId="28402"/>
    <cellStyle name="Обычный 6 69 2 3 2" xfId="60445"/>
    <cellStyle name="Обычный 6 69 2 4" xfId="39085"/>
    <cellStyle name="Обычный 6 69 3" xfId="12381"/>
    <cellStyle name="Обычный 6 69 3 2" xfId="44425"/>
    <cellStyle name="Обычный 6 69 4" xfId="23062"/>
    <cellStyle name="Обычный 6 69 4 2" xfId="55105"/>
    <cellStyle name="Обычный 6 69 5" xfId="33745"/>
    <cellStyle name="Обычный 6 7" xfId="158"/>
    <cellStyle name="Обычный 6 7 2" xfId="626"/>
    <cellStyle name="Обычный 6 7 2 2" xfId="5969"/>
    <cellStyle name="Обычный 6 7 2 2 2" xfId="16649"/>
    <cellStyle name="Обычный 6 7 2 2 2 2" xfId="48693"/>
    <cellStyle name="Обычный 6 7 2 2 3" xfId="27330"/>
    <cellStyle name="Обычный 6 7 2 2 3 2" xfId="59373"/>
    <cellStyle name="Обычный 6 7 2 2 4" xfId="38013"/>
    <cellStyle name="Обычный 6 7 2 3" xfId="11309"/>
    <cellStyle name="Обычный 6 7 2 3 2" xfId="43353"/>
    <cellStyle name="Обычный 6 7 2 4" xfId="21990"/>
    <cellStyle name="Обычный 6 7 2 4 2" xfId="54033"/>
    <cellStyle name="Обычный 6 7 2 5" xfId="32673"/>
    <cellStyle name="Обычный 6 7 3" xfId="5502"/>
    <cellStyle name="Обычный 6 7 3 2" xfId="16182"/>
    <cellStyle name="Обычный 6 7 3 2 2" xfId="48226"/>
    <cellStyle name="Обычный 6 7 3 3" xfId="26863"/>
    <cellStyle name="Обычный 6 7 3 3 2" xfId="58906"/>
    <cellStyle name="Обычный 6 7 3 4" xfId="37546"/>
    <cellStyle name="Обычный 6 7 4" xfId="10842"/>
    <cellStyle name="Обычный 6 7 4 2" xfId="42886"/>
    <cellStyle name="Обычный 6 7 5" xfId="21523"/>
    <cellStyle name="Обычный 6 7 5 2" xfId="53566"/>
    <cellStyle name="Обычный 6 7 6" xfId="32206"/>
    <cellStyle name="Обычный 6 70" xfId="1725"/>
    <cellStyle name="Обычный 6 70 2" xfId="7067"/>
    <cellStyle name="Обычный 6 70 2 2" xfId="17747"/>
    <cellStyle name="Обычный 6 70 2 2 2" xfId="49791"/>
    <cellStyle name="Обычный 6 70 2 3" xfId="28428"/>
    <cellStyle name="Обычный 6 70 2 3 2" xfId="60471"/>
    <cellStyle name="Обычный 6 70 2 4" xfId="39111"/>
    <cellStyle name="Обычный 6 70 3" xfId="12407"/>
    <cellStyle name="Обычный 6 70 3 2" xfId="44451"/>
    <cellStyle name="Обычный 6 70 4" xfId="23088"/>
    <cellStyle name="Обычный 6 70 4 2" xfId="55131"/>
    <cellStyle name="Обычный 6 70 5" xfId="33771"/>
    <cellStyle name="Обычный 6 71" xfId="1751"/>
    <cellStyle name="Обычный 6 71 2" xfId="7093"/>
    <cellStyle name="Обычный 6 71 2 2" xfId="17773"/>
    <cellStyle name="Обычный 6 71 2 2 2" xfId="49817"/>
    <cellStyle name="Обычный 6 71 2 3" xfId="28454"/>
    <cellStyle name="Обычный 6 71 2 3 2" xfId="60497"/>
    <cellStyle name="Обычный 6 71 2 4" xfId="39137"/>
    <cellStyle name="Обычный 6 71 3" xfId="12433"/>
    <cellStyle name="Обычный 6 71 3 2" xfId="44477"/>
    <cellStyle name="Обычный 6 71 4" xfId="23114"/>
    <cellStyle name="Обычный 6 71 4 2" xfId="55157"/>
    <cellStyle name="Обычный 6 71 5" xfId="33797"/>
    <cellStyle name="Обычный 6 72" xfId="1777"/>
    <cellStyle name="Обычный 6 72 2" xfId="7119"/>
    <cellStyle name="Обычный 6 72 2 2" xfId="17799"/>
    <cellStyle name="Обычный 6 72 2 2 2" xfId="49843"/>
    <cellStyle name="Обычный 6 72 2 3" xfId="28480"/>
    <cellStyle name="Обычный 6 72 2 3 2" xfId="60523"/>
    <cellStyle name="Обычный 6 72 2 4" xfId="39163"/>
    <cellStyle name="Обычный 6 72 3" xfId="12459"/>
    <cellStyle name="Обычный 6 72 3 2" xfId="44503"/>
    <cellStyle name="Обычный 6 72 4" xfId="23140"/>
    <cellStyle name="Обычный 6 72 4 2" xfId="55183"/>
    <cellStyle name="Обычный 6 72 5" xfId="33823"/>
    <cellStyle name="Обычный 6 73" xfId="1803"/>
    <cellStyle name="Обычный 6 73 2" xfId="7145"/>
    <cellStyle name="Обычный 6 73 2 2" xfId="17825"/>
    <cellStyle name="Обычный 6 73 2 2 2" xfId="49869"/>
    <cellStyle name="Обычный 6 73 2 3" xfId="28506"/>
    <cellStyle name="Обычный 6 73 2 3 2" xfId="60549"/>
    <cellStyle name="Обычный 6 73 2 4" xfId="39189"/>
    <cellStyle name="Обычный 6 73 3" xfId="12485"/>
    <cellStyle name="Обычный 6 73 3 2" xfId="44529"/>
    <cellStyle name="Обычный 6 73 4" xfId="23166"/>
    <cellStyle name="Обычный 6 73 4 2" xfId="55209"/>
    <cellStyle name="Обычный 6 73 5" xfId="33849"/>
    <cellStyle name="Обычный 6 74" xfId="1829"/>
    <cellStyle name="Обычный 6 74 2" xfId="7171"/>
    <cellStyle name="Обычный 6 74 2 2" xfId="17851"/>
    <cellStyle name="Обычный 6 74 2 2 2" xfId="49895"/>
    <cellStyle name="Обычный 6 74 2 3" xfId="28532"/>
    <cellStyle name="Обычный 6 74 2 3 2" xfId="60575"/>
    <cellStyle name="Обычный 6 74 2 4" xfId="39215"/>
    <cellStyle name="Обычный 6 74 3" xfId="12511"/>
    <cellStyle name="Обычный 6 74 3 2" xfId="44555"/>
    <cellStyle name="Обычный 6 74 4" xfId="23192"/>
    <cellStyle name="Обычный 6 74 4 2" xfId="55235"/>
    <cellStyle name="Обычный 6 74 5" xfId="33875"/>
    <cellStyle name="Обычный 6 75" xfId="1855"/>
    <cellStyle name="Обычный 6 75 2" xfId="7197"/>
    <cellStyle name="Обычный 6 75 2 2" xfId="17877"/>
    <cellStyle name="Обычный 6 75 2 2 2" xfId="49921"/>
    <cellStyle name="Обычный 6 75 2 3" xfId="28558"/>
    <cellStyle name="Обычный 6 75 2 3 2" xfId="60601"/>
    <cellStyle name="Обычный 6 75 2 4" xfId="39241"/>
    <cellStyle name="Обычный 6 75 3" xfId="12537"/>
    <cellStyle name="Обычный 6 75 3 2" xfId="44581"/>
    <cellStyle name="Обычный 6 75 4" xfId="23218"/>
    <cellStyle name="Обычный 6 75 4 2" xfId="55261"/>
    <cellStyle name="Обычный 6 75 5" xfId="33901"/>
    <cellStyle name="Обычный 6 76" xfId="1881"/>
    <cellStyle name="Обычный 6 76 2" xfId="7223"/>
    <cellStyle name="Обычный 6 76 2 2" xfId="17903"/>
    <cellStyle name="Обычный 6 76 2 2 2" xfId="49947"/>
    <cellStyle name="Обычный 6 76 2 3" xfId="28584"/>
    <cellStyle name="Обычный 6 76 2 3 2" xfId="60627"/>
    <cellStyle name="Обычный 6 76 2 4" xfId="39267"/>
    <cellStyle name="Обычный 6 76 3" xfId="12563"/>
    <cellStyle name="Обычный 6 76 3 2" xfId="44607"/>
    <cellStyle name="Обычный 6 76 4" xfId="23244"/>
    <cellStyle name="Обычный 6 76 4 2" xfId="55287"/>
    <cellStyle name="Обычный 6 76 5" xfId="33927"/>
    <cellStyle name="Обычный 6 77" xfId="1907"/>
    <cellStyle name="Обычный 6 77 2" xfId="7249"/>
    <cellStyle name="Обычный 6 77 2 2" xfId="17929"/>
    <cellStyle name="Обычный 6 77 2 2 2" xfId="49973"/>
    <cellStyle name="Обычный 6 77 2 3" xfId="28610"/>
    <cellStyle name="Обычный 6 77 2 3 2" xfId="60653"/>
    <cellStyle name="Обычный 6 77 2 4" xfId="39293"/>
    <cellStyle name="Обычный 6 77 3" xfId="12589"/>
    <cellStyle name="Обычный 6 77 3 2" xfId="44633"/>
    <cellStyle name="Обычный 6 77 4" xfId="23270"/>
    <cellStyle name="Обычный 6 77 4 2" xfId="55313"/>
    <cellStyle name="Обычный 6 77 5" xfId="33953"/>
    <cellStyle name="Обычный 6 78" xfId="1935"/>
    <cellStyle name="Обычный 6 78 2" xfId="7277"/>
    <cellStyle name="Обычный 6 78 2 2" xfId="17957"/>
    <cellStyle name="Обычный 6 78 2 2 2" xfId="50001"/>
    <cellStyle name="Обычный 6 78 2 3" xfId="28638"/>
    <cellStyle name="Обычный 6 78 2 3 2" xfId="60681"/>
    <cellStyle name="Обычный 6 78 2 4" xfId="39321"/>
    <cellStyle name="Обычный 6 78 3" xfId="12617"/>
    <cellStyle name="Обычный 6 78 3 2" xfId="44661"/>
    <cellStyle name="Обычный 6 78 4" xfId="23298"/>
    <cellStyle name="Обычный 6 78 4 2" xfId="55341"/>
    <cellStyle name="Обычный 6 78 5" xfId="33981"/>
    <cellStyle name="Обычный 6 79" xfId="1963"/>
    <cellStyle name="Обычный 6 79 2" xfId="7305"/>
    <cellStyle name="Обычный 6 79 2 2" xfId="17985"/>
    <cellStyle name="Обычный 6 79 2 2 2" xfId="50029"/>
    <cellStyle name="Обычный 6 79 2 3" xfId="28666"/>
    <cellStyle name="Обычный 6 79 2 3 2" xfId="60709"/>
    <cellStyle name="Обычный 6 79 2 4" xfId="39349"/>
    <cellStyle name="Обычный 6 79 3" xfId="12645"/>
    <cellStyle name="Обычный 6 79 3 2" xfId="44689"/>
    <cellStyle name="Обычный 6 79 4" xfId="23326"/>
    <cellStyle name="Обычный 6 79 4 2" xfId="55369"/>
    <cellStyle name="Обычный 6 79 5" xfId="34009"/>
    <cellStyle name="Обычный 6 8" xfId="168"/>
    <cellStyle name="Обычный 6 8 2" xfId="636"/>
    <cellStyle name="Обычный 6 8 2 2" xfId="5979"/>
    <cellStyle name="Обычный 6 8 2 2 2" xfId="16659"/>
    <cellStyle name="Обычный 6 8 2 2 2 2" xfId="48703"/>
    <cellStyle name="Обычный 6 8 2 2 3" xfId="27340"/>
    <cellStyle name="Обычный 6 8 2 2 3 2" xfId="59383"/>
    <cellStyle name="Обычный 6 8 2 2 4" xfId="38023"/>
    <cellStyle name="Обычный 6 8 2 3" xfId="11319"/>
    <cellStyle name="Обычный 6 8 2 3 2" xfId="43363"/>
    <cellStyle name="Обычный 6 8 2 4" xfId="22000"/>
    <cellStyle name="Обычный 6 8 2 4 2" xfId="54043"/>
    <cellStyle name="Обычный 6 8 2 5" xfId="32683"/>
    <cellStyle name="Обычный 6 8 3" xfId="5512"/>
    <cellStyle name="Обычный 6 8 3 2" xfId="16192"/>
    <cellStyle name="Обычный 6 8 3 2 2" xfId="48236"/>
    <cellStyle name="Обычный 6 8 3 3" xfId="26873"/>
    <cellStyle name="Обычный 6 8 3 3 2" xfId="58916"/>
    <cellStyle name="Обычный 6 8 3 4" xfId="37556"/>
    <cellStyle name="Обычный 6 8 4" xfId="10852"/>
    <cellStyle name="Обычный 6 8 4 2" xfId="42896"/>
    <cellStyle name="Обычный 6 8 5" xfId="21533"/>
    <cellStyle name="Обычный 6 8 5 2" xfId="53576"/>
    <cellStyle name="Обычный 6 8 6" xfId="32216"/>
    <cellStyle name="Обычный 6 80" xfId="1991"/>
    <cellStyle name="Обычный 6 80 2" xfId="7333"/>
    <cellStyle name="Обычный 6 80 2 2" xfId="18013"/>
    <cellStyle name="Обычный 6 80 2 2 2" xfId="50057"/>
    <cellStyle name="Обычный 6 80 2 3" xfId="28694"/>
    <cellStyle name="Обычный 6 80 2 3 2" xfId="60737"/>
    <cellStyle name="Обычный 6 80 2 4" xfId="39377"/>
    <cellStyle name="Обычный 6 80 3" xfId="12673"/>
    <cellStyle name="Обычный 6 80 3 2" xfId="44717"/>
    <cellStyle name="Обычный 6 80 4" xfId="23354"/>
    <cellStyle name="Обычный 6 80 4 2" xfId="55397"/>
    <cellStyle name="Обычный 6 80 5" xfId="34037"/>
    <cellStyle name="Обычный 6 81" xfId="2019"/>
    <cellStyle name="Обычный 6 81 2" xfId="7361"/>
    <cellStyle name="Обычный 6 81 2 2" xfId="18041"/>
    <cellStyle name="Обычный 6 81 2 2 2" xfId="50085"/>
    <cellStyle name="Обычный 6 81 2 3" xfId="28722"/>
    <cellStyle name="Обычный 6 81 2 3 2" xfId="60765"/>
    <cellStyle name="Обычный 6 81 2 4" xfId="39405"/>
    <cellStyle name="Обычный 6 81 3" xfId="12701"/>
    <cellStyle name="Обычный 6 81 3 2" xfId="44745"/>
    <cellStyle name="Обычный 6 81 4" xfId="23382"/>
    <cellStyle name="Обычный 6 81 4 2" xfId="55425"/>
    <cellStyle name="Обычный 6 81 5" xfId="34065"/>
    <cellStyle name="Обычный 6 82" xfId="2047"/>
    <cellStyle name="Обычный 6 82 2" xfId="7389"/>
    <cellStyle name="Обычный 6 82 2 2" xfId="18069"/>
    <cellStyle name="Обычный 6 82 2 2 2" xfId="50113"/>
    <cellStyle name="Обычный 6 82 2 3" xfId="28750"/>
    <cellStyle name="Обычный 6 82 2 3 2" xfId="60793"/>
    <cellStyle name="Обычный 6 82 2 4" xfId="39433"/>
    <cellStyle name="Обычный 6 82 3" xfId="12729"/>
    <cellStyle name="Обычный 6 82 3 2" xfId="44773"/>
    <cellStyle name="Обычный 6 82 4" xfId="23410"/>
    <cellStyle name="Обычный 6 82 4 2" xfId="55453"/>
    <cellStyle name="Обычный 6 82 5" xfId="34093"/>
    <cellStyle name="Обычный 6 83" xfId="2075"/>
    <cellStyle name="Обычный 6 83 2" xfId="7417"/>
    <cellStyle name="Обычный 6 83 2 2" xfId="18097"/>
    <cellStyle name="Обычный 6 83 2 2 2" xfId="50141"/>
    <cellStyle name="Обычный 6 83 2 3" xfId="28778"/>
    <cellStyle name="Обычный 6 83 2 3 2" xfId="60821"/>
    <cellStyle name="Обычный 6 83 2 4" xfId="39461"/>
    <cellStyle name="Обычный 6 83 3" xfId="12757"/>
    <cellStyle name="Обычный 6 83 3 2" xfId="44801"/>
    <cellStyle name="Обычный 6 83 4" xfId="23438"/>
    <cellStyle name="Обычный 6 83 4 2" xfId="55481"/>
    <cellStyle name="Обычный 6 83 5" xfId="34121"/>
    <cellStyle name="Обычный 6 84" xfId="2103"/>
    <cellStyle name="Обычный 6 84 2" xfId="7445"/>
    <cellStyle name="Обычный 6 84 2 2" xfId="18125"/>
    <cellStyle name="Обычный 6 84 2 2 2" xfId="50169"/>
    <cellStyle name="Обычный 6 84 2 3" xfId="28806"/>
    <cellStyle name="Обычный 6 84 2 3 2" xfId="60849"/>
    <cellStyle name="Обычный 6 84 2 4" xfId="39489"/>
    <cellStyle name="Обычный 6 84 3" xfId="12785"/>
    <cellStyle name="Обычный 6 84 3 2" xfId="44829"/>
    <cellStyle name="Обычный 6 84 4" xfId="23466"/>
    <cellStyle name="Обычный 6 84 4 2" xfId="55509"/>
    <cellStyle name="Обычный 6 84 5" xfId="34149"/>
    <cellStyle name="Обычный 6 85" xfId="2133"/>
    <cellStyle name="Обычный 6 85 2" xfId="7475"/>
    <cellStyle name="Обычный 6 85 2 2" xfId="18155"/>
    <cellStyle name="Обычный 6 85 2 2 2" xfId="50199"/>
    <cellStyle name="Обычный 6 85 2 3" xfId="28836"/>
    <cellStyle name="Обычный 6 85 2 3 2" xfId="60879"/>
    <cellStyle name="Обычный 6 85 2 4" xfId="39519"/>
    <cellStyle name="Обычный 6 85 3" xfId="12815"/>
    <cellStyle name="Обычный 6 85 3 2" xfId="44859"/>
    <cellStyle name="Обычный 6 85 4" xfId="23496"/>
    <cellStyle name="Обычный 6 85 4 2" xfId="55539"/>
    <cellStyle name="Обычный 6 85 5" xfId="34179"/>
    <cellStyle name="Обычный 6 86" xfId="2163"/>
    <cellStyle name="Обычный 6 86 2" xfId="7505"/>
    <cellStyle name="Обычный 6 86 2 2" xfId="18185"/>
    <cellStyle name="Обычный 6 86 2 2 2" xfId="50229"/>
    <cellStyle name="Обычный 6 86 2 3" xfId="28866"/>
    <cellStyle name="Обычный 6 86 2 3 2" xfId="60909"/>
    <cellStyle name="Обычный 6 86 2 4" xfId="39549"/>
    <cellStyle name="Обычный 6 86 3" xfId="12845"/>
    <cellStyle name="Обычный 6 86 3 2" xfId="44889"/>
    <cellStyle name="Обычный 6 86 4" xfId="23526"/>
    <cellStyle name="Обычный 6 86 4 2" xfId="55569"/>
    <cellStyle name="Обычный 6 86 5" xfId="34209"/>
    <cellStyle name="Обычный 6 87" xfId="2193"/>
    <cellStyle name="Обычный 6 87 2" xfId="7535"/>
    <cellStyle name="Обычный 6 87 2 2" xfId="18215"/>
    <cellStyle name="Обычный 6 87 2 2 2" xfId="50259"/>
    <cellStyle name="Обычный 6 87 2 3" xfId="28896"/>
    <cellStyle name="Обычный 6 87 2 3 2" xfId="60939"/>
    <cellStyle name="Обычный 6 87 2 4" xfId="39579"/>
    <cellStyle name="Обычный 6 87 3" xfId="12875"/>
    <cellStyle name="Обычный 6 87 3 2" xfId="44919"/>
    <cellStyle name="Обычный 6 87 4" xfId="23556"/>
    <cellStyle name="Обычный 6 87 4 2" xfId="55599"/>
    <cellStyle name="Обычный 6 87 5" xfId="34239"/>
    <cellStyle name="Обычный 6 88" xfId="2223"/>
    <cellStyle name="Обычный 6 88 2" xfId="7565"/>
    <cellStyle name="Обычный 6 88 2 2" xfId="18245"/>
    <cellStyle name="Обычный 6 88 2 2 2" xfId="50289"/>
    <cellStyle name="Обычный 6 88 2 3" xfId="28926"/>
    <cellStyle name="Обычный 6 88 2 3 2" xfId="60969"/>
    <cellStyle name="Обычный 6 88 2 4" xfId="39609"/>
    <cellStyle name="Обычный 6 88 3" xfId="12905"/>
    <cellStyle name="Обычный 6 88 3 2" xfId="44949"/>
    <cellStyle name="Обычный 6 88 4" xfId="23586"/>
    <cellStyle name="Обычный 6 88 4 2" xfId="55629"/>
    <cellStyle name="Обычный 6 88 5" xfId="34269"/>
    <cellStyle name="Обычный 6 89" xfId="2253"/>
    <cellStyle name="Обычный 6 89 2" xfId="7595"/>
    <cellStyle name="Обычный 6 89 2 2" xfId="18275"/>
    <cellStyle name="Обычный 6 89 2 2 2" xfId="50319"/>
    <cellStyle name="Обычный 6 89 2 3" xfId="28956"/>
    <cellStyle name="Обычный 6 89 2 3 2" xfId="60999"/>
    <cellStyle name="Обычный 6 89 2 4" xfId="39639"/>
    <cellStyle name="Обычный 6 89 3" xfId="12935"/>
    <cellStyle name="Обычный 6 89 3 2" xfId="44979"/>
    <cellStyle name="Обычный 6 89 4" xfId="23616"/>
    <cellStyle name="Обычный 6 89 4 2" xfId="55659"/>
    <cellStyle name="Обычный 6 89 5" xfId="34299"/>
    <cellStyle name="Обычный 6 9" xfId="178"/>
    <cellStyle name="Обычный 6 9 2" xfId="646"/>
    <cellStyle name="Обычный 6 9 2 2" xfId="5989"/>
    <cellStyle name="Обычный 6 9 2 2 2" xfId="16669"/>
    <cellStyle name="Обычный 6 9 2 2 2 2" xfId="48713"/>
    <cellStyle name="Обычный 6 9 2 2 3" xfId="27350"/>
    <cellStyle name="Обычный 6 9 2 2 3 2" xfId="59393"/>
    <cellStyle name="Обычный 6 9 2 2 4" xfId="38033"/>
    <cellStyle name="Обычный 6 9 2 3" xfId="11329"/>
    <cellStyle name="Обычный 6 9 2 3 2" xfId="43373"/>
    <cellStyle name="Обычный 6 9 2 4" xfId="22010"/>
    <cellStyle name="Обычный 6 9 2 4 2" xfId="54053"/>
    <cellStyle name="Обычный 6 9 2 5" xfId="32693"/>
    <cellStyle name="Обычный 6 9 3" xfId="5522"/>
    <cellStyle name="Обычный 6 9 3 2" xfId="16202"/>
    <cellStyle name="Обычный 6 9 3 2 2" xfId="48246"/>
    <cellStyle name="Обычный 6 9 3 3" xfId="26883"/>
    <cellStyle name="Обычный 6 9 3 3 2" xfId="58926"/>
    <cellStyle name="Обычный 6 9 3 4" xfId="37566"/>
    <cellStyle name="Обычный 6 9 4" xfId="10862"/>
    <cellStyle name="Обычный 6 9 4 2" xfId="42906"/>
    <cellStyle name="Обычный 6 9 5" xfId="21543"/>
    <cellStyle name="Обычный 6 9 5 2" xfId="53586"/>
    <cellStyle name="Обычный 6 9 6" xfId="32226"/>
    <cellStyle name="Обычный 6 90" xfId="2283"/>
    <cellStyle name="Обычный 6 90 2" xfId="7625"/>
    <cellStyle name="Обычный 6 90 2 2" xfId="18305"/>
    <cellStyle name="Обычный 6 90 2 2 2" xfId="50349"/>
    <cellStyle name="Обычный 6 90 2 3" xfId="28986"/>
    <cellStyle name="Обычный 6 90 2 3 2" xfId="61029"/>
    <cellStyle name="Обычный 6 90 2 4" xfId="39669"/>
    <cellStyle name="Обычный 6 90 3" xfId="12965"/>
    <cellStyle name="Обычный 6 90 3 2" xfId="45009"/>
    <cellStyle name="Обычный 6 90 4" xfId="23646"/>
    <cellStyle name="Обычный 6 90 4 2" xfId="55689"/>
    <cellStyle name="Обычный 6 90 5" xfId="34329"/>
    <cellStyle name="Обычный 6 91" xfId="2313"/>
    <cellStyle name="Обычный 6 91 2" xfId="7655"/>
    <cellStyle name="Обычный 6 91 2 2" xfId="18335"/>
    <cellStyle name="Обычный 6 91 2 2 2" xfId="50379"/>
    <cellStyle name="Обычный 6 91 2 3" xfId="29016"/>
    <cellStyle name="Обычный 6 91 2 3 2" xfId="61059"/>
    <cellStyle name="Обычный 6 91 2 4" xfId="39699"/>
    <cellStyle name="Обычный 6 91 3" xfId="12995"/>
    <cellStyle name="Обычный 6 91 3 2" xfId="45039"/>
    <cellStyle name="Обычный 6 91 4" xfId="23676"/>
    <cellStyle name="Обычный 6 91 4 2" xfId="55719"/>
    <cellStyle name="Обычный 6 91 5" xfId="34359"/>
    <cellStyle name="Обычный 6 92" xfId="2343"/>
    <cellStyle name="Обычный 6 92 2" xfId="7685"/>
    <cellStyle name="Обычный 6 92 2 2" xfId="18365"/>
    <cellStyle name="Обычный 6 92 2 2 2" xfId="50409"/>
    <cellStyle name="Обычный 6 92 2 3" xfId="29046"/>
    <cellStyle name="Обычный 6 92 2 3 2" xfId="61089"/>
    <cellStyle name="Обычный 6 92 2 4" xfId="39729"/>
    <cellStyle name="Обычный 6 92 3" xfId="13025"/>
    <cellStyle name="Обычный 6 92 3 2" xfId="45069"/>
    <cellStyle name="Обычный 6 92 4" xfId="23706"/>
    <cellStyle name="Обычный 6 92 4 2" xfId="55749"/>
    <cellStyle name="Обычный 6 92 5" xfId="34389"/>
    <cellStyle name="Обычный 6 93" xfId="2373"/>
    <cellStyle name="Обычный 6 93 2" xfId="7715"/>
    <cellStyle name="Обычный 6 93 2 2" xfId="18395"/>
    <cellStyle name="Обычный 6 93 2 2 2" xfId="50439"/>
    <cellStyle name="Обычный 6 93 2 3" xfId="29076"/>
    <cellStyle name="Обычный 6 93 2 3 2" xfId="61119"/>
    <cellStyle name="Обычный 6 93 2 4" xfId="39759"/>
    <cellStyle name="Обычный 6 93 3" xfId="13055"/>
    <cellStyle name="Обычный 6 93 3 2" xfId="45099"/>
    <cellStyle name="Обычный 6 93 4" xfId="23736"/>
    <cellStyle name="Обычный 6 93 4 2" xfId="55779"/>
    <cellStyle name="Обычный 6 93 5" xfId="34419"/>
    <cellStyle name="Обычный 6 94" xfId="2403"/>
    <cellStyle name="Обычный 6 94 2" xfId="7745"/>
    <cellStyle name="Обычный 6 94 2 2" xfId="18425"/>
    <cellStyle name="Обычный 6 94 2 2 2" xfId="50469"/>
    <cellStyle name="Обычный 6 94 2 3" xfId="29106"/>
    <cellStyle name="Обычный 6 94 2 3 2" xfId="61149"/>
    <cellStyle name="Обычный 6 94 2 4" xfId="39789"/>
    <cellStyle name="Обычный 6 94 3" xfId="13085"/>
    <cellStyle name="Обычный 6 94 3 2" xfId="45129"/>
    <cellStyle name="Обычный 6 94 4" xfId="23766"/>
    <cellStyle name="Обычный 6 94 4 2" xfId="55809"/>
    <cellStyle name="Обычный 6 94 5" xfId="34449"/>
    <cellStyle name="Обычный 6 95" xfId="2433"/>
    <cellStyle name="Обычный 6 95 2" xfId="7775"/>
    <cellStyle name="Обычный 6 95 2 2" xfId="18455"/>
    <cellStyle name="Обычный 6 95 2 2 2" xfId="50499"/>
    <cellStyle name="Обычный 6 95 2 3" xfId="29136"/>
    <cellStyle name="Обычный 6 95 2 3 2" xfId="61179"/>
    <cellStyle name="Обычный 6 95 2 4" xfId="39819"/>
    <cellStyle name="Обычный 6 95 3" xfId="13115"/>
    <cellStyle name="Обычный 6 95 3 2" xfId="45159"/>
    <cellStyle name="Обычный 6 95 4" xfId="23796"/>
    <cellStyle name="Обычный 6 95 4 2" xfId="55839"/>
    <cellStyle name="Обычный 6 95 5" xfId="34479"/>
    <cellStyle name="Обычный 6 96" xfId="2463"/>
    <cellStyle name="Обычный 6 96 2" xfId="7805"/>
    <cellStyle name="Обычный 6 96 2 2" xfId="18485"/>
    <cellStyle name="Обычный 6 96 2 2 2" xfId="50529"/>
    <cellStyle name="Обычный 6 96 2 3" xfId="29166"/>
    <cellStyle name="Обычный 6 96 2 3 2" xfId="61209"/>
    <cellStyle name="Обычный 6 96 2 4" xfId="39849"/>
    <cellStyle name="Обычный 6 96 3" xfId="13145"/>
    <cellStyle name="Обычный 6 96 3 2" xfId="45189"/>
    <cellStyle name="Обычный 6 96 4" xfId="23826"/>
    <cellStyle name="Обычный 6 96 4 2" xfId="55869"/>
    <cellStyle name="Обычный 6 96 5" xfId="34509"/>
    <cellStyle name="Обычный 6 97" xfId="2495"/>
    <cellStyle name="Обычный 6 97 2" xfId="7837"/>
    <cellStyle name="Обычный 6 97 2 2" xfId="18517"/>
    <cellStyle name="Обычный 6 97 2 2 2" xfId="50561"/>
    <cellStyle name="Обычный 6 97 2 3" xfId="29198"/>
    <cellStyle name="Обычный 6 97 2 3 2" xfId="61241"/>
    <cellStyle name="Обычный 6 97 2 4" xfId="39881"/>
    <cellStyle name="Обычный 6 97 3" xfId="13177"/>
    <cellStyle name="Обычный 6 97 3 2" xfId="45221"/>
    <cellStyle name="Обычный 6 97 4" xfId="23858"/>
    <cellStyle name="Обычный 6 97 4 2" xfId="55901"/>
    <cellStyle name="Обычный 6 97 5" xfId="34541"/>
    <cellStyle name="Обычный 6 98" xfId="2529"/>
    <cellStyle name="Обычный 6 98 2" xfId="7871"/>
    <cellStyle name="Обычный 6 98 2 2" xfId="18551"/>
    <cellStyle name="Обычный 6 98 2 2 2" xfId="50595"/>
    <cellStyle name="Обычный 6 98 2 3" xfId="29232"/>
    <cellStyle name="Обычный 6 98 2 3 2" xfId="61275"/>
    <cellStyle name="Обычный 6 98 2 4" xfId="39915"/>
    <cellStyle name="Обычный 6 98 3" xfId="13211"/>
    <cellStyle name="Обычный 6 98 3 2" xfId="45255"/>
    <cellStyle name="Обычный 6 98 4" xfId="23892"/>
    <cellStyle name="Обычный 6 98 4 2" xfId="55935"/>
    <cellStyle name="Обычный 6 98 5" xfId="34575"/>
    <cellStyle name="Обычный 6 99" xfId="2561"/>
    <cellStyle name="Обычный 6 99 2" xfId="7903"/>
    <cellStyle name="Обычный 6 99 2 2" xfId="18583"/>
    <cellStyle name="Обычный 6 99 2 2 2" xfId="50627"/>
    <cellStyle name="Обычный 6 99 2 3" xfId="29264"/>
    <cellStyle name="Обычный 6 99 2 3 2" xfId="61307"/>
    <cellStyle name="Обычный 6 99 2 4" xfId="39947"/>
    <cellStyle name="Обычный 6 99 3" xfId="13243"/>
    <cellStyle name="Обычный 6 99 3 2" xfId="45287"/>
    <cellStyle name="Обычный 6 99 4" xfId="23924"/>
    <cellStyle name="Обычный 6 99 4 2" xfId="55967"/>
    <cellStyle name="Обычный 6 99 5" xfId="34607"/>
    <cellStyle name="Обычный 7" xfId="400"/>
    <cellStyle name="Обычный 7 10" xfId="868"/>
    <cellStyle name="Обычный 7 10 2" xfId="6211"/>
    <cellStyle name="Обычный 7 10 2 2" xfId="16891"/>
    <cellStyle name="Обычный 7 10 2 2 2" xfId="48935"/>
    <cellStyle name="Обычный 7 10 2 3" xfId="27572"/>
    <cellStyle name="Обычный 7 10 2 3 2" xfId="59615"/>
    <cellStyle name="Обычный 7 10 2 4" xfId="38255"/>
    <cellStyle name="Обычный 7 10 3" xfId="11551"/>
    <cellStyle name="Обычный 7 10 3 2" xfId="43595"/>
    <cellStyle name="Обычный 7 10 4" xfId="22232"/>
    <cellStyle name="Обычный 7 10 4 2" xfId="54275"/>
    <cellStyle name="Обычный 7 10 5" xfId="32915"/>
    <cellStyle name="Обычный 7 100" xfId="3558"/>
    <cellStyle name="Обычный 7 100 2" xfId="8899"/>
    <cellStyle name="Обычный 7 100 2 2" xfId="19579"/>
    <cellStyle name="Обычный 7 100 2 2 2" xfId="51623"/>
    <cellStyle name="Обычный 7 100 2 3" xfId="30260"/>
    <cellStyle name="Обычный 7 100 2 3 2" xfId="62303"/>
    <cellStyle name="Обычный 7 100 2 4" xfId="40943"/>
    <cellStyle name="Обычный 7 100 3" xfId="14239"/>
    <cellStyle name="Обычный 7 100 3 2" xfId="46283"/>
    <cellStyle name="Обычный 7 100 4" xfId="24920"/>
    <cellStyle name="Обычный 7 100 4 2" xfId="56963"/>
    <cellStyle name="Обычный 7 100 5" xfId="35603"/>
    <cellStyle name="Обычный 7 101" xfId="3590"/>
    <cellStyle name="Обычный 7 101 2" xfId="8931"/>
    <cellStyle name="Обычный 7 101 2 2" xfId="19611"/>
    <cellStyle name="Обычный 7 101 2 2 2" xfId="51655"/>
    <cellStyle name="Обычный 7 101 2 3" xfId="30292"/>
    <cellStyle name="Обычный 7 101 2 3 2" xfId="62335"/>
    <cellStyle name="Обычный 7 101 2 4" xfId="40975"/>
    <cellStyle name="Обычный 7 101 3" xfId="14271"/>
    <cellStyle name="Обычный 7 101 3 2" xfId="46315"/>
    <cellStyle name="Обычный 7 101 4" xfId="24952"/>
    <cellStyle name="Обычный 7 101 4 2" xfId="56995"/>
    <cellStyle name="Обычный 7 101 5" xfId="35635"/>
    <cellStyle name="Обычный 7 102" xfId="3622"/>
    <cellStyle name="Обычный 7 102 2" xfId="8963"/>
    <cellStyle name="Обычный 7 102 2 2" xfId="19643"/>
    <cellStyle name="Обычный 7 102 2 2 2" xfId="51687"/>
    <cellStyle name="Обычный 7 102 2 3" xfId="30324"/>
    <cellStyle name="Обычный 7 102 2 3 2" xfId="62367"/>
    <cellStyle name="Обычный 7 102 2 4" xfId="41007"/>
    <cellStyle name="Обычный 7 102 3" xfId="14303"/>
    <cellStyle name="Обычный 7 102 3 2" xfId="46347"/>
    <cellStyle name="Обычный 7 102 4" xfId="24984"/>
    <cellStyle name="Обычный 7 102 4 2" xfId="57027"/>
    <cellStyle name="Обычный 7 102 5" xfId="35667"/>
    <cellStyle name="Обычный 7 103" xfId="3654"/>
    <cellStyle name="Обычный 7 103 2" xfId="8995"/>
    <cellStyle name="Обычный 7 103 2 2" xfId="19675"/>
    <cellStyle name="Обычный 7 103 2 2 2" xfId="51719"/>
    <cellStyle name="Обычный 7 103 2 3" xfId="30356"/>
    <cellStyle name="Обычный 7 103 2 3 2" xfId="62399"/>
    <cellStyle name="Обычный 7 103 2 4" xfId="41039"/>
    <cellStyle name="Обычный 7 103 3" xfId="14335"/>
    <cellStyle name="Обычный 7 103 3 2" xfId="46379"/>
    <cellStyle name="Обычный 7 103 4" xfId="25016"/>
    <cellStyle name="Обычный 7 103 4 2" xfId="57059"/>
    <cellStyle name="Обычный 7 103 5" xfId="35699"/>
    <cellStyle name="Обычный 7 104" xfId="3686"/>
    <cellStyle name="Обычный 7 104 2" xfId="9027"/>
    <cellStyle name="Обычный 7 104 2 2" xfId="19707"/>
    <cellStyle name="Обычный 7 104 2 2 2" xfId="51751"/>
    <cellStyle name="Обычный 7 104 2 3" xfId="30388"/>
    <cellStyle name="Обычный 7 104 2 3 2" xfId="62431"/>
    <cellStyle name="Обычный 7 104 2 4" xfId="41071"/>
    <cellStyle name="Обычный 7 104 3" xfId="14367"/>
    <cellStyle name="Обычный 7 104 3 2" xfId="46411"/>
    <cellStyle name="Обычный 7 104 4" xfId="25048"/>
    <cellStyle name="Обычный 7 104 4 2" xfId="57091"/>
    <cellStyle name="Обычный 7 104 5" xfId="35731"/>
    <cellStyle name="Обычный 7 105" xfId="3718"/>
    <cellStyle name="Обычный 7 105 2" xfId="9059"/>
    <cellStyle name="Обычный 7 105 2 2" xfId="19739"/>
    <cellStyle name="Обычный 7 105 2 2 2" xfId="51783"/>
    <cellStyle name="Обычный 7 105 2 3" xfId="30420"/>
    <cellStyle name="Обычный 7 105 2 3 2" xfId="62463"/>
    <cellStyle name="Обычный 7 105 2 4" xfId="41103"/>
    <cellStyle name="Обычный 7 105 3" xfId="14399"/>
    <cellStyle name="Обычный 7 105 3 2" xfId="46443"/>
    <cellStyle name="Обычный 7 105 4" xfId="25080"/>
    <cellStyle name="Обычный 7 105 4 2" xfId="57123"/>
    <cellStyle name="Обычный 7 105 5" xfId="35763"/>
    <cellStyle name="Обычный 7 106" xfId="3750"/>
    <cellStyle name="Обычный 7 106 2" xfId="9091"/>
    <cellStyle name="Обычный 7 106 2 2" xfId="19771"/>
    <cellStyle name="Обычный 7 106 2 2 2" xfId="51815"/>
    <cellStyle name="Обычный 7 106 2 3" xfId="30452"/>
    <cellStyle name="Обычный 7 106 2 3 2" xfId="62495"/>
    <cellStyle name="Обычный 7 106 2 4" xfId="41135"/>
    <cellStyle name="Обычный 7 106 3" xfId="14431"/>
    <cellStyle name="Обычный 7 106 3 2" xfId="46475"/>
    <cellStyle name="Обычный 7 106 4" xfId="25112"/>
    <cellStyle name="Обычный 7 106 4 2" xfId="57155"/>
    <cellStyle name="Обычный 7 106 5" xfId="35795"/>
    <cellStyle name="Обычный 7 107" xfId="3782"/>
    <cellStyle name="Обычный 7 107 2" xfId="9123"/>
    <cellStyle name="Обычный 7 107 2 2" xfId="19803"/>
    <cellStyle name="Обычный 7 107 2 2 2" xfId="51847"/>
    <cellStyle name="Обычный 7 107 2 3" xfId="30484"/>
    <cellStyle name="Обычный 7 107 2 3 2" xfId="62527"/>
    <cellStyle name="Обычный 7 107 2 4" xfId="41167"/>
    <cellStyle name="Обычный 7 107 3" xfId="14463"/>
    <cellStyle name="Обычный 7 107 3 2" xfId="46507"/>
    <cellStyle name="Обычный 7 107 4" xfId="25144"/>
    <cellStyle name="Обычный 7 107 4 2" xfId="57187"/>
    <cellStyle name="Обычный 7 107 5" xfId="35827"/>
    <cellStyle name="Обычный 7 108" xfId="3814"/>
    <cellStyle name="Обычный 7 108 2" xfId="9155"/>
    <cellStyle name="Обычный 7 108 2 2" xfId="19835"/>
    <cellStyle name="Обычный 7 108 2 2 2" xfId="51879"/>
    <cellStyle name="Обычный 7 108 2 3" xfId="30516"/>
    <cellStyle name="Обычный 7 108 2 3 2" xfId="62559"/>
    <cellStyle name="Обычный 7 108 2 4" xfId="41199"/>
    <cellStyle name="Обычный 7 108 3" xfId="14495"/>
    <cellStyle name="Обычный 7 108 3 2" xfId="46539"/>
    <cellStyle name="Обычный 7 108 4" xfId="25176"/>
    <cellStyle name="Обычный 7 108 4 2" xfId="57219"/>
    <cellStyle name="Обычный 7 108 5" xfId="35859"/>
    <cellStyle name="Обычный 7 109" xfId="3846"/>
    <cellStyle name="Обычный 7 109 2" xfId="9187"/>
    <cellStyle name="Обычный 7 109 2 2" xfId="19867"/>
    <cellStyle name="Обычный 7 109 2 2 2" xfId="51911"/>
    <cellStyle name="Обычный 7 109 2 3" xfId="30548"/>
    <cellStyle name="Обычный 7 109 2 3 2" xfId="62591"/>
    <cellStyle name="Обычный 7 109 2 4" xfId="41231"/>
    <cellStyle name="Обычный 7 109 3" xfId="14527"/>
    <cellStyle name="Обычный 7 109 3 2" xfId="46571"/>
    <cellStyle name="Обычный 7 109 4" xfId="25208"/>
    <cellStyle name="Обычный 7 109 4 2" xfId="57251"/>
    <cellStyle name="Обычный 7 109 5" xfId="35891"/>
    <cellStyle name="Обычный 7 11" xfId="976"/>
    <cellStyle name="Обычный 7 11 2" xfId="6319"/>
    <cellStyle name="Обычный 7 11 2 2" xfId="16999"/>
    <cellStyle name="Обычный 7 11 2 2 2" xfId="49043"/>
    <cellStyle name="Обычный 7 11 2 3" xfId="27680"/>
    <cellStyle name="Обычный 7 11 2 3 2" xfId="59723"/>
    <cellStyle name="Обычный 7 11 2 4" xfId="38363"/>
    <cellStyle name="Обычный 7 11 3" xfId="11659"/>
    <cellStyle name="Обычный 7 11 3 2" xfId="43703"/>
    <cellStyle name="Обычный 7 11 4" xfId="22340"/>
    <cellStyle name="Обычный 7 11 4 2" xfId="54383"/>
    <cellStyle name="Обычный 7 11 5" xfId="33023"/>
    <cellStyle name="Обычный 7 110" xfId="3878"/>
    <cellStyle name="Обычный 7 110 2" xfId="9219"/>
    <cellStyle name="Обычный 7 110 2 2" xfId="19899"/>
    <cellStyle name="Обычный 7 110 2 2 2" xfId="51943"/>
    <cellStyle name="Обычный 7 110 2 3" xfId="30580"/>
    <cellStyle name="Обычный 7 110 2 3 2" xfId="62623"/>
    <cellStyle name="Обычный 7 110 2 4" xfId="41263"/>
    <cellStyle name="Обычный 7 110 3" xfId="14559"/>
    <cellStyle name="Обычный 7 110 3 2" xfId="46603"/>
    <cellStyle name="Обычный 7 110 4" xfId="25240"/>
    <cellStyle name="Обычный 7 110 4 2" xfId="57283"/>
    <cellStyle name="Обычный 7 110 5" xfId="35923"/>
    <cellStyle name="Обычный 7 111" xfId="3910"/>
    <cellStyle name="Обычный 7 111 2" xfId="9251"/>
    <cellStyle name="Обычный 7 111 2 2" xfId="19931"/>
    <cellStyle name="Обычный 7 111 2 2 2" xfId="51975"/>
    <cellStyle name="Обычный 7 111 2 3" xfId="30612"/>
    <cellStyle name="Обычный 7 111 2 3 2" xfId="62655"/>
    <cellStyle name="Обычный 7 111 2 4" xfId="41295"/>
    <cellStyle name="Обычный 7 111 3" xfId="14591"/>
    <cellStyle name="Обычный 7 111 3 2" xfId="46635"/>
    <cellStyle name="Обычный 7 111 4" xfId="25272"/>
    <cellStyle name="Обычный 7 111 4 2" xfId="57315"/>
    <cellStyle name="Обычный 7 111 5" xfId="35955"/>
    <cellStyle name="Обычный 7 112" xfId="3942"/>
    <cellStyle name="Обычный 7 112 2" xfId="9283"/>
    <cellStyle name="Обычный 7 112 2 2" xfId="19963"/>
    <cellStyle name="Обычный 7 112 2 2 2" xfId="52007"/>
    <cellStyle name="Обычный 7 112 2 3" xfId="30644"/>
    <cellStyle name="Обычный 7 112 2 3 2" xfId="62687"/>
    <cellStyle name="Обычный 7 112 2 4" xfId="41327"/>
    <cellStyle name="Обычный 7 112 3" xfId="14623"/>
    <cellStyle name="Обычный 7 112 3 2" xfId="46667"/>
    <cellStyle name="Обычный 7 112 4" xfId="25304"/>
    <cellStyle name="Обычный 7 112 4 2" xfId="57347"/>
    <cellStyle name="Обычный 7 112 5" xfId="35987"/>
    <cellStyle name="Обычный 7 113" xfId="3974"/>
    <cellStyle name="Обычный 7 113 2" xfId="9315"/>
    <cellStyle name="Обычный 7 113 2 2" xfId="19995"/>
    <cellStyle name="Обычный 7 113 2 2 2" xfId="52039"/>
    <cellStyle name="Обычный 7 113 2 3" xfId="30676"/>
    <cellStyle name="Обычный 7 113 2 3 2" xfId="62719"/>
    <cellStyle name="Обычный 7 113 2 4" xfId="41359"/>
    <cellStyle name="Обычный 7 113 3" xfId="14655"/>
    <cellStyle name="Обычный 7 113 3 2" xfId="46699"/>
    <cellStyle name="Обычный 7 113 4" xfId="25336"/>
    <cellStyle name="Обычный 7 113 4 2" xfId="57379"/>
    <cellStyle name="Обычный 7 113 5" xfId="36019"/>
    <cellStyle name="Обычный 7 114" xfId="4006"/>
    <cellStyle name="Обычный 7 114 2" xfId="9347"/>
    <cellStyle name="Обычный 7 114 2 2" xfId="20027"/>
    <cellStyle name="Обычный 7 114 2 2 2" xfId="52071"/>
    <cellStyle name="Обычный 7 114 2 3" xfId="30708"/>
    <cellStyle name="Обычный 7 114 2 3 2" xfId="62751"/>
    <cellStyle name="Обычный 7 114 2 4" xfId="41391"/>
    <cellStyle name="Обычный 7 114 3" xfId="14687"/>
    <cellStyle name="Обычный 7 114 3 2" xfId="46731"/>
    <cellStyle name="Обычный 7 114 4" xfId="25368"/>
    <cellStyle name="Обычный 7 114 4 2" xfId="57411"/>
    <cellStyle name="Обычный 7 114 5" xfId="36051"/>
    <cellStyle name="Обычный 7 115" xfId="4038"/>
    <cellStyle name="Обычный 7 115 2" xfId="9379"/>
    <cellStyle name="Обычный 7 115 2 2" xfId="20059"/>
    <cellStyle name="Обычный 7 115 2 2 2" xfId="52103"/>
    <cellStyle name="Обычный 7 115 2 3" xfId="30740"/>
    <cellStyle name="Обычный 7 115 2 3 2" xfId="62783"/>
    <cellStyle name="Обычный 7 115 2 4" xfId="41423"/>
    <cellStyle name="Обычный 7 115 3" xfId="14719"/>
    <cellStyle name="Обычный 7 115 3 2" xfId="46763"/>
    <cellStyle name="Обычный 7 115 4" xfId="25400"/>
    <cellStyle name="Обычный 7 115 4 2" xfId="57443"/>
    <cellStyle name="Обычный 7 115 5" xfId="36083"/>
    <cellStyle name="Обычный 7 116" xfId="4070"/>
    <cellStyle name="Обычный 7 116 2" xfId="9411"/>
    <cellStyle name="Обычный 7 116 2 2" xfId="20091"/>
    <cellStyle name="Обычный 7 116 2 2 2" xfId="52135"/>
    <cellStyle name="Обычный 7 116 2 3" xfId="30772"/>
    <cellStyle name="Обычный 7 116 2 3 2" xfId="62815"/>
    <cellStyle name="Обычный 7 116 2 4" xfId="41455"/>
    <cellStyle name="Обычный 7 116 3" xfId="14751"/>
    <cellStyle name="Обычный 7 116 3 2" xfId="46795"/>
    <cellStyle name="Обычный 7 116 4" xfId="25432"/>
    <cellStyle name="Обычный 7 116 4 2" xfId="57475"/>
    <cellStyle name="Обычный 7 116 5" xfId="36115"/>
    <cellStyle name="Обычный 7 117" xfId="4102"/>
    <cellStyle name="Обычный 7 117 2" xfId="9443"/>
    <cellStyle name="Обычный 7 117 2 2" xfId="20123"/>
    <cellStyle name="Обычный 7 117 2 2 2" xfId="52167"/>
    <cellStyle name="Обычный 7 117 2 3" xfId="30804"/>
    <cellStyle name="Обычный 7 117 2 3 2" xfId="62847"/>
    <cellStyle name="Обычный 7 117 2 4" xfId="41487"/>
    <cellStyle name="Обычный 7 117 3" xfId="14783"/>
    <cellStyle name="Обычный 7 117 3 2" xfId="46827"/>
    <cellStyle name="Обычный 7 117 4" xfId="25464"/>
    <cellStyle name="Обычный 7 117 4 2" xfId="57507"/>
    <cellStyle name="Обычный 7 117 5" xfId="36147"/>
    <cellStyle name="Обычный 7 118" xfId="4134"/>
    <cellStyle name="Обычный 7 118 2" xfId="9475"/>
    <cellStyle name="Обычный 7 118 2 2" xfId="20155"/>
    <cellStyle name="Обычный 7 118 2 2 2" xfId="52199"/>
    <cellStyle name="Обычный 7 118 2 3" xfId="30836"/>
    <cellStyle name="Обычный 7 118 2 3 2" xfId="62879"/>
    <cellStyle name="Обычный 7 118 2 4" xfId="41519"/>
    <cellStyle name="Обычный 7 118 3" xfId="14815"/>
    <cellStyle name="Обычный 7 118 3 2" xfId="46859"/>
    <cellStyle name="Обычный 7 118 4" xfId="25496"/>
    <cellStyle name="Обычный 7 118 4 2" xfId="57539"/>
    <cellStyle name="Обычный 7 118 5" xfId="36179"/>
    <cellStyle name="Обычный 7 119" xfId="4166"/>
    <cellStyle name="Обычный 7 119 2" xfId="9507"/>
    <cellStyle name="Обычный 7 119 2 2" xfId="20187"/>
    <cellStyle name="Обычный 7 119 2 2 2" xfId="52231"/>
    <cellStyle name="Обычный 7 119 2 3" xfId="30868"/>
    <cellStyle name="Обычный 7 119 2 3 2" xfId="62911"/>
    <cellStyle name="Обычный 7 119 2 4" xfId="41551"/>
    <cellStyle name="Обычный 7 119 3" xfId="14847"/>
    <cellStyle name="Обычный 7 119 3 2" xfId="46891"/>
    <cellStyle name="Обычный 7 119 4" xfId="25528"/>
    <cellStyle name="Обычный 7 119 4 2" xfId="57571"/>
    <cellStyle name="Обычный 7 119 5" xfId="36211"/>
    <cellStyle name="Обычный 7 12" xfId="1000"/>
    <cellStyle name="Обычный 7 12 2" xfId="6343"/>
    <cellStyle name="Обычный 7 12 2 2" xfId="17023"/>
    <cellStyle name="Обычный 7 12 2 2 2" xfId="49067"/>
    <cellStyle name="Обычный 7 12 2 3" xfId="27704"/>
    <cellStyle name="Обычный 7 12 2 3 2" xfId="59747"/>
    <cellStyle name="Обычный 7 12 2 4" xfId="38387"/>
    <cellStyle name="Обычный 7 12 3" xfId="11683"/>
    <cellStyle name="Обычный 7 12 3 2" xfId="43727"/>
    <cellStyle name="Обычный 7 12 4" xfId="22364"/>
    <cellStyle name="Обычный 7 12 4 2" xfId="54407"/>
    <cellStyle name="Обычный 7 12 5" xfId="33047"/>
    <cellStyle name="Обычный 7 120" xfId="4198"/>
    <cellStyle name="Обычный 7 120 2" xfId="9539"/>
    <cellStyle name="Обычный 7 120 2 2" xfId="20219"/>
    <cellStyle name="Обычный 7 120 2 2 2" xfId="52263"/>
    <cellStyle name="Обычный 7 120 2 3" xfId="30900"/>
    <cellStyle name="Обычный 7 120 2 3 2" xfId="62943"/>
    <cellStyle name="Обычный 7 120 2 4" xfId="41583"/>
    <cellStyle name="Обычный 7 120 3" xfId="14879"/>
    <cellStyle name="Обычный 7 120 3 2" xfId="46923"/>
    <cellStyle name="Обычный 7 120 4" xfId="25560"/>
    <cellStyle name="Обычный 7 120 4 2" xfId="57603"/>
    <cellStyle name="Обычный 7 120 5" xfId="36243"/>
    <cellStyle name="Обычный 7 121" xfId="4230"/>
    <cellStyle name="Обычный 7 121 2" xfId="9571"/>
    <cellStyle name="Обычный 7 121 2 2" xfId="20251"/>
    <cellStyle name="Обычный 7 121 2 2 2" xfId="52295"/>
    <cellStyle name="Обычный 7 121 2 3" xfId="30932"/>
    <cellStyle name="Обычный 7 121 2 3 2" xfId="62975"/>
    <cellStyle name="Обычный 7 121 2 4" xfId="41615"/>
    <cellStyle name="Обычный 7 121 3" xfId="14911"/>
    <cellStyle name="Обычный 7 121 3 2" xfId="46955"/>
    <cellStyle name="Обычный 7 121 4" xfId="25592"/>
    <cellStyle name="Обычный 7 121 4 2" xfId="57635"/>
    <cellStyle name="Обычный 7 121 5" xfId="36275"/>
    <cellStyle name="Обычный 7 122" xfId="4262"/>
    <cellStyle name="Обычный 7 122 2" xfId="9603"/>
    <cellStyle name="Обычный 7 122 2 2" xfId="20283"/>
    <cellStyle name="Обычный 7 122 2 2 2" xfId="52327"/>
    <cellStyle name="Обычный 7 122 2 3" xfId="30964"/>
    <cellStyle name="Обычный 7 122 2 3 2" xfId="63007"/>
    <cellStyle name="Обычный 7 122 2 4" xfId="41647"/>
    <cellStyle name="Обычный 7 122 3" xfId="14943"/>
    <cellStyle name="Обычный 7 122 3 2" xfId="46987"/>
    <cellStyle name="Обычный 7 122 4" xfId="25624"/>
    <cellStyle name="Обычный 7 122 4 2" xfId="57667"/>
    <cellStyle name="Обычный 7 122 5" xfId="36307"/>
    <cellStyle name="Обычный 7 123" xfId="4294"/>
    <cellStyle name="Обычный 7 123 2" xfId="9635"/>
    <cellStyle name="Обычный 7 123 2 2" xfId="20315"/>
    <cellStyle name="Обычный 7 123 2 2 2" xfId="52359"/>
    <cellStyle name="Обычный 7 123 2 3" xfId="30996"/>
    <cellStyle name="Обычный 7 123 2 3 2" xfId="63039"/>
    <cellStyle name="Обычный 7 123 2 4" xfId="41679"/>
    <cellStyle name="Обычный 7 123 3" xfId="14975"/>
    <cellStyle name="Обычный 7 123 3 2" xfId="47019"/>
    <cellStyle name="Обычный 7 123 4" xfId="25656"/>
    <cellStyle name="Обычный 7 123 4 2" xfId="57699"/>
    <cellStyle name="Обычный 7 123 5" xfId="36339"/>
    <cellStyle name="Обычный 7 124" xfId="4326"/>
    <cellStyle name="Обычный 7 124 2" xfId="9667"/>
    <cellStyle name="Обычный 7 124 2 2" xfId="20347"/>
    <cellStyle name="Обычный 7 124 2 2 2" xfId="52391"/>
    <cellStyle name="Обычный 7 124 2 3" xfId="31028"/>
    <cellStyle name="Обычный 7 124 2 3 2" xfId="63071"/>
    <cellStyle name="Обычный 7 124 2 4" xfId="41711"/>
    <cellStyle name="Обычный 7 124 3" xfId="15007"/>
    <cellStyle name="Обычный 7 124 3 2" xfId="47051"/>
    <cellStyle name="Обычный 7 124 4" xfId="25688"/>
    <cellStyle name="Обычный 7 124 4 2" xfId="57731"/>
    <cellStyle name="Обычный 7 124 5" xfId="36371"/>
    <cellStyle name="Обычный 7 125" xfId="4358"/>
    <cellStyle name="Обычный 7 125 2" xfId="9699"/>
    <cellStyle name="Обычный 7 125 2 2" xfId="20379"/>
    <cellStyle name="Обычный 7 125 2 2 2" xfId="52423"/>
    <cellStyle name="Обычный 7 125 2 3" xfId="31060"/>
    <cellStyle name="Обычный 7 125 2 3 2" xfId="63103"/>
    <cellStyle name="Обычный 7 125 2 4" xfId="41743"/>
    <cellStyle name="Обычный 7 125 3" xfId="15039"/>
    <cellStyle name="Обычный 7 125 3 2" xfId="47083"/>
    <cellStyle name="Обычный 7 125 4" xfId="25720"/>
    <cellStyle name="Обычный 7 125 4 2" xfId="57763"/>
    <cellStyle name="Обычный 7 125 5" xfId="36403"/>
    <cellStyle name="Обычный 7 126" xfId="4390"/>
    <cellStyle name="Обычный 7 126 2" xfId="9731"/>
    <cellStyle name="Обычный 7 126 2 2" xfId="20411"/>
    <cellStyle name="Обычный 7 126 2 2 2" xfId="52455"/>
    <cellStyle name="Обычный 7 126 2 3" xfId="31092"/>
    <cellStyle name="Обычный 7 126 2 3 2" xfId="63135"/>
    <cellStyle name="Обычный 7 126 2 4" xfId="41775"/>
    <cellStyle name="Обычный 7 126 3" xfId="15071"/>
    <cellStyle name="Обычный 7 126 3 2" xfId="47115"/>
    <cellStyle name="Обычный 7 126 4" xfId="25752"/>
    <cellStyle name="Обычный 7 126 4 2" xfId="57795"/>
    <cellStyle name="Обычный 7 126 5" xfId="36435"/>
    <cellStyle name="Обычный 7 127" xfId="4422"/>
    <cellStyle name="Обычный 7 127 2" xfId="9763"/>
    <cellStyle name="Обычный 7 127 2 2" xfId="20443"/>
    <cellStyle name="Обычный 7 127 2 2 2" xfId="52487"/>
    <cellStyle name="Обычный 7 127 2 3" xfId="31124"/>
    <cellStyle name="Обычный 7 127 2 3 2" xfId="63167"/>
    <cellStyle name="Обычный 7 127 2 4" xfId="41807"/>
    <cellStyle name="Обычный 7 127 3" xfId="15103"/>
    <cellStyle name="Обычный 7 127 3 2" xfId="47147"/>
    <cellStyle name="Обычный 7 127 4" xfId="25784"/>
    <cellStyle name="Обычный 7 127 4 2" xfId="57827"/>
    <cellStyle name="Обычный 7 127 5" xfId="36467"/>
    <cellStyle name="Обычный 7 128" xfId="4454"/>
    <cellStyle name="Обычный 7 128 2" xfId="9795"/>
    <cellStyle name="Обычный 7 128 2 2" xfId="20475"/>
    <cellStyle name="Обычный 7 128 2 2 2" xfId="52519"/>
    <cellStyle name="Обычный 7 128 2 3" xfId="31156"/>
    <cellStyle name="Обычный 7 128 2 3 2" xfId="63199"/>
    <cellStyle name="Обычный 7 128 2 4" xfId="41839"/>
    <cellStyle name="Обычный 7 128 3" xfId="15135"/>
    <cellStyle name="Обычный 7 128 3 2" xfId="47179"/>
    <cellStyle name="Обычный 7 128 4" xfId="25816"/>
    <cellStyle name="Обычный 7 128 4 2" xfId="57859"/>
    <cellStyle name="Обычный 7 128 5" xfId="36499"/>
    <cellStyle name="Обычный 7 129" xfId="4486"/>
    <cellStyle name="Обычный 7 129 2" xfId="9827"/>
    <cellStyle name="Обычный 7 129 2 2" xfId="20507"/>
    <cellStyle name="Обычный 7 129 2 2 2" xfId="52551"/>
    <cellStyle name="Обычный 7 129 2 3" xfId="31188"/>
    <cellStyle name="Обычный 7 129 2 3 2" xfId="63231"/>
    <cellStyle name="Обычный 7 129 2 4" xfId="41871"/>
    <cellStyle name="Обычный 7 129 3" xfId="15167"/>
    <cellStyle name="Обычный 7 129 3 2" xfId="47211"/>
    <cellStyle name="Обычный 7 129 4" xfId="25848"/>
    <cellStyle name="Обычный 7 129 4 2" xfId="57891"/>
    <cellStyle name="Обычный 7 129 5" xfId="36531"/>
    <cellStyle name="Обычный 7 13" xfId="1024"/>
    <cellStyle name="Обычный 7 13 2" xfId="6367"/>
    <cellStyle name="Обычный 7 13 2 2" xfId="17047"/>
    <cellStyle name="Обычный 7 13 2 2 2" xfId="49091"/>
    <cellStyle name="Обычный 7 13 2 3" xfId="27728"/>
    <cellStyle name="Обычный 7 13 2 3 2" xfId="59771"/>
    <cellStyle name="Обычный 7 13 2 4" xfId="38411"/>
    <cellStyle name="Обычный 7 13 3" xfId="11707"/>
    <cellStyle name="Обычный 7 13 3 2" xfId="43751"/>
    <cellStyle name="Обычный 7 13 4" xfId="22388"/>
    <cellStyle name="Обычный 7 13 4 2" xfId="54431"/>
    <cellStyle name="Обычный 7 13 5" xfId="33071"/>
    <cellStyle name="Обычный 7 130" xfId="4518"/>
    <cellStyle name="Обычный 7 130 2" xfId="9859"/>
    <cellStyle name="Обычный 7 130 2 2" xfId="20539"/>
    <cellStyle name="Обычный 7 130 2 2 2" xfId="52583"/>
    <cellStyle name="Обычный 7 130 2 3" xfId="31220"/>
    <cellStyle name="Обычный 7 130 2 3 2" xfId="63263"/>
    <cellStyle name="Обычный 7 130 2 4" xfId="41903"/>
    <cellStyle name="Обычный 7 130 3" xfId="15199"/>
    <cellStyle name="Обычный 7 130 3 2" xfId="47243"/>
    <cellStyle name="Обычный 7 130 4" xfId="25880"/>
    <cellStyle name="Обычный 7 130 4 2" xfId="57923"/>
    <cellStyle name="Обычный 7 130 5" xfId="36563"/>
    <cellStyle name="Обычный 7 131" xfId="4550"/>
    <cellStyle name="Обычный 7 131 2" xfId="9891"/>
    <cellStyle name="Обычный 7 131 2 2" xfId="20571"/>
    <cellStyle name="Обычный 7 131 2 2 2" xfId="52615"/>
    <cellStyle name="Обычный 7 131 2 3" xfId="31252"/>
    <cellStyle name="Обычный 7 131 2 3 2" xfId="63295"/>
    <cellStyle name="Обычный 7 131 2 4" xfId="41935"/>
    <cellStyle name="Обычный 7 131 3" xfId="15231"/>
    <cellStyle name="Обычный 7 131 3 2" xfId="47275"/>
    <cellStyle name="Обычный 7 131 4" xfId="25912"/>
    <cellStyle name="Обычный 7 131 4 2" xfId="57955"/>
    <cellStyle name="Обычный 7 131 5" xfId="36595"/>
    <cellStyle name="Обычный 7 132" xfId="4582"/>
    <cellStyle name="Обычный 7 132 2" xfId="9923"/>
    <cellStyle name="Обычный 7 132 2 2" xfId="20603"/>
    <cellStyle name="Обычный 7 132 2 2 2" xfId="52647"/>
    <cellStyle name="Обычный 7 132 2 3" xfId="31284"/>
    <cellStyle name="Обычный 7 132 2 3 2" xfId="63327"/>
    <cellStyle name="Обычный 7 132 2 4" xfId="41967"/>
    <cellStyle name="Обычный 7 132 3" xfId="15263"/>
    <cellStyle name="Обычный 7 132 3 2" xfId="47307"/>
    <cellStyle name="Обычный 7 132 4" xfId="25944"/>
    <cellStyle name="Обычный 7 132 4 2" xfId="57987"/>
    <cellStyle name="Обычный 7 132 5" xfId="36627"/>
    <cellStyle name="Обычный 7 133" xfId="4614"/>
    <cellStyle name="Обычный 7 133 2" xfId="9955"/>
    <cellStyle name="Обычный 7 133 2 2" xfId="20635"/>
    <cellStyle name="Обычный 7 133 2 2 2" xfId="52679"/>
    <cellStyle name="Обычный 7 133 2 3" xfId="31316"/>
    <cellStyle name="Обычный 7 133 2 3 2" xfId="63359"/>
    <cellStyle name="Обычный 7 133 2 4" xfId="41999"/>
    <cellStyle name="Обычный 7 133 3" xfId="15295"/>
    <cellStyle name="Обычный 7 133 3 2" xfId="47339"/>
    <cellStyle name="Обычный 7 133 4" xfId="25976"/>
    <cellStyle name="Обычный 7 133 4 2" xfId="58019"/>
    <cellStyle name="Обычный 7 133 5" xfId="36659"/>
    <cellStyle name="Обычный 7 134" xfId="4646"/>
    <cellStyle name="Обычный 7 134 2" xfId="9987"/>
    <cellStyle name="Обычный 7 134 2 2" xfId="20667"/>
    <cellStyle name="Обычный 7 134 2 2 2" xfId="52711"/>
    <cellStyle name="Обычный 7 134 2 3" xfId="31348"/>
    <cellStyle name="Обычный 7 134 2 3 2" xfId="63391"/>
    <cellStyle name="Обычный 7 134 2 4" xfId="42031"/>
    <cellStyle name="Обычный 7 134 3" xfId="15327"/>
    <cellStyle name="Обычный 7 134 3 2" xfId="47371"/>
    <cellStyle name="Обычный 7 134 4" xfId="26008"/>
    <cellStyle name="Обычный 7 134 4 2" xfId="58051"/>
    <cellStyle name="Обычный 7 134 5" xfId="36691"/>
    <cellStyle name="Обычный 7 135" xfId="4678"/>
    <cellStyle name="Обычный 7 135 2" xfId="10019"/>
    <cellStyle name="Обычный 7 135 2 2" xfId="20699"/>
    <cellStyle name="Обычный 7 135 2 2 2" xfId="52743"/>
    <cellStyle name="Обычный 7 135 2 3" xfId="31380"/>
    <cellStyle name="Обычный 7 135 2 3 2" xfId="63423"/>
    <cellStyle name="Обычный 7 135 2 4" xfId="42063"/>
    <cellStyle name="Обычный 7 135 3" xfId="15359"/>
    <cellStyle name="Обычный 7 135 3 2" xfId="47403"/>
    <cellStyle name="Обычный 7 135 4" xfId="26040"/>
    <cellStyle name="Обычный 7 135 4 2" xfId="58083"/>
    <cellStyle name="Обычный 7 135 5" xfId="36723"/>
    <cellStyle name="Обычный 7 136" xfId="4712"/>
    <cellStyle name="Обычный 7 136 2" xfId="10053"/>
    <cellStyle name="Обычный 7 136 2 2" xfId="20733"/>
    <cellStyle name="Обычный 7 136 2 2 2" xfId="52777"/>
    <cellStyle name="Обычный 7 136 2 3" xfId="31414"/>
    <cellStyle name="Обычный 7 136 2 3 2" xfId="63457"/>
    <cellStyle name="Обычный 7 136 2 4" xfId="42097"/>
    <cellStyle name="Обычный 7 136 3" xfId="15393"/>
    <cellStyle name="Обычный 7 136 3 2" xfId="47437"/>
    <cellStyle name="Обычный 7 136 4" xfId="26074"/>
    <cellStyle name="Обычный 7 136 4 2" xfId="58117"/>
    <cellStyle name="Обычный 7 136 5" xfId="36757"/>
    <cellStyle name="Обычный 7 137" xfId="4744"/>
    <cellStyle name="Обычный 7 137 2" xfId="10085"/>
    <cellStyle name="Обычный 7 137 2 2" xfId="20765"/>
    <cellStyle name="Обычный 7 137 2 2 2" xfId="52809"/>
    <cellStyle name="Обычный 7 137 2 3" xfId="31446"/>
    <cellStyle name="Обычный 7 137 2 3 2" xfId="63489"/>
    <cellStyle name="Обычный 7 137 2 4" xfId="42129"/>
    <cellStyle name="Обычный 7 137 3" xfId="15425"/>
    <cellStyle name="Обычный 7 137 3 2" xfId="47469"/>
    <cellStyle name="Обычный 7 137 4" xfId="26106"/>
    <cellStyle name="Обычный 7 137 4 2" xfId="58149"/>
    <cellStyle name="Обычный 7 137 5" xfId="36789"/>
    <cellStyle name="Обычный 7 138" xfId="4776"/>
    <cellStyle name="Обычный 7 138 2" xfId="10117"/>
    <cellStyle name="Обычный 7 138 2 2" xfId="20797"/>
    <cellStyle name="Обычный 7 138 2 2 2" xfId="52841"/>
    <cellStyle name="Обычный 7 138 2 3" xfId="31478"/>
    <cellStyle name="Обычный 7 138 2 3 2" xfId="63521"/>
    <cellStyle name="Обычный 7 138 2 4" xfId="42161"/>
    <cellStyle name="Обычный 7 138 3" xfId="15457"/>
    <cellStyle name="Обычный 7 138 3 2" xfId="47501"/>
    <cellStyle name="Обычный 7 138 4" xfId="26138"/>
    <cellStyle name="Обычный 7 138 4 2" xfId="58181"/>
    <cellStyle name="Обычный 7 138 5" xfId="36821"/>
    <cellStyle name="Обычный 7 139" xfId="4808"/>
    <cellStyle name="Обычный 7 139 2" xfId="10149"/>
    <cellStyle name="Обычный 7 139 2 2" xfId="20829"/>
    <cellStyle name="Обычный 7 139 2 2 2" xfId="52873"/>
    <cellStyle name="Обычный 7 139 2 3" xfId="31510"/>
    <cellStyle name="Обычный 7 139 2 3 2" xfId="63553"/>
    <cellStyle name="Обычный 7 139 2 4" xfId="42193"/>
    <cellStyle name="Обычный 7 139 3" xfId="15489"/>
    <cellStyle name="Обычный 7 139 3 2" xfId="47533"/>
    <cellStyle name="Обычный 7 139 4" xfId="26170"/>
    <cellStyle name="Обычный 7 139 4 2" xfId="58213"/>
    <cellStyle name="Обычный 7 139 5" xfId="36853"/>
    <cellStyle name="Обычный 7 14" xfId="1050"/>
    <cellStyle name="Обычный 7 14 2" xfId="6393"/>
    <cellStyle name="Обычный 7 14 2 2" xfId="17073"/>
    <cellStyle name="Обычный 7 14 2 2 2" xfId="49117"/>
    <cellStyle name="Обычный 7 14 2 3" xfId="27754"/>
    <cellStyle name="Обычный 7 14 2 3 2" xfId="59797"/>
    <cellStyle name="Обычный 7 14 2 4" xfId="38437"/>
    <cellStyle name="Обычный 7 14 3" xfId="11733"/>
    <cellStyle name="Обычный 7 14 3 2" xfId="43777"/>
    <cellStyle name="Обычный 7 14 4" xfId="22414"/>
    <cellStyle name="Обычный 7 14 4 2" xfId="54457"/>
    <cellStyle name="Обычный 7 14 5" xfId="33097"/>
    <cellStyle name="Обычный 7 140" xfId="4840"/>
    <cellStyle name="Обычный 7 140 2" xfId="10181"/>
    <cellStyle name="Обычный 7 140 2 2" xfId="20861"/>
    <cellStyle name="Обычный 7 140 2 2 2" xfId="52905"/>
    <cellStyle name="Обычный 7 140 2 3" xfId="31542"/>
    <cellStyle name="Обычный 7 140 2 3 2" xfId="63585"/>
    <cellStyle name="Обычный 7 140 2 4" xfId="42225"/>
    <cellStyle name="Обычный 7 140 3" xfId="15521"/>
    <cellStyle name="Обычный 7 140 3 2" xfId="47565"/>
    <cellStyle name="Обычный 7 140 4" xfId="26202"/>
    <cellStyle name="Обычный 7 140 4 2" xfId="58245"/>
    <cellStyle name="Обычный 7 140 5" xfId="36885"/>
    <cellStyle name="Обычный 7 141" xfId="4872"/>
    <cellStyle name="Обычный 7 141 2" xfId="10213"/>
    <cellStyle name="Обычный 7 141 2 2" xfId="20893"/>
    <cellStyle name="Обычный 7 141 2 2 2" xfId="52937"/>
    <cellStyle name="Обычный 7 141 2 3" xfId="31574"/>
    <cellStyle name="Обычный 7 141 2 3 2" xfId="63617"/>
    <cellStyle name="Обычный 7 141 2 4" xfId="42257"/>
    <cellStyle name="Обычный 7 141 3" xfId="15553"/>
    <cellStyle name="Обычный 7 141 3 2" xfId="47597"/>
    <cellStyle name="Обычный 7 141 4" xfId="26234"/>
    <cellStyle name="Обычный 7 141 4 2" xfId="58277"/>
    <cellStyle name="Обычный 7 141 5" xfId="36917"/>
    <cellStyle name="Обычный 7 142" xfId="4904"/>
    <cellStyle name="Обычный 7 142 2" xfId="10245"/>
    <cellStyle name="Обычный 7 142 2 2" xfId="20925"/>
    <cellStyle name="Обычный 7 142 2 2 2" xfId="52969"/>
    <cellStyle name="Обычный 7 142 2 3" xfId="31606"/>
    <cellStyle name="Обычный 7 142 2 3 2" xfId="63649"/>
    <cellStyle name="Обычный 7 142 2 4" xfId="42289"/>
    <cellStyle name="Обычный 7 142 3" xfId="15585"/>
    <cellStyle name="Обычный 7 142 3 2" xfId="47629"/>
    <cellStyle name="Обычный 7 142 4" xfId="26266"/>
    <cellStyle name="Обычный 7 142 4 2" xfId="58309"/>
    <cellStyle name="Обычный 7 142 5" xfId="36949"/>
    <cellStyle name="Обычный 7 143" xfId="4936"/>
    <cellStyle name="Обычный 7 143 2" xfId="10277"/>
    <cellStyle name="Обычный 7 143 2 2" xfId="20957"/>
    <cellStyle name="Обычный 7 143 2 2 2" xfId="53001"/>
    <cellStyle name="Обычный 7 143 2 3" xfId="31638"/>
    <cellStyle name="Обычный 7 143 2 3 2" xfId="63681"/>
    <cellStyle name="Обычный 7 143 2 4" xfId="42321"/>
    <cellStyle name="Обычный 7 143 3" xfId="15617"/>
    <cellStyle name="Обычный 7 143 3 2" xfId="47661"/>
    <cellStyle name="Обычный 7 143 4" xfId="26298"/>
    <cellStyle name="Обычный 7 143 4 2" xfId="58341"/>
    <cellStyle name="Обычный 7 143 5" xfId="36981"/>
    <cellStyle name="Обычный 7 144" xfId="4968"/>
    <cellStyle name="Обычный 7 144 2" xfId="10309"/>
    <cellStyle name="Обычный 7 144 2 2" xfId="20989"/>
    <cellStyle name="Обычный 7 144 2 2 2" xfId="53033"/>
    <cellStyle name="Обычный 7 144 2 3" xfId="31670"/>
    <cellStyle name="Обычный 7 144 2 3 2" xfId="63713"/>
    <cellStyle name="Обычный 7 144 2 4" xfId="42353"/>
    <cellStyle name="Обычный 7 144 3" xfId="15649"/>
    <cellStyle name="Обычный 7 144 3 2" xfId="47693"/>
    <cellStyle name="Обычный 7 144 4" xfId="26330"/>
    <cellStyle name="Обычный 7 144 4 2" xfId="58373"/>
    <cellStyle name="Обычный 7 144 5" xfId="37013"/>
    <cellStyle name="Обычный 7 145" xfId="5000"/>
    <cellStyle name="Обычный 7 145 2" xfId="10341"/>
    <cellStyle name="Обычный 7 145 2 2" xfId="21021"/>
    <cellStyle name="Обычный 7 145 2 2 2" xfId="53065"/>
    <cellStyle name="Обычный 7 145 2 3" xfId="31702"/>
    <cellStyle name="Обычный 7 145 2 3 2" xfId="63745"/>
    <cellStyle name="Обычный 7 145 2 4" xfId="42385"/>
    <cellStyle name="Обычный 7 145 3" xfId="15681"/>
    <cellStyle name="Обычный 7 145 3 2" xfId="47725"/>
    <cellStyle name="Обычный 7 145 4" xfId="26362"/>
    <cellStyle name="Обычный 7 145 4 2" xfId="58405"/>
    <cellStyle name="Обычный 7 145 5" xfId="37045"/>
    <cellStyle name="Обычный 7 146" xfId="5032"/>
    <cellStyle name="Обычный 7 146 2" xfId="10373"/>
    <cellStyle name="Обычный 7 146 2 2" xfId="21053"/>
    <cellStyle name="Обычный 7 146 2 2 2" xfId="53097"/>
    <cellStyle name="Обычный 7 146 2 3" xfId="31734"/>
    <cellStyle name="Обычный 7 146 2 3 2" xfId="63777"/>
    <cellStyle name="Обычный 7 146 2 4" xfId="42417"/>
    <cellStyle name="Обычный 7 146 3" xfId="15713"/>
    <cellStyle name="Обычный 7 146 3 2" xfId="47757"/>
    <cellStyle name="Обычный 7 146 4" xfId="26394"/>
    <cellStyle name="Обычный 7 146 4 2" xfId="58437"/>
    <cellStyle name="Обычный 7 146 5" xfId="37077"/>
    <cellStyle name="Обычный 7 147" xfId="5064"/>
    <cellStyle name="Обычный 7 147 2" xfId="10405"/>
    <cellStyle name="Обычный 7 147 2 2" xfId="21085"/>
    <cellStyle name="Обычный 7 147 2 2 2" xfId="53129"/>
    <cellStyle name="Обычный 7 147 2 3" xfId="31766"/>
    <cellStyle name="Обычный 7 147 2 3 2" xfId="63809"/>
    <cellStyle name="Обычный 7 147 2 4" xfId="42449"/>
    <cellStyle name="Обычный 7 147 3" xfId="15745"/>
    <cellStyle name="Обычный 7 147 3 2" xfId="47789"/>
    <cellStyle name="Обычный 7 147 4" xfId="26426"/>
    <cellStyle name="Обычный 7 147 4 2" xfId="58469"/>
    <cellStyle name="Обычный 7 147 5" xfId="37109"/>
    <cellStyle name="Обычный 7 148" xfId="5096"/>
    <cellStyle name="Обычный 7 148 2" xfId="10437"/>
    <cellStyle name="Обычный 7 148 2 2" xfId="21117"/>
    <cellStyle name="Обычный 7 148 2 2 2" xfId="53161"/>
    <cellStyle name="Обычный 7 148 2 3" xfId="31798"/>
    <cellStyle name="Обычный 7 148 2 3 2" xfId="63841"/>
    <cellStyle name="Обычный 7 148 2 4" xfId="42481"/>
    <cellStyle name="Обычный 7 148 3" xfId="15777"/>
    <cellStyle name="Обычный 7 148 3 2" xfId="47821"/>
    <cellStyle name="Обычный 7 148 4" xfId="26458"/>
    <cellStyle name="Обычный 7 148 4 2" xfId="58501"/>
    <cellStyle name="Обычный 7 148 5" xfId="37141"/>
    <cellStyle name="Обычный 7 149" xfId="5128"/>
    <cellStyle name="Обычный 7 149 2" xfId="10469"/>
    <cellStyle name="Обычный 7 149 2 2" xfId="21149"/>
    <cellStyle name="Обычный 7 149 2 2 2" xfId="53193"/>
    <cellStyle name="Обычный 7 149 2 3" xfId="31830"/>
    <cellStyle name="Обычный 7 149 2 3 2" xfId="63873"/>
    <cellStyle name="Обычный 7 149 2 4" xfId="42513"/>
    <cellStyle name="Обычный 7 149 3" xfId="15809"/>
    <cellStyle name="Обычный 7 149 3 2" xfId="47853"/>
    <cellStyle name="Обычный 7 149 4" xfId="26490"/>
    <cellStyle name="Обычный 7 149 4 2" xfId="58533"/>
    <cellStyle name="Обычный 7 149 5" xfId="37173"/>
    <cellStyle name="Обычный 7 15" xfId="1076"/>
    <cellStyle name="Обычный 7 15 2" xfId="6419"/>
    <cellStyle name="Обычный 7 15 2 2" xfId="17099"/>
    <cellStyle name="Обычный 7 15 2 2 2" xfId="49143"/>
    <cellStyle name="Обычный 7 15 2 3" xfId="27780"/>
    <cellStyle name="Обычный 7 15 2 3 2" xfId="59823"/>
    <cellStyle name="Обычный 7 15 2 4" xfId="38463"/>
    <cellStyle name="Обычный 7 15 3" xfId="11759"/>
    <cellStyle name="Обычный 7 15 3 2" xfId="43803"/>
    <cellStyle name="Обычный 7 15 4" xfId="22440"/>
    <cellStyle name="Обычный 7 15 4 2" xfId="54483"/>
    <cellStyle name="Обычный 7 15 5" xfId="33123"/>
    <cellStyle name="Обычный 7 150" xfId="5160"/>
    <cellStyle name="Обычный 7 150 2" xfId="10501"/>
    <cellStyle name="Обычный 7 150 2 2" xfId="21181"/>
    <cellStyle name="Обычный 7 150 2 2 2" xfId="53225"/>
    <cellStyle name="Обычный 7 150 2 3" xfId="31862"/>
    <cellStyle name="Обычный 7 150 2 3 2" xfId="63905"/>
    <cellStyle name="Обычный 7 150 2 4" xfId="42545"/>
    <cellStyle name="Обычный 7 150 3" xfId="15841"/>
    <cellStyle name="Обычный 7 150 3 2" xfId="47885"/>
    <cellStyle name="Обычный 7 150 4" xfId="26522"/>
    <cellStyle name="Обычный 7 150 4 2" xfId="58565"/>
    <cellStyle name="Обычный 7 150 5" xfId="37205"/>
    <cellStyle name="Обычный 7 151" xfId="5192"/>
    <cellStyle name="Обычный 7 151 2" xfId="10533"/>
    <cellStyle name="Обычный 7 151 2 2" xfId="21213"/>
    <cellStyle name="Обычный 7 151 2 2 2" xfId="53257"/>
    <cellStyle name="Обычный 7 151 2 3" xfId="31894"/>
    <cellStyle name="Обычный 7 151 2 3 2" xfId="63937"/>
    <cellStyle name="Обычный 7 151 2 4" xfId="42577"/>
    <cellStyle name="Обычный 7 151 3" xfId="15873"/>
    <cellStyle name="Обычный 7 151 3 2" xfId="47917"/>
    <cellStyle name="Обычный 7 151 4" xfId="26554"/>
    <cellStyle name="Обычный 7 151 4 2" xfId="58597"/>
    <cellStyle name="Обычный 7 151 5" xfId="37237"/>
    <cellStyle name="Обычный 7 152" xfId="5224"/>
    <cellStyle name="Обычный 7 152 2" xfId="10565"/>
    <cellStyle name="Обычный 7 152 2 2" xfId="21245"/>
    <cellStyle name="Обычный 7 152 2 2 2" xfId="53289"/>
    <cellStyle name="Обычный 7 152 2 3" xfId="31926"/>
    <cellStyle name="Обычный 7 152 2 3 2" xfId="63969"/>
    <cellStyle name="Обычный 7 152 2 4" xfId="42609"/>
    <cellStyle name="Обычный 7 152 3" xfId="15905"/>
    <cellStyle name="Обычный 7 152 3 2" xfId="47949"/>
    <cellStyle name="Обычный 7 152 4" xfId="26586"/>
    <cellStyle name="Обычный 7 152 4 2" xfId="58629"/>
    <cellStyle name="Обычный 7 152 5" xfId="37269"/>
    <cellStyle name="Обычный 7 153" xfId="5256"/>
    <cellStyle name="Обычный 7 153 2" xfId="10597"/>
    <cellStyle name="Обычный 7 153 2 2" xfId="21277"/>
    <cellStyle name="Обычный 7 153 2 2 2" xfId="53321"/>
    <cellStyle name="Обычный 7 153 2 3" xfId="31958"/>
    <cellStyle name="Обычный 7 153 2 3 2" xfId="64001"/>
    <cellStyle name="Обычный 7 153 2 4" xfId="42641"/>
    <cellStyle name="Обычный 7 153 3" xfId="15937"/>
    <cellStyle name="Обычный 7 153 3 2" xfId="47981"/>
    <cellStyle name="Обычный 7 153 4" xfId="26618"/>
    <cellStyle name="Обычный 7 153 4 2" xfId="58661"/>
    <cellStyle name="Обычный 7 153 5" xfId="37301"/>
    <cellStyle name="Обычный 7 154" xfId="5288"/>
    <cellStyle name="Обычный 7 154 2" xfId="10629"/>
    <cellStyle name="Обычный 7 154 2 2" xfId="21309"/>
    <cellStyle name="Обычный 7 154 2 2 2" xfId="53353"/>
    <cellStyle name="Обычный 7 154 2 3" xfId="31990"/>
    <cellStyle name="Обычный 7 154 2 3 2" xfId="64033"/>
    <cellStyle name="Обычный 7 154 2 4" xfId="42673"/>
    <cellStyle name="Обычный 7 154 3" xfId="15969"/>
    <cellStyle name="Обычный 7 154 3 2" xfId="48013"/>
    <cellStyle name="Обычный 7 154 4" xfId="26650"/>
    <cellStyle name="Обычный 7 154 4 2" xfId="58693"/>
    <cellStyle name="Обычный 7 154 5" xfId="37333"/>
    <cellStyle name="Обычный 7 155" xfId="5320"/>
    <cellStyle name="Обычный 7 155 2" xfId="10661"/>
    <cellStyle name="Обычный 7 155 2 2" xfId="21341"/>
    <cellStyle name="Обычный 7 155 2 2 2" xfId="53385"/>
    <cellStyle name="Обычный 7 155 2 3" xfId="32022"/>
    <cellStyle name="Обычный 7 155 2 3 2" xfId="64065"/>
    <cellStyle name="Обычный 7 155 2 4" xfId="42705"/>
    <cellStyle name="Обычный 7 155 3" xfId="16001"/>
    <cellStyle name="Обычный 7 155 3 2" xfId="48045"/>
    <cellStyle name="Обычный 7 155 4" xfId="26682"/>
    <cellStyle name="Обычный 7 155 4 2" xfId="58725"/>
    <cellStyle name="Обычный 7 155 5" xfId="37365"/>
    <cellStyle name="Обычный 7 156" xfId="5352"/>
    <cellStyle name="Обычный 7 156 2" xfId="10693"/>
    <cellStyle name="Обычный 7 156 2 2" xfId="21373"/>
    <cellStyle name="Обычный 7 156 2 2 2" xfId="53417"/>
    <cellStyle name="Обычный 7 156 2 3" xfId="32054"/>
    <cellStyle name="Обычный 7 156 2 3 2" xfId="64097"/>
    <cellStyle name="Обычный 7 156 2 4" xfId="42737"/>
    <cellStyle name="Обычный 7 156 3" xfId="16033"/>
    <cellStyle name="Обычный 7 156 3 2" xfId="48077"/>
    <cellStyle name="Обычный 7 156 4" xfId="26714"/>
    <cellStyle name="Обычный 7 156 4 2" xfId="58757"/>
    <cellStyle name="Обычный 7 156 5" xfId="37397"/>
    <cellStyle name="Обычный 7 157" xfId="5744"/>
    <cellStyle name="Обычный 7 157 2" xfId="16424"/>
    <cellStyle name="Обычный 7 157 2 2" xfId="48468"/>
    <cellStyle name="Обычный 7 157 3" xfId="27105"/>
    <cellStyle name="Обычный 7 157 3 2" xfId="59148"/>
    <cellStyle name="Обычный 7 157 4" xfId="37788"/>
    <cellStyle name="Обычный 7 158" xfId="11084"/>
    <cellStyle name="Обычный 7 158 2" xfId="43128"/>
    <cellStyle name="Обычный 7 159" xfId="21765"/>
    <cellStyle name="Обычный 7 159 2" xfId="53808"/>
    <cellStyle name="Обычный 7 16" xfId="1102"/>
    <cellStyle name="Обычный 7 16 2" xfId="6445"/>
    <cellStyle name="Обычный 7 16 2 2" xfId="17125"/>
    <cellStyle name="Обычный 7 16 2 2 2" xfId="49169"/>
    <cellStyle name="Обычный 7 16 2 3" xfId="27806"/>
    <cellStyle name="Обычный 7 16 2 3 2" xfId="59849"/>
    <cellStyle name="Обычный 7 16 2 4" xfId="38489"/>
    <cellStyle name="Обычный 7 16 3" xfId="11785"/>
    <cellStyle name="Обычный 7 16 3 2" xfId="43829"/>
    <cellStyle name="Обычный 7 16 4" xfId="22466"/>
    <cellStyle name="Обычный 7 16 4 2" xfId="54509"/>
    <cellStyle name="Обычный 7 16 5" xfId="33149"/>
    <cellStyle name="Обычный 7 160" xfId="32448"/>
    <cellStyle name="Обычный 7 17" xfId="1128"/>
    <cellStyle name="Обычный 7 17 2" xfId="6471"/>
    <cellStyle name="Обычный 7 17 2 2" xfId="17151"/>
    <cellStyle name="Обычный 7 17 2 2 2" xfId="49195"/>
    <cellStyle name="Обычный 7 17 2 3" xfId="27832"/>
    <cellStyle name="Обычный 7 17 2 3 2" xfId="59875"/>
    <cellStyle name="Обычный 7 17 2 4" xfId="38515"/>
    <cellStyle name="Обычный 7 17 3" xfId="11811"/>
    <cellStyle name="Обычный 7 17 3 2" xfId="43855"/>
    <cellStyle name="Обычный 7 17 4" xfId="22492"/>
    <cellStyle name="Обычный 7 17 4 2" xfId="54535"/>
    <cellStyle name="Обычный 7 17 5" xfId="33175"/>
    <cellStyle name="Обычный 7 18" xfId="1154"/>
    <cellStyle name="Обычный 7 18 2" xfId="6497"/>
    <cellStyle name="Обычный 7 18 2 2" xfId="17177"/>
    <cellStyle name="Обычный 7 18 2 2 2" xfId="49221"/>
    <cellStyle name="Обычный 7 18 2 3" xfId="27858"/>
    <cellStyle name="Обычный 7 18 2 3 2" xfId="59901"/>
    <cellStyle name="Обычный 7 18 2 4" xfId="38541"/>
    <cellStyle name="Обычный 7 18 3" xfId="11837"/>
    <cellStyle name="Обычный 7 18 3 2" xfId="43881"/>
    <cellStyle name="Обычный 7 18 4" xfId="22518"/>
    <cellStyle name="Обычный 7 18 4 2" xfId="54561"/>
    <cellStyle name="Обычный 7 18 5" xfId="33201"/>
    <cellStyle name="Обычный 7 19" xfId="1180"/>
    <cellStyle name="Обычный 7 19 2" xfId="6523"/>
    <cellStyle name="Обычный 7 19 2 2" xfId="17203"/>
    <cellStyle name="Обычный 7 19 2 2 2" xfId="49247"/>
    <cellStyle name="Обычный 7 19 2 3" xfId="27884"/>
    <cellStyle name="Обычный 7 19 2 3 2" xfId="59927"/>
    <cellStyle name="Обычный 7 19 2 4" xfId="38567"/>
    <cellStyle name="Обычный 7 19 3" xfId="11863"/>
    <cellStyle name="Обычный 7 19 3 2" xfId="43907"/>
    <cellStyle name="Обычный 7 19 4" xfId="22544"/>
    <cellStyle name="Обычный 7 19 4 2" xfId="54587"/>
    <cellStyle name="Обычный 7 19 5" xfId="33227"/>
    <cellStyle name="Обычный 7 2" xfId="412"/>
    <cellStyle name="Обычный 7 2 10" xfId="1166"/>
    <cellStyle name="Обычный 7 2 10 2" xfId="6509"/>
    <cellStyle name="Обычный 7 2 10 2 2" xfId="17189"/>
    <cellStyle name="Обычный 7 2 10 2 2 2" xfId="49233"/>
    <cellStyle name="Обычный 7 2 10 2 3" xfId="27870"/>
    <cellStyle name="Обычный 7 2 10 2 3 2" xfId="59913"/>
    <cellStyle name="Обычный 7 2 10 2 4" xfId="38553"/>
    <cellStyle name="Обычный 7 2 10 3" xfId="11849"/>
    <cellStyle name="Обычный 7 2 10 3 2" xfId="43893"/>
    <cellStyle name="Обычный 7 2 10 4" xfId="22530"/>
    <cellStyle name="Обычный 7 2 10 4 2" xfId="54573"/>
    <cellStyle name="Обычный 7 2 10 5" xfId="33213"/>
    <cellStyle name="Обычный 7 2 100" xfId="3826"/>
    <cellStyle name="Обычный 7 2 100 2" xfId="9167"/>
    <cellStyle name="Обычный 7 2 100 2 2" xfId="19847"/>
    <cellStyle name="Обычный 7 2 100 2 2 2" xfId="51891"/>
    <cellStyle name="Обычный 7 2 100 2 3" xfId="30528"/>
    <cellStyle name="Обычный 7 2 100 2 3 2" xfId="62571"/>
    <cellStyle name="Обычный 7 2 100 2 4" xfId="41211"/>
    <cellStyle name="Обычный 7 2 100 3" xfId="14507"/>
    <cellStyle name="Обычный 7 2 100 3 2" xfId="46551"/>
    <cellStyle name="Обычный 7 2 100 4" xfId="25188"/>
    <cellStyle name="Обычный 7 2 100 4 2" xfId="57231"/>
    <cellStyle name="Обычный 7 2 100 5" xfId="35871"/>
    <cellStyle name="Обычный 7 2 101" xfId="3858"/>
    <cellStyle name="Обычный 7 2 101 2" xfId="9199"/>
    <cellStyle name="Обычный 7 2 101 2 2" xfId="19879"/>
    <cellStyle name="Обычный 7 2 101 2 2 2" xfId="51923"/>
    <cellStyle name="Обычный 7 2 101 2 3" xfId="30560"/>
    <cellStyle name="Обычный 7 2 101 2 3 2" xfId="62603"/>
    <cellStyle name="Обычный 7 2 101 2 4" xfId="41243"/>
    <cellStyle name="Обычный 7 2 101 3" xfId="14539"/>
    <cellStyle name="Обычный 7 2 101 3 2" xfId="46583"/>
    <cellStyle name="Обычный 7 2 101 4" xfId="25220"/>
    <cellStyle name="Обычный 7 2 101 4 2" xfId="57263"/>
    <cellStyle name="Обычный 7 2 101 5" xfId="35903"/>
    <cellStyle name="Обычный 7 2 102" xfId="3890"/>
    <cellStyle name="Обычный 7 2 102 2" xfId="9231"/>
    <cellStyle name="Обычный 7 2 102 2 2" xfId="19911"/>
    <cellStyle name="Обычный 7 2 102 2 2 2" xfId="51955"/>
    <cellStyle name="Обычный 7 2 102 2 3" xfId="30592"/>
    <cellStyle name="Обычный 7 2 102 2 3 2" xfId="62635"/>
    <cellStyle name="Обычный 7 2 102 2 4" xfId="41275"/>
    <cellStyle name="Обычный 7 2 102 3" xfId="14571"/>
    <cellStyle name="Обычный 7 2 102 3 2" xfId="46615"/>
    <cellStyle name="Обычный 7 2 102 4" xfId="25252"/>
    <cellStyle name="Обычный 7 2 102 4 2" xfId="57295"/>
    <cellStyle name="Обычный 7 2 102 5" xfId="35935"/>
    <cellStyle name="Обычный 7 2 103" xfId="3922"/>
    <cellStyle name="Обычный 7 2 103 2" xfId="9263"/>
    <cellStyle name="Обычный 7 2 103 2 2" xfId="19943"/>
    <cellStyle name="Обычный 7 2 103 2 2 2" xfId="51987"/>
    <cellStyle name="Обычный 7 2 103 2 3" xfId="30624"/>
    <cellStyle name="Обычный 7 2 103 2 3 2" xfId="62667"/>
    <cellStyle name="Обычный 7 2 103 2 4" xfId="41307"/>
    <cellStyle name="Обычный 7 2 103 3" xfId="14603"/>
    <cellStyle name="Обычный 7 2 103 3 2" xfId="46647"/>
    <cellStyle name="Обычный 7 2 103 4" xfId="25284"/>
    <cellStyle name="Обычный 7 2 103 4 2" xfId="57327"/>
    <cellStyle name="Обычный 7 2 103 5" xfId="35967"/>
    <cellStyle name="Обычный 7 2 104" xfId="3954"/>
    <cellStyle name="Обычный 7 2 104 2" xfId="9295"/>
    <cellStyle name="Обычный 7 2 104 2 2" xfId="19975"/>
    <cellStyle name="Обычный 7 2 104 2 2 2" xfId="52019"/>
    <cellStyle name="Обычный 7 2 104 2 3" xfId="30656"/>
    <cellStyle name="Обычный 7 2 104 2 3 2" xfId="62699"/>
    <cellStyle name="Обычный 7 2 104 2 4" xfId="41339"/>
    <cellStyle name="Обычный 7 2 104 3" xfId="14635"/>
    <cellStyle name="Обычный 7 2 104 3 2" xfId="46679"/>
    <cellStyle name="Обычный 7 2 104 4" xfId="25316"/>
    <cellStyle name="Обычный 7 2 104 4 2" xfId="57359"/>
    <cellStyle name="Обычный 7 2 104 5" xfId="35999"/>
    <cellStyle name="Обычный 7 2 105" xfId="3986"/>
    <cellStyle name="Обычный 7 2 105 2" xfId="9327"/>
    <cellStyle name="Обычный 7 2 105 2 2" xfId="20007"/>
    <cellStyle name="Обычный 7 2 105 2 2 2" xfId="52051"/>
    <cellStyle name="Обычный 7 2 105 2 3" xfId="30688"/>
    <cellStyle name="Обычный 7 2 105 2 3 2" xfId="62731"/>
    <cellStyle name="Обычный 7 2 105 2 4" xfId="41371"/>
    <cellStyle name="Обычный 7 2 105 3" xfId="14667"/>
    <cellStyle name="Обычный 7 2 105 3 2" xfId="46711"/>
    <cellStyle name="Обычный 7 2 105 4" xfId="25348"/>
    <cellStyle name="Обычный 7 2 105 4 2" xfId="57391"/>
    <cellStyle name="Обычный 7 2 105 5" xfId="36031"/>
    <cellStyle name="Обычный 7 2 106" xfId="4018"/>
    <cellStyle name="Обычный 7 2 106 2" xfId="9359"/>
    <cellStyle name="Обычный 7 2 106 2 2" xfId="20039"/>
    <cellStyle name="Обычный 7 2 106 2 2 2" xfId="52083"/>
    <cellStyle name="Обычный 7 2 106 2 3" xfId="30720"/>
    <cellStyle name="Обычный 7 2 106 2 3 2" xfId="62763"/>
    <cellStyle name="Обычный 7 2 106 2 4" xfId="41403"/>
    <cellStyle name="Обычный 7 2 106 3" xfId="14699"/>
    <cellStyle name="Обычный 7 2 106 3 2" xfId="46743"/>
    <cellStyle name="Обычный 7 2 106 4" xfId="25380"/>
    <cellStyle name="Обычный 7 2 106 4 2" xfId="57423"/>
    <cellStyle name="Обычный 7 2 106 5" xfId="36063"/>
    <cellStyle name="Обычный 7 2 107" xfId="4050"/>
    <cellStyle name="Обычный 7 2 107 2" xfId="9391"/>
    <cellStyle name="Обычный 7 2 107 2 2" xfId="20071"/>
    <cellStyle name="Обычный 7 2 107 2 2 2" xfId="52115"/>
    <cellStyle name="Обычный 7 2 107 2 3" xfId="30752"/>
    <cellStyle name="Обычный 7 2 107 2 3 2" xfId="62795"/>
    <cellStyle name="Обычный 7 2 107 2 4" xfId="41435"/>
    <cellStyle name="Обычный 7 2 107 3" xfId="14731"/>
    <cellStyle name="Обычный 7 2 107 3 2" xfId="46775"/>
    <cellStyle name="Обычный 7 2 107 4" xfId="25412"/>
    <cellStyle name="Обычный 7 2 107 4 2" xfId="57455"/>
    <cellStyle name="Обычный 7 2 107 5" xfId="36095"/>
    <cellStyle name="Обычный 7 2 108" xfId="4082"/>
    <cellStyle name="Обычный 7 2 108 2" xfId="9423"/>
    <cellStyle name="Обычный 7 2 108 2 2" xfId="20103"/>
    <cellStyle name="Обычный 7 2 108 2 2 2" xfId="52147"/>
    <cellStyle name="Обычный 7 2 108 2 3" xfId="30784"/>
    <cellStyle name="Обычный 7 2 108 2 3 2" xfId="62827"/>
    <cellStyle name="Обычный 7 2 108 2 4" xfId="41467"/>
    <cellStyle name="Обычный 7 2 108 3" xfId="14763"/>
    <cellStyle name="Обычный 7 2 108 3 2" xfId="46807"/>
    <cellStyle name="Обычный 7 2 108 4" xfId="25444"/>
    <cellStyle name="Обычный 7 2 108 4 2" xfId="57487"/>
    <cellStyle name="Обычный 7 2 108 5" xfId="36127"/>
    <cellStyle name="Обычный 7 2 109" xfId="4114"/>
    <cellStyle name="Обычный 7 2 109 2" xfId="9455"/>
    <cellStyle name="Обычный 7 2 109 2 2" xfId="20135"/>
    <cellStyle name="Обычный 7 2 109 2 2 2" xfId="52179"/>
    <cellStyle name="Обычный 7 2 109 2 3" xfId="30816"/>
    <cellStyle name="Обычный 7 2 109 2 3 2" xfId="62859"/>
    <cellStyle name="Обычный 7 2 109 2 4" xfId="41499"/>
    <cellStyle name="Обычный 7 2 109 3" xfId="14795"/>
    <cellStyle name="Обычный 7 2 109 3 2" xfId="46839"/>
    <cellStyle name="Обычный 7 2 109 4" xfId="25476"/>
    <cellStyle name="Обычный 7 2 109 4 2" xfId="57519"/>
    <cellStyle name="Обычный 7 2 109 5" xfId="36159"/>
    <cellStyle name="Обычный 7 2 11" xfId="1192"/>
    <cellStyle name="Обычный 7 2 11 2" xfId="6535"/>
    <cellStyle name="Обычный 7 2 11 2 2" xfId="17215"/>
    <cellStyle name="Обычный 7 2 11 2 2 2" xfId="49259"/>
    <cellStyle name="Обычный 7 2 11 2 3" xfId="27896"/>
    <cellStyle name="Обычный 7 2 11 2 3 2" xfId="59939"/>
    <cellStyle name="Обычный 7 2 11 2 4" xfId="38579"/>
    <cellStyle name="Обычный 7 2 11 3" xfId="11875"/>
    <cellStyle name="Обычный 7 2 11 3 2" xfId="43919"/>
    <cellStyle name="Обычный 7 2 11 4" xfId="22556"/>
    <cellStyle name="Обычный 7 2 11 4 2" xfId="54599"/>
    <cellStyle name="Обычный 7 2 11 5" xfId="33239"/>
    <cellStyle name="Обычный 7 2 110" xfId="4146"/>
    <cellStyle name="Обычный 7 2 110 2" xfId="9487"/>
    <cellStyle name="Обычный 7 2 110 2 2" xfId="20167"/>
    <cellStyle name="Обычный 7 2 110 2 2 2" xfId="52211"/>
    <cellStyle name="Обычный 7 2 110 2 3" xfId="30848"/>
    <cellStyle name="Обычный 7 2 110 2 3 2" xfId="62891"/>
    <cellStyle name="Обычный 7 2 110 2 4" xfId="41531"/>
    <cellStyle name="Обычный 7 2 110 3" xfId="14827"/>
    <cellStyle name="Обычный 7 2 110 3 2" xfId="46871"/>
    <cellStyle name="Обычный 7 2 110 4" xfId="25508"/>
    <cellStyle name="Обычный 7 2 110 4 2" xfId="57551"/>
    <cellStyle name="Обычный 7 2 110 5" xfId="36191"/>
    <cellStyle name="Обычный 7 2 111" xfId="4178"/>
    <cellStyle name="Обычный 7 2 111 2" xfId="9519"/>
    <cellStyle name="Обычный 7 2 111 2 2" xfId="20199"/>
    <cellStyle name="Обычный 7 2 111 2 2 2" xfId="52243"/>
    <cellStyle name="Обычный 7 2 111 2 3" xfId="30880"/>
    <cellStyle name="Обычный 7 2 111 2 3 2" xfId="62923"/>
    <cellStyle name="Обычный 7 2 111 2 4" xfId="41563"/>
    <cellStyle name="Обычный 7 2 111 3" xfId="14859"/>
    <cellStyle name="Обычный 7 2 111 3 2" xfId="46903"/>
    <cellStyle name="Обычный 7 2 111 4" xfId="25540"/>
    <cellStyle name="Обычный 7 2 111 4 2" xfId="57583"/>
    <cellStyle name="Обычный 7 2 111 5" xfId="36223"/>
    <cellStyle name="Обычный 7 2 112" xfId="4210"/>
    <cellStyle name="Обычный 7 2 112 2" xfId="9551"/>
    <cellStyle name="Обычный 7 2 112 2 2" xfId="20231"/>
    <cellStyle name="Обычный 7 2 112 2 2 2" xfId="52275"/>
    <cellStyle name="Обычный 7 2 112 2 3" xfId="30912"/>
    <cellStyle name="Обычный 7 2 112 2 3 2" xfId="62955"/>
    <cellStyle name="Обычный 7 2 112 2 4" xfId="41595"/>
    <cellStyle name="Обычный 7 2 112 3" xfId="14891"/>
    <cellStyle name="Обычный 7 2 112 3 2" xfId="46935"/>
    <cellStyle name="Обычный 7 2 112 4" xfId="25572"/>
    <cellStyle name="Обычный 7 2 112 4 2" xfId="57615"/>
    <cellStyle name="Обычный 7 2 112 5" xfId="36255"/>
    <cellStyle name="Обычный 7 2 113" xfId="4242"/>
    <cellStyle name="Обычный 7 2 113 2" xfId="9583"/>
    <cellStyle name="Обычный 7 2 113 2 2" xfId="20263"/>
    <cellStyle name="Обычный 7 2 113 2 2 2" xfId="52307"/>
    <cellStyle name="Обычный 7 2 113 2 3" xfId="30944"/>
    <cellStyle name="Обычный 7 2 113 2 3 2" xfId="62987"/>
    <cellStyle name="Обычный 7 2 113 2 4" xfId="41627"/>
    <cellStyle name="Обычный 7 2 113 3" xfId="14923"/>
    <cellStyle name="Обычный 7 2 113 3 2" xfId="46967"/>
    <cellStyle name="Обычный 7 2 113 4" xfId="25604"/>
    <cellStyle name="Обычный 7 2 113 4 2" xfId="57647"/>
    <cellStyle name="Обычный 7 2 113 5" xfId="36287"/>
    <cellStyle name="Обычный 7 2 114" xfId="4274"/>
    <cellStyle name="Обычный 7 2 114 2" xfId="9615"/>
    <cellStyle name="Обычный 7 2 114 2 2" xfId="20295"/>
    <cellStyle name="Обычный 7 2 114 2 2 2" xfId="52339"/>
    <cellStyle name="Обычный 7 2 114 2 3" xfId="30976"/>
    <cellStyle name="Обычный 7 2 114 2 3 2" xfId="63019"/>
    <cellStyle name="Обычный 7 2 114 2 4" xfId="41659"/>
    <cellStyle name="Обычный 7 2 114 3" xfId="14955"/>
    <cellStyle name="Обычный 7 2 114 3 2" xfId="46999"/>
    <cellStyle name="Обычный 7 2 114 4" xfId="25636"/>
    <cellStyle name="Обычный 7 2 114 4 2" xfId="57679"/>
    <cellStyle name="Обычный 7 2 114 5" xfId="36319"/>
    <cellStyle name="Обычный 7 2 115" xfId="4306"/>
    <cellStyle name="Обычный 7 2 115 2" xfId="9647"/>
    <cellStyle name="Обычный 7 2 115 2 2" xfId="20327"/>
    <cellStyle name="Обычный 7 2 115 2 2 2" xfId="52371"/>
    <cellStyle name="Обычный 7 2 115 2 3" xfId="31008"/>
    <cellStyle name="Обычный 7 2 115 2 3 2" xfId="63051"/>
    <cellStyle name="Обычный 7 2 115 2 4" xfId="41691"/>
    <cellStyle name="Обычный 7 2 115 3" xfId="14987"/>
    <cellStyle name="Обычный 7 2 115 3 2" xfId="47031"/>
    <cellStyle name="Обычный 7 2 115 4" xfId="25668"/>
    <cellStyle name="Обычный 7 2 115 4 2" xfId="57711"/>
    <cellStyle name="Обычный 7 2 115 5" xfId="36351"/>
    <cellStyle name="Обычный 7 2 116" xfId="4338"/>
    <cellStyle name="Обычный 7 2 116 2" xfId="9679"/>
    <cellStyle name="Обычный 7 2 116 2 2" xfId="20359"/>
    <cellStyle name="Обычный 7 2 116 2 2 2" xfId="52403"/>
    <cellStyle name="Обычный 7 2 116 2 3" xfId="31040"/>
    <cellStyle name="Обычный 7 2 116 2 3 2" xfId="63083"/>
    <cellStyle name="Обычный 7 2 116 2 4" xfId="41723"/>
    <cellStyle name="Обычный 7 2 116 3" xfId="15019"/>
    <cellStyle name="Обычный 7 2 116 3 2" xfId="47063"/>
    <cellStyle name="Обычный 7 2 116 4" xfId="25700"/>
    <cellStyle name="Обычный 7 2 116 4 2" xfId="57743"/>
    <cellStyle name="Обычный 7 2 116 5" xfId="36383"/>
    <cellStyle name="Обычный 7 2 117" xfId="4370"/>
    <cellStyle name="Обычный 7 2 117 2" xfId="9711"/>
    <cellStyle name="Обычный 7 2 117 2 2" xfId="20391"/>
    <cellStyle name="Обычный 7 2 117 2 2 2" xfId="52435"/>
    <cellStyle name="Обычный 7 2 117 2 3" xfId="31072"/>
    <cellStyle name="Обычный 7 2 117 2 3 2" xfId="63115"/>
    <cellStyle name="Обычный 7 2 117 2 4" xfId="41755"/>
    <cellStyle name="Обычный 7 2 117 3" xfId="15051"/>
    <cellStyle name="Обычный 7 2 117 3 2" xfId="47095"/>
    <cellStyle name="Обычный 7 2 117 4" xfId="25732"/>
    <cellStyle name="Обычный 7 2 117 4 2" xfId="57775"/>
    <cellStyle name="Обычный 7 2 117 5" xfId="36415"/>
    <cellStyle name="Обычный 7 2 118" xfId="4402"/>
    <cellStyle name="Обычный 7 2 118 2" xfId="9743"/>
    <cellStyle name="Обычный 7 2 118 2 2" xfId="20423"/>
    <cellStyle name="Обычный 7 2 118 2 2 2" xfId="52467"/>
    <cellStyle name="Обычный 7 2 118 2 3" xfId="31104"/>
    <cellStyle name="Обычный 7 2 118 2 3 2" xfId="63147"/>
    <cellStyle name="Обычный 7 2 118 2 4" xfId="41787"/>
    <cellStyle name="Обычный 7 2 118 3" xfId="15083"/>
    <cellStyle name="Обычный 7 2 118 3 2" xfId="47127"/>
    <cellStyle name="Обычный 7 2 118 4" xfId="25764"/>
    <cellStyle name="Обычный 7 2 118 4 2" xfId="57807"/>
    <cellStyle name="Обычный 7 2 118 5" xfId="36447"/>
    <cellStyle name="Обычный 7 2 119" xfId="4434"/>
    <cellStyle name="Обычный 7 2 119 2" xfId="9775"/>
    <cellStyle name="Обычный 7 2 119 2 2" xfId="20455"/>
    <cellStyle name="Обычный 7 2 119 2 2 2" xfId="52499"/>
    <cellStyle name="Обычный 7 2 119 2 3" xfId="31136"/>
    <cellStyle name="Обычный 7 2 119 2 3 2" xfId="63179"/>
    <cellStyle name="Обычный 7 2 119 2 4" xfId="41819"/>
    <cellStyle name="Обычный 7 2 119 3" xfId="15115"/>
    <cellStyle name="Обычный 7 2 119 3 2" xfId="47159"/>
    <cellStyle name="Обычный 7 2 119 4" xfId="25796"/>
    <cellStyle name="Обычный 7 2 119 4 2" xfId="57839"/>
    <cellStyle name="Обычный 7 2 119 5" xfId="36479"/>
    <cellStyle name="Обычный 7 2 12" xfId="1218"/>
    <cellStyle name="Обычный 7 2 12 2" xfId="6561"/>
    <cellStyle name="Обычный 7 2 12 2 2" xfId="17241"/>
    <cellStyle name="Обычный 7 2 12 2 2 2" xfId="49285"/>
    <cellStyle name="Обычный 7 2 12 2 3" xfId="27922"/>
    <cellStyle name="Обычный 7 2 12 2 3 2" xfId="59965"/>
    <cellStyle name="Обычный 7 2 12 2 4" xfId="38605"/>
    <cellStyle name="Обычный 7 2 12 3" xfId="11901"/>
    <cellStyle name="Обычный 7 2 12 3 2" xfId="43945"/>
    <cellStyle name="Обычный 7 2 12 4" xfId="22582"/>
    <cellStyle name="Обычный 7 2 12 4 2" xfId="54625"/>
    <cellStyle name="Обычный 7 2 12 5" xfId="33265"/>
    <cellStyle name="Обычный 7 2 120" xfId="4466"/>
    <cellStyle name="Обычный 7 2 120 2" xfId="9807"/>
    <cellStyle name="Обычный 7 2 120 2 2" xfId="20487"/>
    <cellStyle name="Обычный 7 2 120 2 2 2" xfId="52531"/>
    <cellStyle name="Обычный 7 2 120 2 3" xfId="31168"/>
    <cellStyle name="Обычный 7 2 120 2 3 2" xfId="63211"/>
    <cellStyle name="Обычный 7 2 120 2 4" xfId="41851"/>
    <cellStyle name="Обычный 7 2 120 3" xfId="15147"/>
    <cellStyle name="Обычный 7 2 120 3 2" xfId="47191"/>
    <cellStyle name="Обычный 7 2 120 4" xfId="25828"/>
    <cellStyle name="Обычный 7 2 120 4 2" xfId="57871"/>
    <cellStyle name="Обычный 7 2 120 5" xfId="36511"/>
    <cellStyle name="Обычный 7 2 121" xfId="4498"/>
    <cellStyle name="Обычный 7 2 121 2" xfId="9839"/>
    <cellStyle name="Обычный 7 2 121 2 2" xfId="20519"/>
    <cellStyle name="Обычный 7 2 121 2 2 2" xfId="52563"/>
    <cellStyle name="Обычный 7 2 121 2 3" xfId="31200"/>
    <cellStyle name="Обычный 7 2 121 2 3 2" xfId="63243"/>
    <cellStyle name="Обычный 7 2 121 2 4" xfId="41883"/>
    <cellStyle name="Обычный 7 2 121 3" xfId="15179"/>
    <cellStyle name="Обычный 7 2 121 3 2" xfId="47223"/>
    <cellStyle name="Обычный 7 2 121 4" xfId="25860"/>
    <cellStyle name="Обычный 7 2 121 4 2" xfId="57903"/>
    <cellStyle name="Обычный 7 2 121 5" xfId="36543"/>
    <cellStyle name="Обычный 7 2 122" xfId="4530"/>
    <cellStyle name="Обычный 7 2 122 2" xfId="9871"/>
    <cellStyle name="Обычный 7 2 122 2 2" xfId="20551"/>
    <cellStyle name="Обычный 7 2 122 2 2 2" xfId="52595"/>
    <cellStyle name="Обычный 7 2 122 2 3" xfId="31232"/>
    <cellStyle name="Обычный 7 2 122 2 3 2" xfId="63275"/>
    <cellStyle name="Обычный 7 2 122 2 4" xfId="41915"/>
    <cellStyle name="Обычный 7 2 122 3" xfId="15211"/>
    <cellStyle name="Обычный 7 2 122 3 2" xfId="47255"/>
    <cellStyle name="Обычный 7 2 122 4" xfId="25892"/>
    <cellStyle name="Обычный 7 2 122 4 2" xfId="57935"/>
    <cellStyle name="Обычный 7 2 122 5" xfId="36575"/>
    <cellStyle name="Обычный 7 2 123" xfId="4562"/>
    <cellStyle name="Обычный 7 2 123 2" xfId="9903"/>
    <cellStyle name="Обычный 7 2 123 2 2" xfId="20583"/>
    <cellStyle name="Обычный 7 2 123 2 2 2" xfId="52627"/>
    <cellStyle name="Обычный 7 2 123 2 3" xfId="31264"/>
    <cellStyle name="Обычный 7 2 123 2 3 2" xfId="63307"/>
    <cellStyle name="Обычный 7 2 123 2 4" xfId="41947"/>
    <cellStyle name="Обычный 7 2 123 3" xfId="15243"/>
    <cellStyle name="Обычный 7 2 123 3 2" xfId="47287"/>
    <cellStyle name="Обычный 7 2 123 4" xfId="25924"/>
    <cellStyle name="Обычный 7 2 123 4 2" xfId="57967"/>
    <cellStyle name="Обычный 7 2 123 5" xfId="36607"/>
    <cellStyle name="Обычный 7 2 124" xfId="4594"/>
    <cellStyle name="Обычный 7 2 124 2" xfId="9935"/>
    <cellStyle name="Обычный 7 2 124 2 2" xfId="20615"/>
    <cellStyle name="Обычный 7 2 124 2 2 2" xfId="52659"/>
    <cellStyle name="Обычный 7 2 124 2 3" xfId="31296"/>
    <cellStyle name="Обычный 7 2 124 2 3 2" xfId="63339"/>
    <cellStyle name="Обычный 7 2 124 2 4" xfId="41979"/>
    <cellStyle name="Обычный 7 2 124 3" xfId="15275"/>
    <cellStyle name="Обычный 7 2 124 3 2" xfId="47319"/>
    <cellStyle name="Обычный 7 2 124 4" xfId="25956"/>
    <cellStyle name="Обычный 7 2 124 4 2" xfId="57999"/>
    <cellStyle name="Обычный 7 2 124 5" xfId="36639"/>
    <cellStyle name="Обычный 7 2 125" xfId="4626"/>
    <cellStyle name="Обычный 7 2 125 2" xfId="9967"/>
    <cellStyle name="Обычный 7 2 125 2 2" xfId="20647"/>
    <cellStyle name="Обычный 7 2 125 2 2 2" xfId="52691"/>
    <cellStyle name="Обычный 7 2 125 2 3" xfId="31328"/>
    <cellStyle name="Обычный 7 2 125 2 3 2" xfId="63371"/>
    <cellStyle name="Обычный 7 2 125 2 4" xfId="42011"/>
    <cellStyle name="Обычный 7 2 125 3" xfId="15307"/>
    <cellStyle name="Обычный 7 2 125 3 2" xfId="47351"/>
    <cellStyle name="Обычный 7 2 125 4" xfId="25988"/>
    <cellStyle name="Обычный 7 2 125 4 2" xfId="58031"/>
    <cellStyle name="Обычный 7 2 125 5" xfId="36671"/>
    <cellStyle name="Обычный 7 2 126" xfId="4658"/>
    <cellStyle name="Обычный 7 2 126 2" xfId="9999"/>
    <cellStyle name="Обычный 7 2 126 2 2" xfId="20679"/>
    <cellStyle name="Обычный 7 2 126 2 2 2" xfId="52723"/>
    <cellStyle name="Обычный 7 2 126 2 3" xfId="31360"/>
    <cellStyle name="Обычный 7 2 126 2 3 2" xfId="63403"/>
    <cellStyle name="Обычный 7 2 126 2 4" xfId="42043"/>
    <cellStyle name="Обычный 7 2 126 3" xfId="15339"/>
    <cellStyle name="Обычный 7 2 126 3 2" xfId="47383"/>
    <cellStyle name="Обычный 7 2 126 4" xfId="26020"/>
    <cellStyle name="Обычный 7 2 126 4 2" xfId="58063"/>
    <cellStyle name="Обычный 7 2 126 5" xfId="36703"/>
    <cellStyle name="Обычный 7 2 127" xfId="4690"/>
    <cellStyle name="Обычный 7 2 127 2" xfId="10031"/>
    <cellStyle name="Обычный 7 2 127 2 2" xfId="20711"/>
    <cellStyle name="Обычный 7 2 127 2 2 2" xfId="52755"/>
    <cellStyle name="Обычный 7 2 127 2 3" xfId="31392"/>
    <cellStyle name="Обычный 7 2 127 2 3 2" xfId="63435"/>
    <cellStyle name="Обычный 7 2 127 2 4" xfId="42075"/>
    <cellStyle name="Обычный 7 2 127 3" xfId="15371"/>
    <cellStyle name="Обычный 7 2 127 3 2" xfId="47415"/>
    <cellStyle name="Обычный 7 2 127 4" xfId="26052"/>
    <cellStyle name="Обычный 7 2 127 4 2" xfId="58095"/>
    <cellStyle name="Обычный 7 2 127 5" xfId="36735"/>
    <cellStyle name="Обычный 7 2 128" xfId="4724"/>
    <cellStyle name="Обычный 7 2 128 2" xfId="10065"/>
    <cellStyle name="Обычный 7 2 128 2 2" xfId="20745"/>
    <cellStyle name="Обычный 7 2 128 2 2 2" xfId="52789"/>
    <cellStyle name="Обычный 7 2 128 2 3" xfId="31426"/>
    <cellStyle name="Обычный 7 2 128 2 3 2" xfId="63469"/>
    <cellStyle name="Обычный 7 2 128 2 4" xfId="42109"/>
    <cellStyle name="Обычный 7 2 128 3" xfId="15405"/>
    <cellStyle name="Обычный 7 2 128 3 2" xfId="47449"/>
    <cellStyle name="Обычный 7 2 128 4" xfId="26086"/>
    <cellStyle name="Обычный 7 2 128 4 2" xfId="58129"/>
    <cellStyle name="Обычный 7 2 128 5" xfId="36769"/>
    <cellStyle name="Обычный 7 2 129" xfId="4756"/>
    <cellStyle name="Обычный 7 2 129 2" xfId="10097"/>
    <cellStyle name="Обычный 7 2 129 2 2" xfId="20777"/>
    <cellStyle name="Обычный 7 2 129 2 2 2" xfId="52821"/>
    <cellStyle name="Обычный 7 2 129 2 3" xfId="31458"/>
    <cellStyle name="Обычный 7 2 129 2 3 2" xfId="63501"/>
    <cellStyle name="Обычный 7 2 129 2 4" xfId="42141"/>
    <cellStyle name="Обычный 7 2 129 3" xfId="15437"/>
    <cellStyle name="Обычный 7 2 129 3 2" xfId="47481"/>
    <cellStyle name="Обычный 7 2 129 4" xfId="26118"/>
    <cellStyle name="Обычный 7 2 129 4 2" xfId="58161"/>
    <cellStyle name="Обычный 7 2 129 5" xfId="36801"/>
    <cellStyle name="Обычный 7 2 13" xfId="1244"/>
    <cellStyle name="Обычный 7 2 13 2" xfId="6587"/>
    <cellStyle name="Обычный 7 2 13 2 2" xfId="17267"/>
    <cellStyle name="Обычный 7 2 13 2 2 2" xfId="49311"/>
    <cellStyle name="Обычный 7 2 13 2 3" xfId="27948"/>
    <cellStyle name="Обычный 7 2 13 2 3 2" xfId="59991"/>
    <cellStyle name="Обычный 7 2 13 2 4" xfId="38631"/>
    <cellStyle name="Обычный 7 2 13 3" xfId="11927"/>
    <cellStyle name="Обычный 7 2 13 3 2" xfId="43971"/>
    <cellStyle name="Обычный 7 2 13 4" xfId="22608"/>
    <cellStyle name="Обычный 7 2 13 4 2" xfId="54651"/>
    <cellStyle name="Обычный 7 2 13 5" xfId="33291"/>
    <cellStyle name="Обычный 7 2 130" xfId="4788"/>
    <cellStyle name="Обычный 7 2 130 2" xfId="10129"/>
    <cellStyle name="Обычный 7 2 130 2 2" xfId="20809"/>
    <cellStyle name="Обычный 7 2 130 2 2 2" xfId="52853"/>
    <cellStyle name="Обычный 7 2 130 2 3" xfId="31490"/>
    <cellStyle name="Обычный 7 2 130 2 3 2" xfId="63533"/>
    <cellStyle name="Обычный 7 2 130 2 4" xfId="42173"/>
    <cellStyle name="Обычный 7 2 130 3" xfId="15469"/>
    <cellStyle name="Обычный 7 2 130 3 2" xfId="47513"/>
    <cellStyle name="Обычный 7 2 130 4" xfId="26150"/>
    <cellStyle name="Обычный 7 2 130 4 2" xfId="58193"/>
    <cellStyle name="Обычный 7 2 130 5" xfId="36833"/>
    <cellStyle name="Обычный 7 2 131" xfId="4820"/>
    <cellStyle name="Обычный 7 2 131 2" xfId="10161"/>
    <cellStyle name="Обычный 7 2 131 2 2" xfId="20841"/>
    <cellStyle name="Обычный 7 2 131 2 2 2" xfId="52885"/>
    <cellStyle name="Обычный 7 2 131 2 3" xfId="31522"/>
    <cellStyle name="Обычный 7 2 131 2 3 2" xfId="63565"/>
    <cellStyle name="Обычный 7 2 131 2 4" xfId="42205"/>
    <cellStyle name="Обычный 7 2 131 3" xfId="15501"/>
    <cellStyle name="Обычный 7 2 131 3 2" xfId="47545"/>
    <cellStyle name="Обычный 7 2 131 4" xfId="26182"/>
    <cellStyle name="Обычный 7 2 131 4 2" xfId="58225"/>
    <cellStyle name="Обычный 7 2 131 5" xfId="36865"/>
    <cellStyle name="Обычный 7 2 132" xfId="4852"/>
    <cellStyle name="Обычный 7 2 132 2" xfId="10193"/>
    <cellStyle name="Обычный 7 2 132 2 2" xfId="20873"/>
    <cellStyle name="Обычный 7 2 132 2 2 2" xfId="52917"/>
    <cellStyle name="Обычный 7 2 132 2 3" xfId="31554"/>
    <cellStyle name="Обычный 7 2 132 2 3 2" xfId="63597"/>
    <cellStyle name="Обычный 7 2 132 2 4" xfId="42237"/>
    <cellStyle name="Обычный 7 2 132 3" xfId="15533"/>
    <cellStyle name="Обычный 7 2 132 3 2" xfId="47577"/>
    <cellStyle name="Обычный 7 2 132 4" xfId="26214"/>
    <cellStyle name="Обычный 7 2 132 4 2" xfId="58257"/>
    <cellStyle name="Обычный 7 2 132 5" xfId="36897"/>
    <cellStyle name="Обычный 7 2 133" xfId="4884"/>
    <cellStyle name="Обычный 7 2 133 2" xfId="10225"/>
    <cellStyle name="Обычный 7 2 133 2 2" xfId="20905"/>
    <cellStyle name="Обычный 7 2 133 2 2 2" xfId="52949"/>
    <cellStyle name="Обычный 7 2 133 2 3" xfId="31586"/>
    <cellStyle name="Обычный 7 2 133 2 3 2" xfId="63629"/>
    <cellStyle name="Обычный 7 2 133 2 4" xfId="42269"/>
    <cellStyle name="Обычный 7 2 133 3" xfId="15565"/>
    <cellStyle name="Обычный 7 2 133 3 2" xfId="47609"/>
    <cellStyle name="Обычный 7 2 133 4" xfId="26246"/>
    <cellStyle name="Обычный 7 2 133 4 2" xfId="58289"/>
    <cellStyle name="Обычный 7 2 133 5" xfId="36929"/>
    <cellStyle name="Обычный 7 2 134" xfId="4916"/>
    <cellStyle name="Обычный 7 2 134 2" xfId="10257"/>
    <cellStyle name="Обычный 7 2 134 2 2" xfId="20937"/>
    <cellStyle name="Обычный 7 2 134 2 2 2" xfId="52981"/>
    <cellStyle name="Обычный 7 2 134 2 3" xfId="31618"/>
    <cellStyle name="Обычный 7 2 134 2 3 2" xfId="63661"/>
    <cellStyle name="Обычный 7 2 134 2 4" xfId="42301"/>
    <cellStyle name="Обычный 7 2 134 3" xfId="15597"/>
    <cellStyle name="Обычный 7 2 134 3 2" xfId="47641"/>
    <cellStyle name="Обычный 7 2 134 4" xfId="26278"/>
    <cellStyle name="Обычный 7 2 134 4 2" xfId="58321"/>
    <cellStyle name="Обычный 7 2 134 5" xfId="36961"/>
    <cellStyle name="Обычный 7 2 135" xfId="4948"/>
    <cellStyle name="Обычный 7 2 135 2" xfId="10289"/>
    <cellStyle name="Обычный 7 2 135 2 2" xfId="20969"/>
    <cellStyle name="Обычный 7 2 135 2 2 2" xfId="53013"/>
    <cellStyle name="Обычный 7 2 135 2 3" xfId="31650"/>
    <cellStyle name="Обычный 7 2 135 2 3 2" xfId="63693"/>
    <cellStyle name="Обычный 7 2 135 2 4" xfId="42333"/>
    <cellStyle name="Обычный 7 2 135 3" xfId="15629"/>
    <cellStyle name="Обычный 7 2 135 3 2" xfId="47673"/>
    <cellStyle name="Обычный 7 2 135 4" xfId="26310"/>
    <cellStyle name="Обычный 7 2 135 4 2" xfId="58353"/>
    <cellStyle name="Обычный 7 2 135 5" xfId="36993"/>
    <cellStyle name="Обычный 7 2 136" xfId="4980"/>
    <cellStyle name="Обычный 7 2 136 2" xfId="10321"/>
    <cellStyle name="Обычный 7 2 136 2 2" xfId="21001"/>
    <cellStyle name="Обычный 7 2 136 2 2 2" xfId="53045"/>
    <cellStyle name="Обычный 7 2 136 2 3" xfId="31682"/>
    <cellStyle name="Обычный 7 2 136 2 3 2" xfId="63725"/>
    <cellStyle name="Обычный 7 2 136 2 4" xfId="42365"/>
    <cellStyle name="Обычный 7 2 136 3" xfId="15661"/>
    <cellStyle name="Обычный 7 2 136 3 2" xfId="47705"/>
    <cellStyle name="Обычный 7 2 136 4" xfId="26342"/>
    <cellStyle name="Обычный 7 2 136 4 2" xfId="58385"/>
    <cellStyle name="Обычный 7 2 136 5" xfId="37025"/>
    <cellStyle name="Обычный 7 2 137" xfId="5012"/>
    <cellStyle name="Обычный 7 2 137 2" xfId="10353"/>
    <cellStyle name="Обычный 7 2 137 2 2" xfId="21033"/>
    <cellStyle name="Обычный 7 2 137 2 2 2" xfId="53077"/>
    <cellStyle name="Обычный 7 2 137 2 3" xfId="31714"/>
    <cellStyle name="Обычный 7 2 137 2 3 2" xfId="63757"/>
    <cellStyle name="Обычный 7 2 137 2 4" xfId="42397"/>
    <cellStyle name="Обычный 7 2 137 3" xfId="15693"/>
    <cellStyle name="Обычный 7 2 137 3 2" xfId="47737"/>
    <cellStyle name="Обычный 7 2 137 4" xfId="26374"/>
    <cellStyle name="Обычный 7 2 137 4 2" xfId="58417"/>
    <cellStyle name="Обычный 7 2 137 5" xfId="37057"/>
    <cellStyle name="Обычный 7 2 138" xfId="5044"/>
    <cellStyle name="Обычный 7 2 138 2" xfId="10385"/>
    <cellStyle name="Обычный 7 2 138 2 2" xfId="21065"/>
    <cellStyle name="Обычный 7 2 138 2 2 2" xfId="53109"/>
    <cellStyle name="Обычный 7 2 138 2 3" xfId="31746"/>
    <cellStyle name="Обычный 7 2 138 2 3 2" xfId="63789"/>
    <cellStyle name="Обычный 7 2 138 2 4" xfId="42429"/>
    <cellStyle name="Обычный 7 2 138 3" xfId="15725"/>
    <cellStyle name="Обычный 7 2 138 3 2" xfId="47769"/>
    <cellStyle name="Обычный 7 2 138 4" xfId="26406"/>
    <cellStyle name="Обычный 7 2 138 4 2" xfId="58449"/>
    <cellStyle name="Обычный 7 2 138 5" xfId="37089"/>
    <cellStyle name="Обычный 7 2 139" xfId="5076"/>
    <cellStyle name="Обычный 7 2 139 2" xfId="10417"/>
    <cellStyle name="Обычный 7 2 139 2 2" xfId="21097"/>
    <cellStyle name="Обычный 7 2 139 2 2 2" xfId="53141"/>
    <cellStyle name="Обычный 7 2 139 2 3" xfId="31778"/>
    <cellStyle name="Обычный 7 2 139 2 3 2" xfId="63821"/>
    <cellStyle name="Обычный 7 2 139 2 4" xfId="42461"/>
    <cellStyle name="Обычный 7 2 139 3" xfId="15757"/>
    <cellStyle name="Обычный 7 2 139 3 2" xfId="47801"/>
    <cellStyle name="Обычный 7 2 139 4" xfId="26438"/>
    <cellStyle name="Обычный 7 2 139 4 2" xfId="58481"/>
    <cellStyle name="Обычный 7 2 139 5" xfId="37121"/>
    <cellStyle name="Обычный 7 2 14" xfId="1270"/>
    <cellStyle name="Обычный 7 2 14 2" xfId="6613"/>
    <cellStyle name="Обычный 7 2 14 2 2" xfId="17293"/>
    <cellStyle name="Обычный 7 2 14 2 2 2" xfId="49337"/>
    <cellStyle name="Обычный 7 2 14 2 3" xfId="27974"/>
    <cellStyle name="Обычный 7 2 14 2 3 2" xfId="60017"/>
    <cellStyle name="Обычный 7 2 14 2 4" xfId="38657"/>
    <cellStyle name="Обычный 7 2 14 3" xfId="11953"/>
    <cellStyle name="Обычный 7 2 14 3 2" xfId="43997"/>
    <cellStyle name="Обычный 7 2 14 4" xfId="22634"/>
    <cellStyle name="Обычный 7 2 14 4 2" xfId="54677"/>
    <cellStyle name="Обычный 7 2 14 5" xfId="33317"/>
    <cellStyle name="Обычный 7 2 140" xfId="5108"/>
    <cellStyle name="Обычный 7 2 140 2" xfId="10449"/>
    <cellStyle name="Обычный 7 2 140 2 2" xfId="21129"/>
    <cellStyle name="Обычный 7 2 140 2 2 2" xfId="53173"/>
    <cellStyle name="Обычный 7 2 140 2 3" xfId="31810"/>
    <cellStyle name="Обычный 7 2 140 2 3 2" xfId="63853"/>
    <cellStyle name="Обычный 7 2 140 2 4" xfId="42493"/>
    <cellStyle name="Обычный 7 2 140 3" xfId="15789"/>
    <cellStyle name="Обычный 7 2 140 3 2" xfId="47833"/>
    <cellStyle name="Обычный 7 2 140 4" xfId="26470"/>
    <cellStyle name="Обычный 7 2 140 4 2" xfId="58513"/>
    <cellStyle name="Обычный 7 2 140 5" xfId="37153"/>
    <cellStyle name="Обычный 7 2 141" xfId="5140"/>
    <cellStyle name="Обычный 7 2 141 2" xfId="10481"/>
    <cellStyle name="Обычный 7 2 141 2 2" xfId="21161"/>
    <cellStyle name="Обычный 7 2 141 2 2 2" xfId="53205"/>
    <cellStyle name="Обычный 7 2 141 2 3" xfId="31842"/>
    <cellStyle name="Обычный 7 2 141 2 3 2" xfId="63885"/>
    <cellStyle name="Обычный 7 2 141 2 4" xfId="42525"/>
    <cellStyle name="Обычный 7 2 141 3" xfId="15821"/>
    <cellStyle name="Обычный 7 2 141 3 2" xfId="47865"/>
    <cellStyle name="Обычный 7 2 141 4" xfId="26502"/>
    <cellStyle name="Обычный 7 2 141 4 2" xfId="58545"/>
    <cellStyle name="Обычный 7 2 141 5" xfId="37185"/>
    <cellStyle name="Обычный 7 2 142" xfId="5172"/>
    <cellStyle name="Обычный 7 2 142 2" xfId="10513"/>
    <cellStyle name="Обычный 7 2 142 2 2" xfId="21193"/>
    <cellStyle name="Обычный 7 2 142 2 2 2" xfId="53237"/>
    <cellStyle name="Обычный 7 2 142 2 3" xfId="31874"/>
    <cellStyle name="Обычный 7 2 142 2 3 2" xfId="63917"/>
    <cellStyle name="Обычный 7 2 142 2 4" xfId="42557"/>
    <cellStyle name="Обычный 7 2 142 3" xfId="15853"/>
    <cellStyle name="Обычный 7 2 142 3 2" xfId="47897"/>
    <cellStyle name="Обычный 7 2 142 4" xfId="26534"/>
    <cellStyle name="Обычный 7 2 142 4 2" xfId="58577"/>
    <cellStyle name="Обычный 7 2 142 5" xfId="37217"/>
    <cellStyle name="Обычный 7 2 143" xfId="5204"/>
    <cellStyle name="Обычный 7 2 143 2" xfId="10545"/>
    <cellStyle name="Обычный 7 2 143 2 2" xfId="21225"/>
    <cellStyle name="Обычный 7 2 143 2 2 2" xfId="53269"/>
    <cellStyle name="Обычный 7 2 143 2 3" xfId="31906"/>
    <cellStyle name="Обычный 7 2 143 2 3 2" xfId="63949"/>
    <cellStyle name="Обычный 7 2 143 2 4" xfId="42589"/>
    <cellStyle name="Обычный 7 2 143 3" xfId="15885"/>
    <cellStyle name="Обычный 7 2 143 3 2" xfId="47929"/>
    <cellStyle name="Обычный 7 2 143 4" xfId="26566"/>
    <cellStyle name="Обычный 7 2 143 4 2" xfId="58609"/>
    <cellStyle name="Обычный 7 2 143 5" xfId="37249"/>
    <cellStyle name="Обычный 7 2 144" xfId="5236"/>
    <cellStyle name="Обычный 7 2 144 2" xfId="10577"/>
    <cellStyle name="Обычный 7 2 144 2 2" xfId="21257"/>
    <cellStyle name="Обычный 7 2 144 2 2 2" xfId="53301"/>
    <cellStyle name="Обычный 7 2 144 2 3" xfId="31938"/>
    <cellStyle name="Обычный 7 2 144 2 3 2" xfId="63981"/>
    <cellStyle name="Обычный 7 2 144 2 4" xfId="42621"/>
    <cellStyle name="Обычный 7 2 144 3" xfId="15917"/>
    <cellStyle name="Обычный 7 2 144 3 2" xfId="47961"/>
    <cellStyle name="Обычный 7 2 144 4" xfId="26598"/>
    <cellStyle name="Обычный 7 2 144 4 2" xfId="58641"/>
    <cellStyle name="Обычный 7 2 144 5" xfId="37281"/>
    <cellStyle name="Обычный 7 2 145" xfId="5268"/>
    <cellStyle name="Обычный 7 2 145 2" xfId="10609"/>
    <cellStyle name="Обычный 7 2 145 2 2" xfId="21289"/>
    <cellStyle name="Обычный 7 2 145 2 2 2" xfId="53333"/>
    <cellStyle name="Обычный 7 2 145 2 3" xfId="31970"/>
    <cellStyle name="Обычный 7 2 145 2 3 2" xfId="64013"/>
    <cellStyle name="Обычный 7 2 145 2 4" xfId="42653"/>
    <cellStyle name="Обычный 7 2 145 3" xfId="15949"/>
    <cellStyle name="Обычный 7 2 145 3 2" xfId="47993"/>
    <cellStyle name="Обычный 7 2 145 4" xfId="26630"/>
    <cellStyle name="Обычный 7 2 145 4 2" xfId="58673"/>
    <cellStyle name="Обычный 7 2 145 5" xfId="37313"/>
    <cellStyle name="Обычный 7 2 146" xfId="5300"/>
    <cellStyle name="Обычный 7 2 146 2" xfId="10641"/>
    <cellStyle name="Обычный 7 2 146 2 2" xfId="21321"/>
    <cellStyle name="Обычный 7 2 146 2 2 2" xfId="53365"/>
    <cellStyle name="Обычный 7 2 146 2 3" xfId="32002"/>
    <cellStyle name="Обычный 7 2 146 2 3 2" xfId="64045"/>
    <cellStyle name="Обычный 7 2 146 2 4" xfId="42685"/>
    <cellStyle name="Обычный 7 2 146 3" xfId="15981"/>
    <cellStyle name="Обычный 7 2 146 3 2" xfId="48025"/>
    <cellStyle name="Обычный 7 2 146 4" xfId="26662"/>
    <cellStyle name="Обычный 7 2 146 4 2" xfId="58705"/>
    <cellStyle name="Обычный 7 2 146 5" xfId="37345"/>
    <cellStyle name="Обычный 7 2 147" xfId="5332"/>
    <cellStyle name="Обычный 7 2 147 2" xfId="10673"/>
    <cellStyle name="Обычный 7 2 147 2 2" xfId="21353"/>
    <cellStyle name="Обычный 7 2 147 2 2 2" xfId="53397"/>
    <cellStyle name="Обычный 7 2 147 2 3" xfId="32034"/>
    <cellStyle name="Обычный 7 2 147 2 3 2" xfId="64077"/>
    <cellStyle name="Обычный 7 2 147 2 4" xfId="42717"/>
    <cellStyle name="Обычный 7 2 147 3" xfId="16013"/>
    <cellStyle name="Обычный 7 2 147 3 2" xfId="48057"/>
    <cellStyle name="Обычный 7 2 147 4" xfId="26694"/>
    <cellStyle name="Обычный 7 2 147 4 2" xfId="58737"/>
    <cellStyle name="Обычный 7 2 147 5" xfId="37377"/>
    <cellStyle name="Обычный 7 2 148" xfId="5364"/>
    <cellStyle name="Обычный 7 2 148 2" xfId="10705"/>
    <cellStyle name="Обычный 7 2 148 2 2" xfId="21385"/>
    <cellStyle name="Обычный 7 2 148 2 2 2" xfId="53429"/>
    <cellStyle name="Обычный 7 2 148 2 3" xfId="32066"/>
    <cellStyle name="Обычный 7 2 148 2 3 2" xfId="64109"/>
    <cellStyle name="Обычный 7 2 148 2 4" xfId="42749"/>
    <cellStyle name="Обычный 7 2 148 3" xfId="16045"/>
    <cellStyle name="Обычный 7 2 148 3 2" xfId="48089"/>
    <cellStyle name="Обычный 7 2 148 4" xfId="26726"/>
    <cellStyle name="Обычный 7 2 148 4 2" xfId="58769"/>
    <cellStyle name="Обычный 7 2 148 5" xfId="37409"/>
    <cellStyle name="Обычный 7 2 149" xfId="5756"/>
    <cellStyle name="Обычный 7 2 149 2" xfId="16436"/>
    <cellStyle name="Обычный 7 2 149 2 2" xfId="48480"/>
    <cellStyle name="Обычный 7 2 149 3" xfId="27117"/>
    <cellStyle name="Обычный 7 2 149 3 2" xfId="59160"/>
    <cellStyle name="Обычный 7 2 149 4" xfId="37800"/>
    <cellStyle name="Обычный 7 2 15" xfId="1296"/>
    <cellStyle name="Обычный 7 2 15 2" xfId="6639"/>
    <cellStyle name="Обычный 7 2 15 2 2" xfId="17319"/>
    <cellStyle name="Обычный 7 2 15 2 2 2" xfId="49363"/>
    <cellStyle name="Обычный 7 2 15 2 3" xfId="28000"/>
    <cellStyle name="Обычный 7 2 15 2 3 2" xfId="60043"/>
    <cellStyle name="Обычный 7 2 15 2 4" xfId="38683"/>
    <cellStyle name="Обычный 7 2 15 3" xfId="11979"/>
    <cellStyle name="Обычный 7 2 15 3 2" xfId="44023"/>
    <cellStyle name="Обычный 7 2 15 4" xfId="22660"/>
    <cellStyle name="Обычный 7 2 15 4 2" xfId="54703"/>
    <cellStyle name="Обычный 7 2 15 5" xfId="33343"/>
    <cellStyle name="Обычный 7 2 150" xfId="11096"/>
    <cellStyle name="Обычный 7 2 150 2" xfId="43140"/>
    <cellStyle name="Обычный 7 2 151" xfId="21777"/>
    <cellStyle name="Обычный 7 2 151 2" xfId="53820"/>
    <cellStyle name="Обычный 7 2 152" xfId="32460"/>
    <cellStyle name="Обычный 7 2 16" xfId="1323"/>
    <cellStyle name="Обычный 7 2 16 2" xfId="6665"/>
    <cellStyle name="Обычный 7 2 16 2 2" xfId="17345"/>
    <cellStyle name="Обычный 7 2 16 2 2 2" xfId="49389"/>
    <cellStyle name="Обычный 7 2 16 2 3" xfId="28026"/>
    <cellStyle name="Обычный 7 2 16 2 3 2" xfId="60069"/>
    <cellStyle name="Обычный 7 2 16 2 4" xfId="38709"/>
    <cellStyle name="Обычный 7 2 16 3" xfId="12005"/>
    <cellStyle name="Обычный 7 2 16 3 2" xfId="44049"/>
    <cellStyle name="Обычный 7 2 16 4" xfId="22686"/>
    <cellStyle name="Обычный 7 2 16 4 2" xfId="54729"/>
    <cellStyle name="Обычный 7 2 16 5" xfId="33369"/>
    <cellStyle name="Обычный 7 2 17" xfId="1349"/>
    <cellStyle name="Обычный 7 2 17 2" xfId="6691"/>
    <cellStyle name="Обычный 7 2 17 2 2" xfId="17371"/>
    <cellStyle name="Обычный 7 2 17 2 2 2" xfId="49415"/>
    <cellStyle name="Обычный 7 2 17 2 3" xfId="28052"/>
    <cellStyle name="Обычный 7 2 17 2 3 2" xfId="60095"/>
    <cellStyle name="Обычный 7 2 17 2 4" xfId="38735"/>
    <cellStyle name="Обычный 7 2 17 3" xfId="12031"/>
    <cellStyle name="Обычный 7 2 17 3 2" xfId="44075"/>
    <cellStyle name="Обычный 7 2 17 4" xfId="22712"/>
    <cellStyle name="Обычный 7 2 17 4 2" xfId="54755"/>
    <cellStyle name="Обычный 7 2 17 5" xfId="33395"/>
    <cellStyle name="Обычный 7 2 18" xfId="1375"/>
    <cellStyle name="Обычный 7 2 18 2" xfId="6717"/>
    <cellStyle name="Обычный 7 2 18 2 2" xfId="17397"/>
    <cellStyle name="Обычный 7 2 18 2 2 2" xfId="49441"/>
    <cellStyle name="Обычный 7 2 18 2 3" xfId="28078"/>
    <cellStyle name="Обычный 7 2 18 2 3 2" xfId="60121"/>
    <cellStyle name="Обычный 7 2 18 2 4" xfId="38761"/>
    <cellStyle name="Обычный 7 2 18 3" xfId="12057"/>
    <cellStyle name="Обычный 7 2 18 3 2" xfId="44101"/>
    <cellStyle name="Обычный 7 2 18 4" xfId="22738"/>
    <cellStyle name="Обычный 7 2 18 4 2" xfId="54781"/>
    <cellStyle name="Обычный 7 2 18 5" xfId="33421"/>
    <cellStyle name="Обычный 7 2 19" xfId="1401"/>
    <cellStyle name="Обычный 7 2 19 2" xfId="6743"/>
    <cellStyle name="Обычный 7 2 19 2 2" xfId="17423"/>
    <cellStyle name="Обычный 7 2 19 2 2 2" xfId="49467"/>
    <cellStyle name="Обычный 7 2 19 2 3" xfId="28104"/>
    <cellStyle name="Обычный 7 2 19 2 3 2" xfId="60147"/>
    <cellStyle name="Обычный 7 2 19 2 4" xfId="38787"/>
    <cellStyle name="Обычный 7 2 19 3" xfId="12083"/>
    <cellStyle name="Обычный 7 2 19 3 2" xfId="44127"/>
    <cellStyle name="Обычный 7 2 19 4" xfId="22764"/>
    <cellStyle name="Обычный 7 2 19 4 2" xfId="54807"/>
    <cellStyle name="Обычный 7 2 19 5" xfId="33447"/>
    <cellStyle name="Обычный 7 2 2" xfId="880"/>
    <cellStyle name="Обычный 7 2 2 2" xfId="6223"/>
    <cellStyle name="Обычный 7 2 2 2 2" xfId="16903"/>
    <cellStyle name="Обычный 7 2 2 2 2 2" xfId="48947"/>
    <cellStyle name="Обычный 7 2 2 2 3" xfId="27584"/>
    <cellStyle name="Обычный 7 2 2 2 3 2" xfId="59627"/>
    <cellStyle name="Обычный 7 2 2 2 4" xfId="38267"/>
    <cellStyle name="Обычный 7 2 2 3" xfId="11563"/>
    <cellStyle name="Обычный 7 2 2 3 2" xfId="43607"/>
    <cellStyle name="Обычный 7 2 2 4" xfId="22244"/>
    <cellStyle name="Обычный 7 2 2 4 2" xfId="54287"/>
    <cellStyle name="Обычный 7 2 2 5" xfId="32927"/>
    <cellStyle name="Обычный 7 2 20" xfId="1427"/>
    <cellStyle name="Обычный 7 2 20 2" xfId="6769"/>
    <cellStyle name="Обычный 7 2 20 2 2" xfId="17449"/>
    <cellStyle name="Обычный 7 2 20 2 2 2" xfId="49493"/>
    <cellStyle name="Обычный 7 2 20 2 3" xfId="28130"/>
    <cellStyle name="Обычный 7 2 20 2 3 2" xfId="60173"/>
    <cellStyle name="Обычный 7 2 20 2 4" xfId="38813"/>
    <cellStyle name="Обычный 7 2 20 3" xfId="12109"/>
    <cellStyle name="Обычный 7 2 20 3 2" xfId="44153"/>
    <cellStyle name="Обычный 7 2 20 4" xfId="22790"/>
    <cellStyle name="Обычный 7 2 20 4 2" xfId="54833"/>
    <cellStyle name="Обычный 7 2 20 5" xfId="33473"/>
    <cellStyle name="Обычный 7 2 21" xfId="1453"/>
    <cellStyle name="Обычный 7 2 21 2" xfId="6795"/>
    <cellStyle name="Обычный 7 2 21 2 2" xfId="17475"/>
    <cellStyle name="Обычный 7 2 21 2 2 2" xfId="49519"/>
    <cellStyle name="Обычный 7 2 21 2 3" xfId="28156"/>
    <cellStyle name="Обычный 7 2 21 2 3 2" xfId="60199"/>
    <cellStyle name="Обычный 7 2 21 2 4" xfId="38839"/>
    <cellStyle name="Обычный 7 2 21 3" xfId="12135"/>
    <cellStyle name="Обычный 7 2 21 3 2" xfId="44179"/>
    <cellStyle name="Обычный 7 2 21 4" xfId="22816"/>
    <cellStyle name="Обычный 7 2 21 4 2" xfId="54859"/>
    <cellStyle name="Обычный 7 2 21 5" xfId="33499"/>
    <cellStyle name="Обычный 7 2 22" xfId="1479"/>
    <cellStyle name="Обычный 7 2 22 2" xfId="6821"/>
    <cellStyle name="Обычный 7 2 22 2 2" xfId="17501"/>
    <cellStyle name="Обычный 7 2 22 2 2 2" xfId="49545"/>
    <cellStyle name="Обычный 7 2 22 2 3" xfId="28182"/>
    <cellStyle name="Обычный 7 2 22 2 3 2" xfId="60225"/>
    <cellStyle name="Обычный 7 2 22 2 4" xfId="38865"/>
    <cellStyle name="Обычный 7 2 22 3" xfId="12161"/>
    <cellStyle name="Обычный 7 2 22 3 2" xfId="44205"/>
    <cellStyle name="Обычный 7 2 22 4" xfId="22842"/>
    <cellStyle name="Обычный 7 2 22 4 2" xfId="54885"/>
    <cellStyle name="Обычный 7 2 22 5" xfId="33525"/>
    <cellStyle name="Обычный 7 2 23" xfId="1505"/>
    <cellStyle name="Обычный 7 2 23 2" xfId="6847"/>
    <cellStyle name="Обычный 7 2 23 2 2" xfId="17527"/>
    <cellStyle name="Обычный 7 2 23 2 2 2" xfId="49571"/>
    <cellStyle name="Обычный 7 2 23 2 3" xfId="28208"/>
    <cellStyle name="Обычный 7 2 23 2 3 2" xfId="60251"/>
    <cellStyle name="Обычный 7 2 23 2 4" xfId="38891"/>
    <cellStyle name="Обычный 7 2 23 3" xfId="12187"/>
    <cellStyle name="Обычный 7 2 23 3 2" xfId="44231"/>
    <cellStyle name="Обычный 7 2 23 4" xfId="22868"/>
    <cellStyle name="Обычный 7 2 23 4 2" xfId="54911"/>
    <cellStyle name="Обычный 7 2 23 5" xfId="33551"/>
    <cellStyle name="Обычный 7 2 24" xfId="1531"/>
    <cellStyle name="Обычный 7 2 24 2" xfId="6873"/>
    <cellStyle name="Обычный 7 2 24 2 2" xfId="17553"/>
    <cellStyle name="Обычный 7 2 24 2 2 2" xfId="49597"/>
    <cellStyle name="Обычный 7 2 24 2 3" xfId="28234"/>
    <cellStyle name="Обычный 7 2 24 2 3 2" xfId="60277"/>
    <cellStyle name="Обычный 7 2 24 2 4" xfId="38917"/>
    <cellStyle name="Обычный 7 2 24 3" xfId="12213"/>
    <cellStyle name="Обычный 7 2 24 3 2" xfId="44257"/>
    <cellStyle name="Обычный 7 2 24 4" xfId="22894"/>
    <cellStyle name="Обычный 7 2 24 4 2" xfId="54937"/>
    <cellStyle name="Обычный 7 2 24 5" xfId="33577"/>
    <cellStyle name="Обычный 7 2 25" xfId="1557"/>
    <cellStyle name="Обычный 7 2 25 2" xfId="6899"/>
    <cellStyle name="Обычный 7 2 25 2 2" xfId="17579"/>
    <cellStyle name="Обычный 7 2 25 2 2 2" xfId="49623"/>
    <cellStyle name="Обычный 7 2 25 2 3" xfId="28260"/>
    <cellStyle name="Обычный 7 2 25 2 3 2" xfId="60303"/>
    <cellStyle name="Обычный 7 2 25 2 4" xfId="38943"/>
    <cellStyle name="Обычный 7 2 25 3" xfId="12239"/>
    <cellStyle name="Обычный 7 2 25 3 2" xfId="44283"/>
    <cellStyle name="Обычный 7 2 25 4" xfId="22920"/>
    <cellStyle name="Обычный 7 2 25 4 2" xfId="54963"/>
    <cellStyle name="Обычный 7 2 25 5" xfId="33603"/>
    <cellStyle name="Обычный 7 2 26" xfId="1583"/>
    <cellStyle name="Обычный 7 2 26 2" xfId="6925"/>
    <cellStyle name="Обычный 7 2 26 2 2" xfId="17605"/>
    <cellStyle name="Обычный 7 2 26 2 2 2" xfId="49649"/>
    <cellStyle name="Обычный 7 2 26 2 3" xfId="28286"/>
    <cellStyle name="Обычный 7 2 26 2 3 2" xfId="60329"/>
    <cellStyle name="Обычный 7 2 26 2 4" xfId="38969"/>
    <cellStyle name="Обычный 7 2 26 3" xfId="12265"/>
    <cellStyle name="Обычный 7 2 26 3 2" xfId="44309"/>
    <cellStyle name="Обычный 7 2 26 4" xfId="22946"/>
    <cellStyle name="Обычный 7 2 26 4 2" xfId="54989"/>
    <cellStyle name="Обычный 7 2 26 5" xfId="33629"/>
    <cellStyle name="Обычный 7 2 27" xfId="1609"/>
    <cellStyle name="Обычный 7 2 27 2" xfId="6951"/>
    <cellStyle name="Обычный 7 2 27 2 2" xfId="17631"/>
    <cellStyle name="Обычный 7 2 27 2 2 2" xfId="49675"/>
    <cellStyle name="Обычный 7 2 27 2 3" xfId="28312"/>
    <cellStyle name="Обычный 7 2 27 2 3 2" xfId="60355"/>
    <cellStyle name="Обычный 7 2 27 2 4" xfId="38995"/>
    <cellStyle name="Обычный 7 2 27 3" xfId="12291"/>
    <cellStyle name="Обычный 7 2 27 3 2" xfId="44335"/>
    <cellStyle name="Обычный 7 2 27 4" xfId="22972"/>
    <cellStyle name="Обычный 7 2 27 4 2" xfId="55015"/>
    <cellStyle name="Обычный 7 2 27 5" xfId="33655"/>
    <cellStyle name="Обычный 7 2 28" xfId="1635"/>
    <cellStyle name="Обычный 7 2 28 2" xfId="6977"/>
    <cellStyle name="Обычный 7 2 28 2 2" xfId="17657"/>
    <cellStyle name="Обычный 7 2 28 2 2 2" xfId="49701"/>
    <cellStyle name="Обычный 7 2 28 2 3" xfId="28338"/>
    <cellStyle name="Обычный 7 2 28 2 3 2" xfId="60381"/>
    <cellStyle name="Обычный 7 2 28 2 4" xfId="39021"/>
    <cellStyle name="Обычный 7 2 28 3" xfId="12317"/>
    <cellStyle name="Обычный 7 2 28 3 2" xfId="44361"/>
    <cellStyle name="Обычный 7 2 28 4" xfId="22998"/>
    <cellStyle name="Обычный 7 2 28 4 2" xfId="55041"/>
    <cellStyle name="Обычный 7 2 28 5" xfId="33681"/>
    <cellStyle name="Обычный 7 2 29" xfId="1661"/>
    <cellStyle name="Обычный 7 2 29 2" xfId="7003"/>
    <cellStyle name="Обычный 7 2 29 2 2" xfId="17683"/>
    <cellStyle name="Обычный 7 2 29 2 2 2" xfId="49727"/>
    <cellStyle name="Обычный 7 2 29 2 3" xfId="28364"/>
    <cellStyle name="Обычный 7 2 29 2 3 2" xfId="60407"/>
    <cellStyle name="Обычный 7 2 29 2 4" xfId="39047"/>
    <cellStyle name="Обычный 7 2 29 3" xfId="12343"/>
    <cellStyle name="Обычный 7 2 29 3 2" xfId="44387"/>
    <cellStyle name="Обычный 7 2 29 4" xfId="23024"/>
    <cellStyle name="Обычный 7 2 29 4 2" xfId="55067"/>
    <cellStyle name="Обычный 7 2 29 5" xfId="33707"/>
    <cellStyle name="Обычный 7 2 3" xfId="988"/>
    <cellStyle name="Обычный 7 2 3 2" xfId="6331"/>
    <cellStyle name="Обычный 7 2 3 2 2" xfId="17011"/>
    <cellStyle name="Обычный 7 2 3 2 2 2" xfId="49055"/>
    <cellStyle name="Обычный 7 2 3 2 3" xfId="27692"/>
    <cellStyle name="Обычный 7 2 3 2 3 2" xfId="59735"/>
    <cellStyle name="Обычный 7 2 3 2 4" xfId="38375"/>
    <cellStyle name="Обычный 7 2 3 3" xfId="11671"/>
    <cellStyle name="Обычный 7 2 3 3 2" xfId="43715"/>
    <cellStyle name="Обычный 7 2 3 4" xfId="22352"/>
    <cellStyle name="Обычный 7 2 3 4 2" xfId="54395"/>
    <cellStyle name="Обычный 7 2 3 5" xfId="33035"/>
    <cellStyle name="Обычный 7 2 30" xfId="1687"/>
    <cellStyle name="Обычный 7 2 30 2" xfId="7029"/>
    <cellStyle name="Обычный 7 2 30 2 2" xfId="17709"/>
    <cellStyle name="Обычный 7 2 30 2 2 2" xfId="49753"/>
    <cellStyle name="Обычный 7 2 30 2 3" xfId="28390"/>
    <cellStyle name="Обычный 7 2 30 2 3 2" xfId="60433"/>
    <cellStyle name="Обычный 7 2 30 2 4" xfId="39073"/>
    <cellStyle name="Обычный 7 2 30 3" xfId="12369"/>
    <cellStyle name="Обычный 7 2 30 3 2" xfId="44413"/>
    <cellStyle name="Обычный 7 2 30 4" xfId="23050"/>
    <cellStyle name="Обычный 7 2 30 4 2" xfId="55093"/>
    <cellStyle name="Обычный 7 2 30 5" xfId="33733"/>
    <cellStyle name="Обычный 7 2 31" xfId="1713"/>
    <cellStyle name="Обычный 7 2 31 2" xfId="7055"/>
    <cellStyle name="Обычный 7 2 31 2 2" xfId="17735"/>
    <cellStyle name="Обычный 7 2 31 2 2 2" xfId="49779"/>
    <cellStyle name="Обычный 7 2 31 2 3" xfId="28416"/>
    <cellStyle name="Обычный 7 2 31 2 3 2" xfId="60459"/>
    <cellStyle name="Обычный 7 2 31 2 4" xfId="39099"/>
    <cellStyle name="Обычный 7 2 31 3" xfId="12395"/>
    <cellStyle name="Обычный 7 2 31 3 2" xfId="44439"/>
    <cellStyle name="Обычный 7 2 31 4" xfId="23076"/>
    <cellStyle name="Обычный 7 2 31 4 2" xfId="55119"/>
    <cellStyle name="Обычный 7 2 31 5" xfId="33759"/>
    <cellStyle name="Обычный 7 2 32" xfId="1739"/>
    <cellStyle name="Обычный 7 2 32 2" xfId="7081"/>
    <cellStyle name="Обычный 7 2 32 2 2" xfId="17761"/>
    <cellStyle name="Обычный 7 2 32 2 2 2" xfId="49805"/>
    <cellStyle name="Обычный 7 2 32 2 3" xfId="28442"/>
    <cellStyle name="Обычный 7 2 32 2 3 2" xfId="60485"/>
    <cellStyle name="Обычный 7 2 32 2 4" xfId="39125"/>
    <cellStyle name="Обычный 7 2 32 3" xfId="12421"/>
    <cellStyle name="Обычный 7 2 32 3 2" xfId="44465"/>
    <cellStyle name="Обычный 7 2 32 4" xfId="23102"/>
    <cellStyle name="Обычный 7 2 32 4 2" xfId="55145"/>
    <cellStyle name="Обычный 7 2 32 5" xfId="33785"/>
    <cellStyle name="Обычный 7 2 33" xfId="1765"/>
    <cellStyle name="Обычный 7 2 33 2" xfId="7107"/>
    <cellStyle name="Обычный 7 2 33 2 2" xfId="17787"/>
    <cellStyle name="Обычный 7 2 33 2 2 2" xfId="49831"/>
    <cellStyle name="Обычный 7 2 33 2 3" xfId="28468"/>
    <cellStyle name="Обычный 7 2 33 2 3 2" xfId="60511"/>
    <cellStyle name="Обычный 7 2 33 2 4" xfId="39151"/>
    <cellStyle name="Обычный 7 2 33 3" xfId="12447"/>
    <cellStyle name="Обычный 7 2 33 3 2" xfId="44491"/>
    <cellStyle name="Обычный 7 2 33 4" xfId="23128"/>
    <cellStyle name="Обычный 7 2 33 4 2" xfId="55171"/>
    <cellStyle name="Обычный 7 2 33 5" xfId="33811"/>
    <cellStyle name="Обычный 7 2 34" xfId="1791"/>
    <cellStyle name="Обычный 7 2 34 2" xfId="7133"/>
    <cellStyle name="Обычный 7 2 34 2 2" xfId="17813"/>
    <cellStyle name="Обычный 7 2 34 2 2 2" xfId="49857"/>
    <cellStyle name="Обычный 7 2 34 2 3" xfId="28494"/>
    <cellStyle name="Обычный 7 2 34 2 3 2" xfId="60537"/>
    <cellStyle name="Обычный 7 2 34 2 4" xfId="39177"/>
    <cellStyle name="Обычный 7 2 34 3" xfId="12473"/>
    <cellStyle name="Обычный 7 2 34 3 2" xfId="44517"/>
    <cellStyle name="Обычный 7 2 34 4" xfId="23154"/>
    <cellStyle name="Обычный 7 2 34 4 2" xfId="55197"/>
    <cellStyle name="Обычный 7 2 34 5" xfId="33837"/>
    <cellStyle name="Обычный 7 2 35" xfId="1817"/>
    <cellStyle name="Обычный 7 2 35 2" xfId="7159"/>
    <cellStyle name="Обычный 7 2 35 2 2" xfId="17839"/>
    <cellStyle name="Обычный 7 2 35 2 2 2" xfId="49883"/>
    <cellStyle name="Обычный 7 2 35 2 3" xfId="28520"/>
    <cellStyle name="Обычный 7 2 35 2 3 2" xfId="60563"/>
    <cellStyle name="Обычный 7 2 35 2 4" xfId="39203"/>
    <cellStyle name="Обычный 7 2 35 3" xfId="12499"/>
    <cellStyle name="Обычный 7 2 35 3 2" xfId="44543"/>
    <cellStyle name="Обычный 7 2 35 4" xfId="23180"/>
    <cellStyle name="Обычный 7 2 35 4 2" xfId="55223"/>
    <cellStyle name="Обычный 7 2 35 5" xfId="33863"/>
    <cellStyle name="Обычный 7 2 36" xfId="1843"/>
    <cellStyle name="Обычный 7 2 36 2" xfId="7185"/>
    <cellStyle name="Обычный 7 2 36 2 2" xfId="17865"/>
    <cellStyle name="Обычный 7 2 36 2 2 2" xfId="49909"/>
    <cellStyle name="Обычный 7 2 36 2 3" xfId="28546"/>
    <cellStyle name="Обычный 7 2 36 2 3 2" xfId="60589"/>
    <cellStyle name="Обычный 7 2 36 2 4" xfId="39229"/>
    <cellStyle name="Обычный 7 2 36 3" xfId="12525"/>
    <cellStyle name="Обычный 7 2 36 3 2" xfId="44569"/>
    <cellStyle name="Обычный 7 2 36 4" xfId="23206"/>
    <cellStyle name="Обычный 7 2 36 4 2" xfId="55249"/>
    <cellStyle name="Обычный 7 2 36 5" xfId="33889"/>
    <cellStyle name="Обычный 7 2 37" xfId="1869"/>
    <cellStyle name="Обычный 7 2 37 2" xfId="7211"/>
    <cellStyle name="Обычный 7 2 37 2 2" xfId="17891"/>
    <cellStyle name="Обычный 7 2 37 2 2 2" xfId="49935"/>
    <cellStyle name="Обычный 7 2 37 2 3" xfId="28572"/>
    <cellStyle name="Обычный 7 2 37 2 3 2" xfId="60615"/>
    <cellStyle name="Обычный 7 2 37 2 4" xfId="39255"/>
    <cellStyle name="Обычный 7 2 37 3" xfId="12551"/>
    <cellStyle name="Обычный 7 2 37 3 2" xfId="44595"/>
    <cellStyle name="Обычный 7 2 37 4" xfId="23232"/>
    <cellStyle name="Обычный 7 2 37 4 2" xfId="55275"/>
    <cellStyle name="Обычный 7 2 37 5" xfId="33915"/>
    <cellStyle name="Обычный 7 2 38" xfId="1895"/>
    <cellStyle name="Обычный 7 2 38 2" xfId="7237"/>
    <cellStyle name="Обычный 7 2 38 2 2" xfId="17917"/>
    <cellStyle name="Обычный 7 2 38 2 2 2" xfId="49961"/>
    <cellStyle name="Обычный 7 2 38 2 3" xfId="28598"/>
    <cellStyle name="Обычный 7 2 38 2 3 2" xfId="60641"/>
    <cellStyle name="Обычный 7 2 38 2 4" xfId="39281"/>
    <cellStyle name="Обычный 7 2 38 3" xfId="12577"/>
    <cellStyle name="Обычный 7 2 38 3 2" xfId="44621"/>
    <cellStyle name="Обычный 7 2 38 4" xfId="23258"/>
    <cellStyle name="Обычный 7 2 38 4 2" xfId="55301"/>
    <cellStyle name="Обычный 7 2 38 5" xfId="33941"/>
    <cellStyle name="Обычный 7 2 39" xfId="1921"/>
    <cellStyle name="Обычный 7 2 39 2" xfId="7263"/>
    <cellStyle name="Обычный 7 2 39 2 2" xfId="17943"/>
    <cellStyle name="Обычный 7 2 39 2 2 2" xfId="49987"/>
    <cellStyle name="Обычный 7 2 39 2 3" xfId="28624"/>
    <cellStyle name="Обычный 7 2 39 2 3 2" xfId="60667"/>
    <cellStyle name="Обычный 7 2 39 2 4" xfId="39307"/>
    <cellStyle name="Обычный 7 2 39 3" xfId="12603"/>
    <cellStyle name="Обычный 7 2 39 3 2" xfId="44647"/>
    <cellStyle name="Обычный 7 2 39 4" xfId="23284"/>
    <cellStyle name="Обычный 7 2 39 4 2" xfId="55327"/>
    <cellStyle name="Обычный 7 2 39 5" xfId="33967"/>
    <cellStyle name="Обычный 7 2 4" xfId="1012"/>
    <cellStyle name="Обычный 7 2 4 2" xfId="6355"/>
    <cellStyle name="Обычный 7 2 4 2 2" xfId="17035"/>
    <cellStyle name="Обычный 7 2 4 2 2 2" xfId="49079"/>
    <cellStyle name="Обычный 7 2 4 2 3" xfId="27716"/>
    <cellStyle name="Обычный 7 2 4 2 3 2" xfId="59759"/>
    <cellStyle name="Обычный 7 2 4 2 4" xfId="38399"/>
    <cellStyle name="Обычный 7 2 4 3" xfId="11695"/>
    <cellStyle name="Обычный 7 2 4 3 2" xfId="43739"/>
    <cellStyle name="Обычный 7 2 4 4" xfId="22376"/>
    <cellStyle name="Обычный 7 2 4 4 2" xfId="54419"/>
    <cellStyle name="Обычный 7 2 4 5" xfId="33059"/>
    <cellStyle name="Обычный 7 2 40" xfId="1949"/>
    <cellStyle name="Обычный 7 2 40 2" xfId="7291"/>
    <cellStyle name="Обычный 7 2 40 2 2" xfId="17971"/>
    <cellStyle name="Обычный 7 2 40 2 2 2" xfId="50015"/>
    <cellStyle name="Обычный 7 2 40 2 3" xfId="28652"/>
    <cellStyle name="Обычный 7 2 40 2 3 2" xfId="60695"/>
    <cellStyle name="Обычный 7 2 40 2 4" xfId="39335"/>
    <cellStyle name="Обычный 7 2 40 3" xfId="12631"/>
    <cellStyle name="Обычный 7 2 40 3 2" xfId="44675"/>
    <cellStyle name="Обычный 7 2 40 4" xfId="23312"/>
    <cellStyle name="Обычный 7 2 40 4 2" xfId="55355"/>
    <cellStyle name="Обычный 7 2 40 5" xfId="33995"/>
    <cellStyle name="Обычный 7 2 41" xfId="1977"/>
    <cellStyle name="Обычный 7 2 41 2" xfId="7319"/>
    <cellStyle name="Обычный 7 2 41 2 2" xfId="17999"/>
    <cellStyle name="Обычный 7 2 41 2 2 2" xfId="50043"/>
    <cellStyle name="Обычный 7 2 41 2 3" xfId="28680"/>
    <cellStyle name="Обычный 7 2 41 2 3 2" xfId="60723"/>
    <cellStyle name="Обычный 7 2 41 2 4" xfId="39363"/>
    <cellStyle name="Обычный 7 2 41 3" xfId="12659"/>
    <cellStyle name="Обычный 7 2 41 3 2" xfId="44703"/>
    <cellStyle name="Обычный 7 2 41 4" xfId="23340"/>
    <cellStyle name="Обычный 7 2 41 4 2" xfId="55383"/>
    <cellStyle name="Обычный 7 2 41 5" xfId="34023"/>
    <cellStyle name="Обычный 7 2 42" xfId="2005"/>
    <cellStyle name="Обычный 7 2 42 2" xfId="7347"/>
    <cellStyle name="Обычный 7 2 42 2 2" xfId="18027"/>
    <cellStyle name="Обычный 7 2 42 2 2 2" xfId="50071"/>
    <cellStyle name="Обычный 7 2 42 2 3" xfId="28708"/>
    <cellStyle name="Обычный 7 2 42 2 3 2" xfId="60751"/>
    <cellStyle name="Обычный 7 2 42 2 4" xfId="39391"/>
    <cellStyle name="Обычный 7 2 42 3" xfId="12687"/>
    <cellStyle name="Обычный 7 2 42 3 2" xfId="44731"/>
    <cellStyle name="Обычный 7 2 42 4" xfId="23368"/>
    <cellStyle name="Обычный 7 2 42 4 2" xfId="55411"/>
    <cellStyle name="Обычный 7 2 42 5" xfId="34051"/>
    <cellStyle name="Обычный 7 2 43" xfId="2033"/>
    <cellStyle name="Обычный 7 2 43 2" xfId="7375"/>
    <cellStyle name="Обычный 7 2 43 2 2" xfId="18055"/>
    <cellStyle name="Обычный 7 2 43 2 2 2" xfId="50099"/>
    <cellStyle name="Обычный 7 2 43 2 3" xfId="28736"/>
    <cellStyle name="Обычный 7 2 43 2 3 2" xfId="60779"/>
    <cellStyle name="Обычный 7 2 43 2 4" xfId="39419"/>
    <cellStyle name="Обычный 7 2 43 3" xfId="12715"/>
    <cellStyle name="Обычный 7 2 43 3 2" xfId="44759"/>
    <cellStyle name="Обычный 7 2 43 4" xfId="23396"/>
    <cellStyle name="Обычный 7 2 43 4 2" xfId="55439"/>
    <cellStyle name="Обычный 7 2 43 5" xfId="34079"/>
    <cellStyle name="Обычный 7 2 44" xfId="2061"/>
    <cellStyle name="Обычный 7 2 44 2" xfId="7403"/>
    <cellStyle name="Обычный 7 2 44 2 2" xfId="18083"/>
    <cellStyle name="Обычный 7 2 44 2 2 2" xfId="50127"/>
    <cellStyle name="Обычный 7 2 44 2 3" xfId="28764"/>
    <cellStyle name="Обычный 7 2 44 2 3 2" xfId="60807"/>
    <cellStyle name="Обычный 7 2 44 2 4" xfId="39447"/>
    <cellStyle name="Обычный 7 2 44 3" xfId="12743"/>
    <cellStyle name="Обычный 7 2 44 3 2" xfId="44787"/>
    <cellStyle name="Обычный 7 2 44 4" xfId="23424"/>
    <cellStyle name="Обычный 7 2 44 4 2" xfId="55467"/>
    <cellStyle name="Обычный 7 2 44 5" xfId="34107"/>
    <cellStyle name="Обычный 7 2 45" xfId="2089"/>
    <cellStyle name="Обычный 7 2 45 2" xfId="7431"/>
    <cellStyle name="Обычный 7 2 45 2 2" xfId="18111"/>
    <cellStyle name="Обычный 7 2 45 2 2 2" xfId="50155"/>
    <cellStyle name="Обычный 7 2 45 2 3" xfId="28792"/>
    <cellStyle name="Обычный 7 2 45 2 3 2" xfId="60835"/>
    <cellStyle name="Обычный 7 2 45 2 4" xfId="39475"/>
    <cellStyle name="Обычный 7 2 45 3" xfId="12771"/>
    <cellStyle name="Обычный 7 2 45 3 2" xfId="44815"/>
    <cellStyle name="Обычный 7 2 45 4" xfId="23452"/>
    <cellStyle name="Обычный 7 2 45 4 2" xfId="55495"/>
    <cellStyle name="Обычный 7 2 45 5" xfId="34135"/>
    <cellStyle name="Обычный 7 2 46" xfId="2117"/>
    <cellStyle name="Обычный 7 2 46 2" xfId="7459"/>
    <cellStyle name="Обычный 7 2 46 2 2" xfId="18139"/>
    <cellStyle name="Обычный 7 2 46 2 2 2" xfId="50183"/>
    <cellStyle name="Обычный 7 2 46 2 3" xfId="28820"/>
    <cellStyle name="Обычный 7 2 46 2 3 2" xfId="60863"/>
    <cellStyle name="Обычный 7 2 46 2 4" xfId="39503"/>
    <cellStyle name="Обычный 7 2 46 3" xfId="12799"/>
    <cellStyle name="Обычный 7 2 46 3 2" xfId="44843"/>
    <cellStyle name="Обычный 7 2 46 4" xfId="23480"/>
    <cellStyle name="Обычный 7 2 46 4 2" xfId="55523"/>
    <cellStyle name="Обычный 7 2 46 5" xfId="34163"/>
    <cellStyle name="Обычный 7 2 47" xfId="2147"/>
    <cellStyle name="Обычный 7 2 47 2" xfId="7489"/>
    <cellStyle name="Обычный 7 2 47 2 2" xfId="18169"/>
    <cellStyle name="Обычный 7 2 47 2 2 2" xfId="50213"/>
    <cellStyle name="Обычный 7 2 47 2 3" xfId="28850"/>
    <cellStyle name="Обычный 7 2 47 2 3 2" xfId="60893"/>
    <cellStyle name="Обычный 7 2 47 2 4" xfId="39533"/>
    <cellStyle name="Обычный 7 2 47 3" xfId="12829"/>
    <cellStyle name="Обычный 7 2 47 3 2" xfId="44873"/>
    <cellStyle name="Обычный 7 2 47 4" xfId="23510"/>
    <cellStyle name="Обычный 7 2 47 4 2" xfId="55553"/>
    <cellStyle name="Обычный 7 2 47 5" xfId="34193"/>
    <cellStyle name="Обычный 7 2 48" xfId="2177"/>
    <cellStyle name="Обычный 7 2 48 2" xfId="7519"/>
    <cellStyle name="Обычный 7 2 48 2 2" xfId="18199"/>
    <cellStyle name="Обычный 7 2 48 2 2 2" xfId="50243"/>
    <cellStyle name="Обычный 7 2 48 2 3" xfId="28880"/>
    <cellStyle name="Обычный 7 2 48 2 3 2" xfId="60923"/>
    <cellStyle name="Обычный 7 2 48 2 4" xfId="39563"/>
    <cellStyle name="Обычный 7 2 48 3" xfId="12859"/>
    <cellStyle name="Обычный 7 2 48 3 2" xfId="44903"/>
    <cellStyle name="Обычный 7 2 48 4" xfId="23540"/>
    <cellStyle name="Обычный 7 2 48 4 2" xfId="55583"/>
    <cellStyle name="Обычный 7 2 48 5" xfId="34223"/>
    <cellStyle name="Обычный 7 2 49" xfId="2207"/>
    <cellStyle name="Обычный 7 2 49 2" xfId="7549"/>
    <cellStyle name="Обычный 7 2 49 2 2" xfId="18229"/>
    <cellStyle name="Обычный 7 2 49 2 2 2" xfId="50273"/>
    <cellStyle name="Обычный 7 2 49 2 3" xfId="28910"/>
    <cellStyle name="Обычный 7 2 49 2 3 2" xfId="60953"/>
    <cellStyle name="Обычный 7 2 49 2 4" xfId="39593"/>
    <cellStyle name="Обычный 7 2 49 3" xfId="12889"/>
    <cellStyle name="Обычный 7 2 49 3 2" xfId="44933"/>
    <cellStyle name="Обычный 7 2 49 4" xfId="23570"/>
    <cellStyle name="Обычный 7 2 49 4 2" xfId="55613"/>
    <cellStyle name="Обычный 7 2 49 5" xfId="34253"/>
    <cellStyle name="Обычный 7 2 5" xfId="1036"/>
    <cellStyle name="Обычный 7 2 5 2" xfId="6379"/>
    <cellStyle name="Обычный 7 2 5 2 2" xfId="17059"/>
    <cellStyle name="Обычный 7 2 5 2 2 2" xfId="49103"/>
    <cellStyle name="Обычный 7 2 5 2 3" xfId="27740"/>
    <cellStyle name="Обычный 7 2 5 2 3 2" xfId="59783"/>
    <cellStyle name="Обычный 7 2 5 2 4" xfId="38423"/>
    <cellStyle name="Обычный 7 2 5 3" xfId="11719"/>
    <cellStyle name="Обычный 7 2 5 3 2" xfId="43763"/>
    <cellStyle name="Обычный 7 2 5 4" xfId="22400"/>
    <cellStyle name="Обычный 7 2 5 4 2" xfId="54443"/>
    <cellStyle name="Обычный 7 2 5 5" xfId="33083"/>
    <cellStyle name="Обычный 7 2 50" xfId="2237"/>
    <cellStyle name="Обычный 7 2 50 2" xfId="7579"/>
    <cellStyle name="Обычный 7 2 50 2 2" xfId="18259"/>
    <cellStyle name="Обычный 7 2 50 2 2 2" xfId="50303"/>
    <cellStyle name="Обычный 7 2 50 2 3" xfId="28940"/>
    <cellStyle name="Обычный 7 2 50 2 3 2" xfId="60983"/>
    <cellStyle name="Обычный 7 2 50 2 4" xfId="39623"/>
    <cellStyle name="Обычный 7 2 50 3" xfId="12919"/>
    <cellStyle name="Обычный 7 2 50 3 2" xfId="44963"/>
    <cellStyle name="Обычный 7 2 50 4" xfId="23600"/>
    <cellStyle name="Обычный 7 2 50 4 2" xfId="55643"/>
    <cellStyle name="Обычный 7 2 50 5" xfId="34283"/>
    <cellStyle name="Обычный 7 2 51" xfId="2267"/>
    <cellStyle name="Обычный 7 2 51 2" xfId="7609"/>
    <cellStyle name="Обычный 7 2 51 2 2" xfId="18289"/>
    <cellStyle name="Обычный 7 2 51 2 2 2" xfId="50333"/>
    <cellStyle name="Обычный 7 2 51 2 3" xfId="28970"/>
    <cellStyle name="Обычный 7 2 51 2 3 2" xfId="61013"/>
    <cellStyle name="Обычный 7 2 51 2 4" xfId="39653"/>
    <cellStyle name="Обычный 7 2 51 3" xfId="12949"/>
    <cellStyle name="Обычный 7 2 51 3 2" xfId="44993"/>
    <cellStyle name="Обычный 7 2 51 4" xfId="23630"/>
    <cellStyle name="Обычный 7 2 51 4 2" xfId="55673"/>
    <cellStyle name="Обычный 7 2 51 5" xfId="34313"/>
    <cellStyle name="Обычный 7 2 52" xfId="2297"/>
    <cellStyle name="Обычный 7 2 52 2" xfId="7639"/>
    <cellStyle name="Обычный 7 2 52 2 2" xfId="18319"/>
    <cellStyle name="Обычный 7 2 52 2 2 2" xfId="50363"/>
    <cellStyle name="Обычный 7 2 52 2 3" xfId="29000"/>
    <cellStyle name="Обычный 7 2 52 2 3 2" xfId="61043"/>
    <cellStyle name="Обычный 7 2 52 2 4" xfId="39683"/>
    <cellStyle name="Обычный 7 2 52 3" xfId="12979"/>
    <cellStyle name="Обычный 7 2 52 3 2" xfId="45023"/>
    <cellStyle name="Обычный 7 2 52 4" xfId="23660"/>
    <cellStyle name="Обычный 7 2 52 4 2" xfId="55703"/>
    <cellStyle name="Обычный 7 2 52 5" xfId="34343"/>
    <cellStyle name="Обычный 7 2 53" xfId="2327"/>
    <cellStyle name="Обычный 7 2 53 2" xfId="7669"/>
    <cellStyle name="Обычный 7 2 53 2 2" xfId="18349"/>
    <cellStyle name="Обычный 7 2 53 2 2 2" xfId="50393"/>
    <cellStyle name="Обычный 7 2 53 2 3" xfId="29030"/>
    <cellStyle name="Обычный 7 2 53 2 3 2" xfId="61073"/>
    <cellStyle name="Обычный 7 2 53 2 4" xfId="39713"/>
    <cellStyle name="Обычный 7 2 53 3" xfId="13009"/>
    <cellStyle name="Обычный 7 2 53 3 2" xfId="45053"/>
    <cellStyle name="Обычный 7 2 53 4" xfId="23690"/>
    <cellStyle name="Обычный 7 2 53 4 2" xfId="55733"/>
    <cellStyle name="Обычный 7 2 53 5" xfId="34373"/>
    <cellStyle name="Обычный 7 2 54" xfId="2357"/>
    <cellStyle name="Обычный 7 2 54 2" xfId="7699"/>
    <cellStyle name="Обычный 7 2 54 2 2" xfId="18379"/>
    <cellStyle name="Обычный 7 2 54 2 2 2" xfId="50423"/>
    <cellStyle name="Обычный 7 2 54 2 3" xfId="29060"/>
    <cellStyle name="Обычный 7 2 54 2 3 2" xfId="61103"/>
    <cellStyle name="Обычный 7 2 54 2 4" xfId="39743"/>
    <cellStyle name="Обычный 7 2 54 3" xfId="13039"/>
    <cellStyle name="Обычный 7 2 54 3 2" xfId="45083"/>
    <cellStyle name="Обычный 7 2 54 4" xfId="23720"/>
    <cellStyle name="Обычный 7 2 54 4 2" xfId="55763"/>
    <cellStyle name="Обычный 7 2 54 5" xfId="34403"/>
    <cellStyle name="Обычный 7 2 55" xfId="2387"/>
    <cellStyle name="Обычный 7 2 55 2" xfId="7729"/>
    <cellStyle name="Обычный 7 2 55 2 2" xfId="18409"/>
    <cellStyle name="Обычный 7 2 55 2 2 2" xfId="50453"/>
    <cellStyle name="Обычный 7 2 55 2 3" xfId="29090"/>
    <cellStyle name="Обычный 7 2 55 2 3 2" xfId="61133"/>
    <cellStyle name="Обычный 7 2 55 2 4" xfId="39773"/>
    <cellStyle name="Обычный 7 2 55 3" xfId="13069"/>
    <cellStyle name="Обычный 7 2 55 3 2" xfId="45113"/>
    <cellStyle name="Обычный 7 2 55 4" xfId="23750"/>
    <cellStyle name="Обычный 7 2 55 4 2" xfId="55793"/>
    <cellStyle name="Обычный 7 2 55 5" xfId="34433"/>
    <cellStyle name="Обычный 7 2 56" xfId="2417"/>
    <cellStyle name="Обычный 7 2 56 2" xfId="7759"/>
    <cellStyle name="Обычный 7 2 56 2 2" xfId="18439"/>
    <cellStyle name="Обычный 7 2 56 2 2 2" xfId="50483"/>
    <cellStyle name="Обычный 7 2 56 2 3" xfId="29120"/>
    <cellStyle name="Обычный 7 2 56 2 3 2" xfId="61163"/>
    <cellStyle name="Обычный 7 2 56 2 4" xfId="39803"/>
    <cellStyle name="Обычный 7 2 56 3" xfId="13099"/>
    <cellStyle name="Обычный 7 2 56 3 2" xfId="45143"/>
    <cellStyle name="Обычный 7 2 56 4" xfId="23780"/>
    <cellStyle name="Обычный 7 2 56 4 2" xfId="55823"/>
    <cellStyle name="Обычный 7 2 56 5" xfId="34463"/>
    <cellStyle name="Обычный 7 2 57" xfId="2447"/>
    <cellStyle name="Обычный 7 2 57 2" xfId="7789"/>
    <cellStyle name="Обычный 7 2 57 2 2" xfId="18469"/>
    <cellStyle name="Обычный 7 2 57 2 2 2" xfId="50513"/>
    <cellStyle name="Обычный 7 2 57 2 3" xfId="29150"/>
    <cellStyle name="Обычный 7 2 57 2 3 2" xfId="61193"/>
    <cellStyle name="Обычный 7 2 57 2 4" xfId="39833"/>
    <cellStyle name="Обычный 7 2 57 3" xfId="13129"/>
    <cellStyle name="Обычный 7 2 57 3 2" xfId="45173"/>
    <cellStyle name="Обычный 7 2 57 4" xfId="23810"/>
    <cellStyle name="Обычный 7 2 57 4 2" xfId="55853"/>
    <cellStyle name="Обычный 7 2 57 5" xfId="34493"/>
    <cellStyle name="Обычный 7 2 58" xfId="2477"/>
    <cellStyle name="Обычный 7 2 58 2" xfId="7819"/>
    <cellStyle name="Обычный 7 2 58 2 2" xfId="18499"/>
    <cellStyle name="Обычный 7 2 58 2 2 2" xfId="50543"/>
    <cellStyle name="Обычный 7 2 58 2 3" xfId="29180"/>
    <cellStyle name="Обычный 7 2 58 2 3 2" xfId="61223"/>
    <cellStyle name="Обычный 7 2 58 2 4" xfId="39863"/>
    <cellStyle name="Обычный 7 2 58 3" xfId="13159"/>
    <cellStyle name="Обычный 7 2 58 3 2" xfId="45203"/>
    <cellStyle name="Обычный 7 2 58 4" xfId="23840"/>
    <cellStyle name="Обычный 7 2 58 4 2" xfId="55883"/>
    <cellStyle name="Обычный 7 2 58 5" xfId="34523"/>
    <cellStyle name="Обычный 7 2 59" xfId="2509"/>
    <cellStyle name="Обычный 7 2 59 2" xfId="7851"/>
    <cellStyle name="Обычный 7 2 59 2 2" xfId="18531"/>
    <cellStyle name="Обычный 7 2 59 2 2 2" xfId="50575"/>
    <cellStyle name="Обычный 7 2 59 2 3" xfId="29212"/>
    <cellStyle name="Обычный 7 2 59 2 3 2" xfId="61255"/>
    <cellStyle name="Обычный 7 2 59 2 4" xfId="39895"/>
    <cellStyle name="Обычный 7 2 59 3" xfId="13191"/>
    <cellStyle name="Обычный 7 2 59 3 2" xfId="45235"/>
    <cellStyle name="Обычный 7 2 59 4" xfId="23872"/>
    <cellStyle name="Обычный 7 2 59 4 2" xfId="55915"/>
    <cellStyle name="Обычный 7 2 59 5" xfId="34555"/>
    <cellStyle name="Обычный 7 2 6" xfId="1062"/>
    <cellStyle name="Обычный 7 2 6 2" xfId="6405"/>
    <cellStyle name="Обычный 7 2 6 2 2" xfId="17085"/>
    <cellStyle name="Обычный 7 2 6 2 2 2" xfId="49129"/>
    <cellStyle name="Обычный 7 2 6 2 3" xfId="27766"/>
    <cellStyle name="Обычный 7 2 6 2 3 2" xfId="59809"/>
    <cellStyle name="Обычный 7 2 6 2 4" xfId="38449"/>
    <cellStyle name="Обычный 7 2 6 3" xfId="11745"/>
    <cellStyle name="Обычный 7 2 6 3 2" xfId="43789"/>
    <cellStyle name="Обычный 7 2 6 4" xfId="22426"/>
    <cellStyle name="Обычный 7 2 6 4 2" xfId="54469"/>
    <cellStyle name="Обычный 7 2 6 5" xfId="33109"/>
    <cellStyle name="Обычный 7 2 60" xfId="2543"/>
    <cellStyle name="Обычный 7 2 60 2" xfId="7885"/>
    <cellStyle name="Обычный 7 2 60 2 2" xfId="18565"/>
    <cellStyle name="Обычный 7 2 60 2 2 2" xfId="50609"/>
    <cellStyle name="Обычный 7 2 60 2 3" xfId="29246"/>
    <cellStyle name="Обычный 7 2 60 2 3 2" xfId="61289"/>
    <cellStyle name="Обычный 7 2 60 2 4" xfId="39929"/>
    <cellStyle name="Обычный 7 2 60 3" xfId="13225"/>
    <cellStyle name="Обычный 7 2 60 3 2" xfId="45269"/>
    <cellStyle name="Обычный 7 2 60 4" xfId="23906"/>
    <cellStyle name="Обычный 7 2 60 4 2" xfId="55949"/>
    <cellStyle name="Обычный 7 2 60 5" xfId="34589"/>
    <cellStyle name="Обычный 7 2 61" xfId="2575"/>
    <cellStyle name="Обычный 7 2 61 2" xfId="7917"/>
    <cellStyle name="Обычный 7 2 61 2 2" xfId="18597"/>
    <cellStyle name="Обычный 7 2 61 2 2 2" xfId="50641"/>
    <cellStyle name="Обычный 7 2 61 2 3" xfId="29278"/>
    <cellStyle name="Обычный 7 2 61 2 3 2" xfId="61321"/>
    <cellStyle name="Обычный 7 2 61 2 4" xfId="39961"/>
    <cellStyle name="Обычный 7 2 61 3" xfId="13257"/>
    <cellStyle name="Обычный 7 2 61 3 2" xfId="45301"/>
    <cellStyle name="Обычный 7 2 61 4" xfId="23938"/>
    <cellStyle name="Обычный 7 2 61 4 2" xfId="55981"/>
    <cellStyle name="Обычный 7 2 61 5" xfId="34621"/>
    <cellStyle name="Обычный 7 2 62" xfId="2607"/>
    <cellStyle name="Обычный 7 2 62 2" xfId="7949"/>
    <cellStyle name="Обычный 7 2 62 2 2" xfId="18629"/>
    <cellStyle name="Обычный 7 2 62 2 2 2" xfId="50673"/>
    <cellStyle name="Обычный 7 2 62 2 3" xfId="29310"/>
    <cellStyle name="Обычный 7 2 62 2 3 2" xfId="61353"/>
    <cellStyle name="Обычный 7 2 62 2 4" xfId="39993"/>
    <cellStyle name="Обычный 7 2 62 3" xfId="13289"/>
    <cellStyle name="Обычный 7 2 62 3 2" xfId="45333"/>
    <cellStyle name="Обычный 7 2 62 4" xfId="23970"/>
    <cellStyle name="Обычный 7 2 62 4 2" xfId="56013"/>
    <cellStyle name="Обычный 7 2 62 5" xfId="34653"/>
    <cellStyle name="Обычный 7 2 63" xfId="2639"/>
    <cellStyle name="Обычный 7 2 63 2" xfId="7981"/>
    <cellStyle name="Обычный 7 2 63 2 2" xfId="18661"/>
    <cellStyle name="Обычный 7 2 63 2 2 2" xfId="50705"/>
    <cellStyle name="Обычный 7 2 63 2 3" xfId="29342"/>
    <cellStyle name="Обычный 7 2 63 2 3 2" xfId="61385"/>
    <cellStyle name="Обычный 7 2 63 2 4" xfId="40025"/>
    <cellStyle name="Обычный 7 2 63 3" xfId="13321"/>
    <cellStyle name="Обычный 7 2 63 3 2" xfId="45365"/>
    <cellStyle name="Обычный 7 2 63 4" xfId="24002"/>
    <cellStyle name="Обычный 7 2 63 4 2" xfId="56045"/>
    <cellStyle name="Обычный 7 2 63 5" xfId="34685"/>
    <cellStyle name="Обычный 7 2 64" xfId="2671"/>
    <cellStyle name="Обычный 7 2 64 2" xfId="8013"/>
    <cellStyle name="Обычный 7 2 64 2 2" xfId="18693"/>
    <cellStyle name="Обычный 7 2 64 2 2 2" xfId="50737"/>
    <cellStyle name="Обычный 7 2 64 2 3" xfId="29374"/>
    <cellStyle name="Обычный 7 2 64 2 3 2" xfId="61417"/>
    <cellStyle name="Обычный 7 2 64 2 4" xfId="40057"/>
    <cellStyle name="Обычный 7 2 64 3" xfId="13353"/>
    <cellStyle name="Обычный 7 2 64 3 2" xfId="45397"/>
    <cellStyle name="Обычный 7 2 64 4" xfId="24034"/>
    <cellStyle name="Обычный 7 2 64 4 2" xfId="56077"/>
    <cellStyle name="Обычный 7 2 64 5" xfId="34717"/>
    <cellStyle name="Обычный 7 2 65" xfId="2703"/>
    <cellStyle name="Обычный 7 2 65 2" xfId="8045"/>
    <cellStyle name="Обычный 7 2 65 2 2" xfId="18725"/>
    <cellStyle name="Обычный 7 2 65 2 2 2" xfId="50769"/>
    <cellStyle name="Обычный 7 2 65 2 3" xfId="29406"/>
    <cellStyle name="Обычный 7 2 65 2 3 2" xfId="61449"/>
    <cellStyle name="Обычный 7 2 65 2 4" xfId="40089"/>
    <cellStyle name="Обычный 7 2 65 3" xfId="13385"/>
    <cellStyle name="Обычный 7 2 65 3 2" xfId="45429"/>
    <cellStyle name="Обычный 7 2 65 4" xfId="24066"/>
    <cellStyle name="Обычный 7 2 65 4 2" xfId="56109"/>
    <cellStyle name="Обычный 7 2 65 5" xfId="34749"/>
    <cellStyle name="Обычный 7 2 66" xfId="2735"/>
    <cellStyle name="Обычный 7 2 66 2" xfId="8077"/>
    <cellStyle name="Обычный 7 2 66 2 2" xfId="18757"/>
    <cellStyle name="Обычный 7 2 66 2 2 2" xfId="50801"/>
    <cellStyle name="Обычный 7 2 66 2 3" xfId="29438"/>
    <cellStyle name="Обычный 7 2 66 2 3 2" xfId="61481"/>
    <cellStyle name="Обычный 7 2 66 2 4" xfId="40121"/>
    <cellStyle name="Обычный 7 2 66 3" xfId="13417"/>
    <cellStyle name="Обычный 7 2 66 3 2" xfId="45461"/>
    <cellStyle name="Обычный 7 2 66 4" xfId="24098"/>
    <cellStyle name="Обычный 7 2 66 4 2" xfId="56141"/>
    <cellStyle name="Обычный 7 2 66 5" xfId="34781"/>
    <cellStyle name="Обычный 7 2 67" xfId="2769"/>
    <cellStyle name="Обычный 7 2 67 2" xfId="8111"/>
    <cellStyle name="Обычный 7 2 67 2 2" xfId="18791"/>
    <cellStyle name="Обычный 7 2 67 2 2 2" xfId="50835"/>
    <cellStyle name="Обычный 7 2 67 2 3" xfId="29472"/>
    <cellStyle name="Обычный 7 2 67 2 3 2" xfId="61515"/>
    <cellStyle name="Обычный 7 2 67 2 4" xfId="40155"/>
    <cellStyle name="Обычный 7 2 67 3" xfId="13451"/>
    <cellStyle name="Обычный 7 2 67 3 2" xfId="45495"/>
    <cellStyle name="Обычный 7 2 67 4" xfId="24132"/>
    <cellStyle name="Обычный 7 2 67 4 2" xfId="56175"/>
    <cellStyle name="Обычный 7 2 67 5" xfId="34815"/>
    <cellStyle name="Обычный 7 2 68" xfId="2801"/>
    <cellStyle name="Обычный 7 2 68 2" xfId="8143"/>
    <cellStyle name="Обычный 7 2 68 2 2" xfId="18823"/>
    <cellStyle name="Обычный 7 2 68 2 2 2" xfId="50867"/>
    <cellStyle name="Обычный 7 2 68 2 3" xfId="29504"/>
    <cellStyle name="Обычный 7 2 68 2 3 2" xfId="61547"/>
    <cellStyle name="Обычный 7 2 68 2 4" xfId="40187"/>
    <cellStyle name="Обычный 7 2 68 3" xfId="13483"/>
    <cellStyle name="Обычный 7 2 68 3 2" xfId="45527"/>
    <cellStyle name="Обычный 7 2 68 4" xfId="24164"/>
    <cellStyle name="Обычный 7 2 68 4 2" xfId="56207"/>
    <cellStyle name="Обычный 7 2 68 5" xfId="34847"/>
    <cellStyle name="Обычный 7 2 69" xfId="2833"/>
    <cellStyle name="Обычный 7 2 69 2" xfId="8175"/>
    <cellStyle name="Обычный 7 2 69 2 2" xfId="18855"/>
    <cellStyle name="Обычный 7 2 69 2 2 2" xfId="50899"/>
    <cellStyle name="Обычный 7 2 69 2 3" xfId="29536"/>
    <cellStyle name="Обычный 7 2 69 2 3 2" xfId="61579"/>
    <cellStyle name="Обычный 7 2 69 2 4" xfId="40219"/>
    <cellStyle name="Обычный 7 2 69 3" xfId="13515"/>
    <cellStyle name="Обычный 7 2 69 3 2" xfId="45559"/>
    <cellStyle name="Обычный 7 2 69 4" xfId="24196"/>
    <cellStyle name="Обычный 7 2 69 4 2" xfId="56239"/>
    <cellStyle name="Обычный 7 2 69 5" xfId="34879"/>
    <cellStyle name="Обычный 7 2 7" xfId="1088"/>
    <cellStyle name="Обычный 7 2 7 2" xfId="6431"/>
    <cellStyle name="Обычный 7 2 7 2 2" xfId="17111"/>
    <cellStyle name="Обычный 7 2 7 2 2 2" xfId="49155"/>
    <cellStyle name="Обычный 7 2 7 2 3" xfId="27792"/>
    <cellStyle name="Обычный 7 2 7 2 3 2" xfId="59835"/>
    <cellStyle name="Обычный 7 2 7 2 4" xfId="38475"/>
    <cellStyle name="Обычный 7 2 7 3" xfId="11771"/>
    <cellStyle name="Обычный 7 2 7 3 2" xfId="43815"/>
    <cellStyle name="Обычный 7 2 7 4" xfId="22452"/>
    <cellStyle name="Обычный 7 2 7 4 2" xfId="54495"/>
    <cellStyle name="Обычный 7 2 7 5" xfId="33135"/>
    <cellStyle name="Обычный 7 2 70" xfId="2865"/>
    <cellStyle name="Обычный 7 2 70 2" xfId="8207"/>
    <cellStyle name="Обычный 7 2 70 2 2" xfId="18887"/>
    <cellStyle name="Обычный 7 2 70 2 2 2" xfId="50931"/>
    <cellStyle name="Обычный 7 2 70 2 3" xfId="29568"/>
    <cellStyle name="Обычный 7 2 70 2 3 2" xfId="61611"/>
    <cellStyle name="Обычный 7 2 70 2 4" xfId="40251"/>
    <cellStyle name="Обычный 7 2 70 3" xfId="13547"/>
    <cellStyle name="Обычный 7 2 70 3 2" xfId="45591"/>
    <cellStyle name="Обычный 7 2 70 4" xfId="24228"/>
    <cellStyle name="Обычный 7 2 70 4 2" xfId="56271"/>
    <cellStyle name="Обычный 7 2 70 5" xfId="34911"/>
    <cellStyle name="Обычный 7 2 71" xfId="2897"/>
    <cellStyle name="Обычный 7 2 71 2" xfId="8239"/>
    <cellStyle name="Обычный 7 2 71 2 2" xfId="18919"/>
    <cellStyle name="Обычный 7 2 71 2 2 2" xfId="50963"/>
    <cellStyle name="Обычный 7 2 71 2 3" xfId="29600"/>
    <cellStyle name="Обычный 7 2 71 2 3 2" xfId="61643"/>
    <cellStyle name="Обычный 7 2 71 2 4" xfId="40283"/>
    <cellStyle name="Обычный 7 2 71 3" xfId="13579"/>
    <cellStyle name="Обычный 7 2 71 3 2" xfId="45623"/>
    <cellStyle name="Обычный 7 2 71 4" xfId="24260"/>
    <cellStyle name="Обычный 7 2 71 4 2" xfId="56303"/>
    <cellStyle name="Обычный 7 2 71 5" xfId="34943"/>
    <cellStyle name="Обычный 7 2 72" xfId="2929"/>
    <cellStyle name="Обычный 7 2 72 2" xfId="8271"/>
    <cellStyle name="Обычный 7 2 72 2 2" xfId="18951"/>
    <cellStyle name="Обычный 7 2 72 2 2 2" xfId="50995"/>
    <cellStyle name="Обычный 7 2 72 2 3" xfId="29632"/>
    <cellStyle name="Обычный 7 2 72 2 3 2" xfId="61675"/>
    <cellStyle name="Обычный 7 2 72 2 4" xfId="40315"/>
    <cellStyle name="Обычный 7 2 72 3" xfId="13611"/>
    <cellStyle name="Обычный 7 2 72 3 2" xfId="45655"/>
    <cellStyle name="Обычный 7 2 72 4" xfId="24292"/>
    <cellStyle name="Обычный 7 2 72 4 2" xfId="56335"/>
    <cellStyle name="Обычный 7 2 72 5" xfId="34975"/>
    <cellStyle name="Обычный 7 2 73" xfId="2961"/>
    <cellStyle name="Обычный 7 2 73 2" xfId="8303"/>
    <cellStyle name="Обычный 7 2 73 2 2" xfId="18983"/>
    <cellStyle name="Обычный 7 2 73 2 2 2" xfId="51027"/>
    <cellStyle name="Обычный 7 2 73 2 3" xfId="29664"/>
    <cellStyle name="Обычный 7 2 73 2 3 2" xfId="61707"/>
    <cellStyle name="Обычный 7 2 73 2 4" xfId="40347"/>
    <cellStyle name="Обычный 7 2 73 3" xfId="13643"/>
    <cellStyle name="Обычный 7 2 73 3 2" xfId="45687"/>
    <cellStyle name="Обычный 7 2 73 4" xfId="24324"/>
    <cellStyle name="Обычный 7 2 73 4 2" xfId="56367"/>
    <cellStyle name="Обычный 7 2 73 5" xfId="35007"/>
    <cellStyle name="Обычный 7 2 74" xfId="2993"/>
    <cellStyle name="Обычный 7 2 74 2" xfId="8335"/>
    <cellStyle name="Обычный 7 2 74 2 2" xfId="19015"/>
    <cellStyle name="Обычный 7 2 74 2 2 2" xfId="51059"/>
    <cellStyle name="Обычный 7 2 74 2 3" xfId="29696"/>
    <cellStyle name="Обычный 7 2 74 2 3 2" xfId="61739"/>
    <cellStyle name="Обычный 7 2 74 2 4" xfId="40379"/>
    <cellStyle name="Обычный 7 2 74 3" xfId="13675"/>
    <cellStyle name="Обычный 7 2 74 3 2" xfId="45719"/>
    <cellStyle name="Обычный 7 2 74 4" xfId="24356"/>
    <cellStyle name="Обычный 7 2 74 4 2" xfId="56399"/>
    <cellStyle name="Обычный 7 2 74 5" xfId="35039"/>
    <cellStyle name="Обычный 7 2 75" xfId="3025"/>
    <cellStyle name="Обычный 7 2 75 2" xfId="8367"/>
    <cellStyle name="Обычный 7 2 75 2 2" xfId="19047"/>
    <cellStyle name="Обычный 7 2 75 2 2 2" xfId="51091"/>
    <cellStyle name="Обычный 7 2 75 2 3" xfId="29728"/>
    <cellStyle name="Обычный 7 2 75 2 3 2" xfId="61771"/>
    <cellStyle name="Обычный 7 2 75 2 4" xfId="40411"/>
    <cellStyle name="Обычный 7 2 75 3" xfId="13707"/>
    <cellStyle name="Обычный 7 2 75 3 2" xfId="45751"/>
    <cellStyle name="Обычный 7 2 75 4" xfId="24388"/>
    <cellStyle name="Обычный 7 2 75 4 2" xfId="56431"/>
    <cellStyle name="Обычный 7 2 75 5" xfId="35071"/>
    <cellStyle name="Обычный 7 2 76" xfId="3057"/>
    <cellStyle name="Обычный 7 2 76 2" xfId="8399"/>
    <cellStyle name="Обычный 7 2 76 2 2" xfId="19079"/>
    <cellStyle name="Обычный 7 2 76 2 2 2" xfId="51123"/>
    <cellStyle name="Обычный 7 2 76 2 3" xfId="29760"/>
    <cellStyle name="Обычный 7 2 76 2 3 2" xfId="61803"/>
    <cellStyle name="Обычный 7 2 76 2 4" xfId="40443"/>
    <cellStyle name="Обычный 7 2 76 3" xfId="13739"/>
    <cellStyle name="Обычный 7 2 76 3 2" xfId="45783"/>
    <cellStyle name="Обычный 7 2 76 4" xfId="24420"/>
    <cellStyle name="Обычный 7 2 76 4 2" xfId="56463"/>
    <cellStyle name="Обычный 7 2 76 5" xfId="35103"/>
    <cellStyle name="Обычный 7 2 77" xfId="3089"/>
    <cellStyle name="Обычный 7 2 77 2" xfId="8431"/>
    <cellStyle name="Обычный 7 2 77 2 2" xfId="19111"/>
    <cellStyle name="Обычный 7 2 77 2 2 2" xfId="51155"/>
    <cellStyle name="Обычный 7 2 77 2 3" xfId="29792"/>
    <cellStyle name="Обычный 7 2 77 2 3 2" xfId="61835"/>
    <cellStyle name="Обычный 7 2 77 2 4" xfId="40475"/>
    <cellStyle name="Обычный 7 2 77 3" xfId="13771"/>
    <cellStyle name="Обычный 7 2 77 3 2" xfId="45815"/>
    <cellStyle name="Обычный 7 2 77 4" xfId="24452"/>
    <cellStyle name="Обычный 7 2 77 4 2" xfId="56495"/>
    <cellStyle name="Обычный 7 2 77 5" xfId="35135"/>
    <cellStyle name="Обычный 7 2 78" xfId="3122"/>
    <cellStyle name="Обычный 7 2 78 2" xfId="8463"/>
    <cellStyle name="Обычный 7 2 78 2 2" xfId="19143"/>
    <cellStyle name="Обычный 7 2 78 2 2 2" xfId="51187"/>
    <cellStyle name="Обычный 7 2 78 2 3" xfId="29824"/>
    <cellStyle name="Обычный 7 2 78 2 3 2" xfId="61867"/>
    <cellStyle name="Обычный 7 2 78 2 4" xfId="40507"/>
    <cellStyle name="Обычный 7 2 78 3" xfId="13803"/>
    <cellStyle name="Обычный 7 2 78 3 2" xfId="45847"/>
    <cellStyle name="Обычный 7 2 78 4" xfId="24484"/>
    <cellStyle name="Обычный 7 2 78 4 2" xfId="56527"/>
    <cellStyle name="Обычный 7 2 78 5" xfId="35167"/>
    <cellStyle name="Обычный 7 2 79" xfId="3154"/>
    <cellStyle name="Обычный 7 2 79 2" xfId="8495"/>
    <cellStyle name="Обычный 7 2 79 2 2" xfId="19175"/>
    <cellStyle name="Обычный 7 2 79 2 2 2" xfId="51219"/>
    <cellStyle name="Обычный 7 2 79 2 3" xfId="29856"/>
    <cellStyle name="Обычный 7 2 79 2 3 2" xfId="61899"/>
    <cellStyle name="Обычный 7 2 79 2 4" xfId="40539"/>
    <cellStyle name="Обычный 7 2 79 3" xfId="13835"/>
    <cellStyle name="Обычный 7 2 79 3 2" xfId="45879"/>
    <cellStyle name="Обычный 7 2 79 4" xfId="24516"/>
    <cellStyle name="Обычный 7 2 79 4 2" xfId="56559"/>
    <cellStyle name="Обычный 7 2 79 5" xfId="35199"/>
    <cellStyle name="Обычный 7 2 8" xfId="1114"/>
    <cellStyle name="Обычный 7 2 8 2" xfId="6457"/>
    <cellStyle name="Обычный 7 2 8 2 2" xfId="17137"/>
    <cellStyle name="Обычный 7 2 8 2 2 2" xfId="49181"/>
    <cellStyle name="Обычный 7 2 8 2 3" xfId="27818"/>
    <cellStyle name="Обычный 7 2 8 2 3 2" xfId="59861"/>
    <cellStyle name="Обычный 7 2 8 2 4" xfId="38501"/>
    <cellStyle name="Обычный 7 2 8 3" xfId="11797"/>
    <cellStyle name="Обычный 7 2 8 3 2" xfId="43841"/>
    <cellStyle name="Обычный 7 2 8 4" xfId="22478"/>
    <cellStyle name="Обычный 7 2 8 4 2" xfId="54521"/>
    <cellStyle name="Обычный 7 2 8 5" xfId="33161"/>
    <cellStyle name="Обычный 7 2 80" xfId="3186"/>
    <cellStyle name="Обычный 7 2 80 2" xfId="8527"/>
    <cellStyle name="Обычный 7 2 80 2 2" xfId="19207"/>
    <cellStyle name="Обычный 7 2 80 2 2 2" xfId="51251"/>
    <cellStyle name="Обычный 7 2 80 2 3" xfId="29888"/>
    <cellStyle name="Обычный 7 2 80 2 3 2" xfId="61931"/>
    <cellStyle name="Обычный 7 2 80 2 4" xfId="40571"/>
    <cellStyle name="Обычный 7 2 80 3" xfId="13867"/>
    <cellStyle name="Обычный 7 2 80 3 2" xfId="45911"/>
    <cellStyle name="Обычный 7 2 80 4" xfId="24548"/>
    <cellStyle name="Обычный 7 2 80 4 2" xfId="56591"/>
    <cellStyle name="Обычный 7 2 80 5" xfId="35231"/>
    <cellStyle name="Обычный 7 2 81" xfId="3218"/>
    <cellStyle name="Обычный 7 2 81 2" xfId="8559"/>
    <cellStyle name="Обычный 7 2 81 2 2" xfId="19239"/>
    <cellStyle name="Обычный 7 2 81 2 2 2" xfId="51283"/>
    <cellStyle name="Обычный 7 2 81 2 3" xfId="29920"/>
    <cellStyle name="Обычный 7 2 81 2 3 2" xfId="61963"/>
    <cellStyle name="Обычный 7 2 81 2 4" xfId="40603"/>
    <cellStyle name="Обычный 7 2 81 3" xfId="13899"/>
    <cellStyle name="Обычный 7 2 81 3 2" xfId="45943"/>
    <cellStyle name="Обычный 7 2 81 4" xfId="24580"/>
    <cellStyle name="Обычный 7 2 81 4 2" xfId="56623"/>
    <cellStyle name="Обычный 7 2 81 5" xfId="35263"/>
    <cellStyle name="Обычный 7 2 82" xfId="3250"/>
    <cellStyle name="Обычный 7 2 82 2" xfId="8591"/>
    <cellStyle name="Обычный 7 2 82 2 2" xfId="19271"/>
    <cellStyle name="Обычный 7 2 82 2 2 2" xfId="51315"/>
    <cellStyle name="Обычный 7 2 82 2 3" xfId="29952"/>
    <cellStyle name="Обычный 7 2 82 2 3 2" xfId="61995"/>
    <cellStyle name="Обычный 7 2 82 2 4" xfId="40635"/>
    <cellStyle name="Обычный 7 2 82 3" xfId="13931"/>
    <cellStyle name="Обычный 7 2 82 3 2" xfId="45975"/>
    <cellStyle name="Обычный 7 2 82 4" xfId="24612"/>
    <cellStyle name="Обычный 7 2 82 4 2" xfId="56655"/>
    <cellStyle name="Обычный 7 2 82 5" xfId="35295"/>
    <cellStyle name="Обычный 7 2 83" xfId="3282"/>
    <cellStyle name="Обычный 7 2 83 2" xfId="8623"/>
    <cellStyle name="Обычный 7 2 83 2 2" xfId="19303"/>
    <cellStyle name="Обычный 7 2 83 2 2 2" xfId="51347"/>
    <cellStyle name="Обычный 7 2 83 2 3" xfId="29984"/>
    <cellStyle name="Обычный 7 2 83 2 3 2" xfId="62027"/>
    <cellStyle name="Обычный 7 2 83 2 4" xfId="40667"/>
    <cellStyle name="Обычный 7 2 83 3" xfId="13963"/>
    <cellStyle name="Обычный 7 2 83 3 2" xfId="46007"/>
    <cellStyle name="Обычный 7 2 83 4" xfId="24644"/>
    <cellStyle name="Обычный 7 2 83 4 2" xfId="56687"/>
    <cellStyle name="Обычный 7 2 83 5" xfId="35327"/>
    <cellStyle name="Обычный 7 2 84" xfId="3314"/>
    <cellStyle name="Обычный 7 2 84 2" xfId="8655"/>
    <cellStyle name="Обычный 7 2 84 2 2" xfId="19335"/>
    <cellStyle name="Обычный 7 2 84 2 2 2" xfId="51379"/>
    <cellStyle name="Обычный 7 2 84 2 3" xfId="30016"/>
    <cellStyle name="Обычный 7 2 84 2 3 2" xfId="62059"/>
    <cellStyle name="Обычный 7 2 84 2 4" xfId="40699"/>
    <cellStyle name="Обычный 7 2 84 3" xfId="13995"/>
    <cellStyle name="Обычный 7 2 84 3 2" xfId="46039"/>
    <cellStyle name="Обычный 7 2 84 4" xfId="24676"/>
    <cellStyle name="Обычный 7 2 84 4 2" xfId="56719"/>
    <cellStyle name="Обычный 7 2 84 5" xfId="35359"/>
    <cellStyle name="Обычный 7 2 85" xfId="3346"/>
    <cellStyle name="Обычный 7 2 85 2" xfId="8687"/>
    <cellStyle name="Обычный 7 2 85 2 2" xfId="19367"/>
    <cellStyle name="Обычный 7 2 85 2 2 2" xfId="51411"/>
    <cellStyle name="Обычный 7 2 85 2 3" xfId="30048"/>
    <cellStyle name="Обычный 7 2 85 2 3 2" xfId="62091"/>
    <cellStyle name="Обычный 7 2 85 2 4" xfId="40731"/>
    <cellStyle name="Обычный 7 2 85 3" xfId="14027"/>
    <cellStyle name="Обычный 7 2 85 3 2" xfId="46071"/>
    <cellStyle name="Обычный 7 2 85 4" xfId="24708"/>
    <cellStyle name="Обычный 7 2 85 4 2" xfId="56751"/>
    <cellStyle name="Обычный 7 2 85 5" xfId="35391"/>
    <cellStyle name="Обычный 7 2 86" xfId="3378"/>
    <cellStyle name="Обычный 7 2 86 2" xfId="8719"/>
    <cellStyle name="Обычный 7 2 86 2 2" xfId="19399"/>
    <cellStyle name="Обычный 7 2 86 2 2 2" xfId="51443"/>
    <cellStyle name="Обычный 7 2 86 2 3" xfId="30080"/>
    <cellStyle name="Обычный 7 2 86 2 3 2" xfId="62123"/>
    <cellStyle name="Обычный 7 2 86 2 4" xfId="40763"/>
    <cellStyle name="Обычный 7 2 86 3" xfId="14059"/>
    <cellStyle name="Обычный 7 2 86 3 2" xfId="46103"/>
    <cellStyle name="Обычный 7 2 86 4" xfId="24740"/>
    <cellStyle name="Обычный 7 2 86 4 2" xfId="56783"/>
    <cellStyle name="Обычный 7 2 86 5" xfId="35423"/>
    <cellStyle name="Обычный 7 2 87" xfId="3410"/>
    <cellStyle name="Обычный 7 2 87 2" xfId="8751"/>
    <cellStyle name="Обычный 7 2 87 2 2" xfId="19431"/>
    <cellStyle name="Обычный 7 2 87 2 2 2" xfId="51475"/>
    <cellStyle name="Обычный 7 2 87 2 3" xfId="30112"/>
    <cellStyle name="Обычный 7 2 87 2 3 2" xfId="62155"/>
    <cellStyle name="Обычный 7 2 87 2 4" xfId="40795"/>
    <cellStyle name="Обычный 7 2 87 3" xfId="14091"/>
    <cellStyle name="Обычный 7 2 87 3 2" xfId="46135"/>
    <cellStyle name="Обычный 7 2 87 4" xfId="24772"/>
    <cellStyle name="Обычный 7 2 87 4 2" xfId="56815"/>
    <cellStyle name="Обычный 7 2 87 5" xfId="35455"/>
    <cellStyle name="Обычный 7 2 88" xfId="3442"/>
    <cellStyle name="Обычный 7 2 88 2" xfId="8783"/>
    <cellStyle name="Обычный 7 2 88 2 2" xfId="19463"/>
    <cellStyle name="Обычный 7 2 88 2 2 2" xfId="51507"/>
    <cellStyle name="Обычный 7 2 88 2 3" xfId="30144"/>
    <cellStyle name="Обычный 7 2 88 2 3 2" xfId="62187"/>
    <cellStyle name="Обычный 7 2 88 2 4" xfId="40827"/>
    <cellStyle name="Обычный 7 2 88 3" xfId="14123"/>
    <cellStyle name="Обычный 7 2 88 3 2" xfId="46167"/>
    <cellStyle name="Обычный 7 2 88 4" xfId="24804"/>
    <cellStyle name="Обычный 7 2 88 4 2" xfId="56847"/>
    <cellStyle name="Обычный 7 2 88 5" xfId="35487"/>
    <cellStyle name="Обычный 7 2 89" xfId="3474"/>
    <cellStyle name="Обычный 7 2 89 2" xfId="8815"/>
    <cellStyle name="Обычный 7 2 89 2 2" xfId="19495"/>
    <cellStyle name="Обычный 7 2 89 2 2 2" xfId="51539"/>
    <cellStyle name="Обычный 7 2 89 2 3" xfId="30176"/>
    <cellStyle name="Обычный 7 2 89 2 3 2" xfId="62219"/>
    <cellStyle name="Обычный 7 2 89 2 4" xfId="40859"/>
    <cellStyle name="Обычный 7 2 89 3" xfId="14155"/>
    <cellStyle name="Обычный 7 2 89 3 2" xfId="46199"/>
    <cellStyle name="Обычный 7 2 89 4" xfId="24836"/>
    <cellStyle name="Обычный 7 2 89 4 2" xfId="56879"/>
    <cellStyle name="Обычный 7 2 89 5" xfId="35519"/>
    <cellStyle name="Обычный 7 2 9" xfId="1140"/>
    <cellStyle name="Обычный 7 2 9 2" xfId="6483"/>
    <cellStyle name="Обычный 7 2 9 2 2" xfId="17163"/>
    <cellStyle name="Обычный 7 2 9 2 2 2" xfId="49207"/>
    <cellStyle name="Обычный 7 2 9 2 3" xfId="27844"/>
    <cellStyle name="Обычный 7 2 9 2 3 2" xfId="59887"/>
    <cellStyle name="Обычный 7 2 9 2 4" xfId="38527"/>
    <cellStyle name="Обычный 7 2 9 3" xfId="11823"/>
    <cellStyle name="Обычный 7 2 9 3 2" xfId="43867"/>
    <cellStyle name="Обычный 7 2 9 4" xfId="22504"/>
    <cellStyle name="Обычный 7 2 9 4 2" xfId="54547"/>
    <cellStyle name="Обычный 7 2 9 5" xfId="33187"/>
    <cellStyle name="Обычный 7 2 90" xfId="3506"/>
    <cellStyle name="Обычный 7 2 90 2" xfId="8847"/>
    <cellStyle name="Обычный 7 2 90 2 2" xfId="19527"/>
    <cellStyle name="Обычный 7 2 90 2 2 2" xfId="51571"/>
    <cellStyle name="Обычный 7 2 90 2 3" xfId="30208"/>
    <cellStyle name="Обычный 7 2 90 2 3 2" xfId="62251"/>
    <cellStyle name="Обычный 7 2 90 2 4" xfId="40891"/>
    <cellStyle name="Обычный 7 2 90 3" xfId="14187"/>
    <cellStyle name="Обычный 7 2 90 3 2" xfId="46231"/>
    <cellStyle name="Обычный 7 2 90 4" xfId="24868"/>
    <cellStyle name="Обычный 7 2 90 4 2" xfId="56911"/>
    <cellStyle name="Обычный 7 2 90 5" xfId="35551"/>
    <cellStyle name="Обычный 7 2 91" xfId="3538"/>
    <cellStyle name="Обычный 7 2 91 2" xfId="8879"/>
    <cellStyle name="Обычный 7 2 91 2 2" xfId="19559"/>
    <cellStyle name="Обычный 7 2 91 2 2 2" xfId="51603"/>
    <cellStyle name="Обычный 7 2 91 2 3" xfId="30240"/>
    <cellStyle name="Обычный 7 2 91 2 3 2" xfId="62283"/>
    <cellStyle name="Обычный 7 2 91 2 4" xfId="40923"/>
    <cellStyle name="Обычный 7 2 91 3" xfId="14219"/>
    <cellStyle name="Обычный 7 2 91 3 2" xfId="46263"/>
    <cellStyle name="Обычный 7 2 91 4" xfId="24900"/>
    <cellStyle name="Обычный 7 2 91 4 2" xfId="56943"/>
    <cellStyle name="Обычный 7 2 91 5" xfId="35583"/>
    <cellStyle name="Обычный 7 2 92" xfId="3570"/>
    <cellStyle name="Обычный 7 2 92 2" xfId="8911"/>
    <cellStyle name="Обычный 7 2 92 2 2" xfId="19591"/>
    <cellStyle name="Обычный 7 2 92 2 2 2" xfId="51635"/>
    <cellStyle name="Обычный 7 2 92 2 3" xfId="30272"/>
    <cellStyle name="Обычный 7 2 92 2 3 2" xfId="62315"/>
    <cellStyle name="Обычный 7 2 92 2 4" xfId="40955"/>
    <cellStyle name="Обычный 7 2 92 3" xfId="14251"/>
    <cellStyle name="Обычный 7 2 92 3 2" xfId="46295"/>
    <cellStyle name="Обычный 7 2 92 4" xfId="24932"/>
    <cellStyle name="Обычный 7 2 92 4 2" xfId="56975"/>
    <cellStyle name="Обычный 7 2 92 5" xfId="35615"/>
    <cellStyle name="Обычный 7 2 93" xfId="3602"/>
    <cellStyle name="Обычный 7 2 93 2" xfId="8943"/>
    <cellStyle name="Обычный 7 2 93 2 2" xfId="19623"/>
    <cellStyle name="Обычный 7 2 93 2 2 2" xfId="51667"/>
    <cellStyle name="Обычный 7 2 93 2 3" xfId="30304"/>
    <cellStyle name="Обычный 7 2 93 2 3 2" xfId="62347"/>
    <cellStyle name="Обычный 7 2 93 2 4" xfId="40987"/>
    <cellStyle name="Обычный 7 2 93 3" xfId="14283"/>
    <cellStyle name="Обычный 7 2 93 3 2" xfId="46327"/>
    <cellStyle name="Обычный 7 2 93 4" xfId="24964"/>
    <cellStyle name="Обычный 7 2 93 4 2" xfId="57007"/>
    <cellStyle name="Обычный 7 2 93 5" xfId="35647"/>
    <cellStyle name="Обычный 7 2 94" xfId="3634"/>
    <cellStyle name="Обычный 7 2 94 2" xfId="8975"/>
    <cellStyle name="Обычный 7 2 94 2 2" xfId="19655"/>
    <cellStyle name="Обычный 7 2 94 2 2 2" xfId="51699"/>
    <cellStyle name="Обычный 7 2 94 2 3" xfId="30336"/>
    <cellStyle name="Обычный 7 2 94 2 3 2" xfId="62379"/>
    <cellStyle name="Обычный 7 2 94 2 4" xfId="41019"/>
    <cellStyle name="Обычный 7 2 94 3" xfId="14315"/>
    <cellStyle name="Обычный 7 2 94 3 2" xfId="46359"/>
    <cellStyle name="Обычный 7 2 94 4" xfId="24996"/>
    <cellStyle name="Обычный 7 2 94 4 2" xfId="57039"/>
    <cellStyle name="Обычный 7 2 94 5" xfId="35679"/>
    <cellStyle name="Обычный 7 2 95" xfId="3666"/>
    <cellStyle name="Обычный 7 2 95 2" xfId="9007"/>
    <cellStyle name="Обычный 7 2 95 2 2" xfId="19687"/>
    <cellStyle name="Обычный 7 2 95 2 2 2" xfId="51731"/>
    <cellStyle name="Обычный 7 2 95 2 3" xfId="30368"/>
    <cellStyle name="Обычный 7 2 95 2 3 2" xfId="62411"/>
    <cellStyle name="Обычный 7 2 95 2 4" xfId="41051"/>
    <cellStyle name="Обычный 7 2 95 3" xfId="14347"/>
    <cellStyle name="Обычный 7 2 95 3 2" xfId="46391"/>
    <cellStyle name="Обычный 7 2 95 4" xfId="25028"/>
    <cellStyle name="Обычный 7 2 95 4 2" xfId="57071"/>
    <cellStyle name="Обычный 7 2 95 5" xfId="35711"/>
    <cellStyle name="Обычный 7 2 96" xfId="3698"/>
    <cellStyle name="Обычный 7 2 96 2" xfId="9039"/>
    <cellStyle name="Обычный 7 2 96 2 2" xfId="19719"/>
    <cellStyle name="Обычный 7 2 96 2 2 2" xfId="51763"/>
    <cellStyle name="Обычный 7 2 96 2 3" xfId="30400"/>
    <cellStyle name="Обычный 7 2 96 2 3 2" xfId="62443"/>
    <cellStyle name="Обычный 7 2 96 2 4" xfId="41083"/>
    <cellStyle name="Обычный 7 2 96 3" xfId="14379"/>
    <cellStyle name="Обычный 7 2 96 3 2" xfId="46423"/>
    <cellStyle name="Обычный 7 2 96 4" xfId="25060"/>
    <cellStyle name="Обычный 7 2 96 4 2" xfId="57103"/>
    <cellStyle name="Обычный 7 2 96 5" xfId="35743"/>
    <cellStyle name="Обычный 7 2 97" xfId="3730"/>
    <cellStyle name="Обычный 7 2 97 2" xfId="9071"/>
    <cellStyle name="Обычный 7 2 97 2 2" xfId="19751"/>
    <cellStyle name="Обычный 7 2 97 2 2 2" xfId="51795"/>
    <cellStyle name="Обычный 7 2 97 2 3" xfId="30432"/>
    <cellStyle name="Обычный 7 2 97 2 3 2" xfId="62475"/>
    <cellStyle name="Обычный 7 2 97 2 4" xfId="41115"/>
    <cellStyle name="Обычный 7 2 97 3" xfId="14411"/>
    <cellStyle name="Обычный 7 2 97 3 2" xfId="46455"/>
    <cellStyle name="Обычный 7 2 97 4" xfId="25092"/>
    <cellStyle name="Обычный 7 2 97 4 2" xfId="57135"/>
    <cellStyle name="Обычный 7 2 97 5" xfId="35775"/>
    <cellStyle name="Обычный 7 2 98" xfId="3762"/>
    <cellStyle name="Обычный 7 2 98 2" xfId="9103"/>
    <cellStyle name="Обычный 7 2 98 2 2" xfId="19783"/>
    <cellStyle name="Обычный 7 2 98 2 2 2" xfId="51827"/>
    <cellStyle name="Обычный 7 2 98 2 3" xfId="30464"/>
    <cellStyle name="Обычный 7 2 98 2 3 2" xfId="62507"/>
    <cellStyle name="Обычный 7 2 98 2 4" xfId="41147"/>
    <cellStyle name="Обычный 7 2 98 3" xfId="14443"/>
    <cellStyle name="Обычный 7 2 98 3 2" xfId="46487"/>
    <cellStyle name="Обычный 7 2 98 4" xfId="25124"/>
    <cellStyle name="Обычный 7 2 98 4 2" xfId="57167"/>
    <cellStyle name="Обычный 7 2 98 5" xfId="35807"/>
    <cellStyle name="Обычный 7 2 99" xfId="3794"/>
    <cellStyle name="Обычный 7 2 99 2" xfId="9135"/>
    <cellStyle name="Обычный 7 2 99 2 2" xfId="19815"/>
    <cellStyle name="Обычный 7 2 99 2 2 2" xfId="51859"/>
    <cellStyle name="Обычный 7 2 99 2 3" xfId="30496"/>
    <cellStyle name="Обычный 7 2 99 2 3 2" xfId="62539"/>
    <cellStyle name="Обычный 7 2 99 2 4" xfId="41179"/>
    <cellStyle name="Обычный 7 2 99 3" xfId="14475"/>
    <cellStyle name="Обычный 7 2 99 3 2" xfId="46519"/>
    <cellStyle name="Обычный 7 2 99 4" xfId="25156"/>
    <cellStyle name="Обычный 7 2 99 4 2" xfId="57199"/>
    <cellStyle name="Обычный 7 2 99 5" xfId="35839"/>
    <cellStyle name="Обычный 7 20" xfId="1206"/>
    <cellStyle name="Обычный 7 20 2" xfId="6549"/>
    <cellStyle name="Обычный 7 20 2 2" xfId="17229"/>
    <cellStyle name="Обычный 7 20 2 2 2" xfId="49273"/>
    <cellStyle name="Обычный 7 20 2 3" xfId="27910"/>
    <cellStyle name="Обычный 7 20 2 3 2" xfId="59953"/>
    <cellStyle name="Обычный 7 20 2 4" xfId="38593"/>
    <cellStyle name="Обычный 7 20 3" xfId="11889"/>
    <cellStyle name="Обычный 7 20 3 2" xfId="43933"/>
    <cellStyle name="Обычный 7 20 4" xfId="22570"/>
    <cellStyle name="Обычный 7 20 4 2" xfId="54613"/>
    <cellStyle name="Обычный 7 20 5" xfId="33253"/>
    <cellStyle name="Обычный 7 21" xfId="1232"/>
    <cellStyle name="Обычный 7 21 2" xfId="6575"/>
    <cellStyle name="Обычный 7 21 2 2" xfId="17255"/>
    <cellStyle name="Обычный 7 21 2 2 2" xfId="49299"/>
    <cellStyle name="Обычный 7 21 2 3" xfId="27936"/>
    <cellStyle name="Обычный 7 21 2 3 2" xfId="59979"/>
    <cellStyle name="Обычный 7 21 2 4" xfId="38619"/>
    <cellStyle name="Обычный 7 21 3" xfId="11915"/>
    <cellStyle name="Обычный 7 21 3 2" xfId="43959"/>
    <cellStyle name="Обычный 7 21 4" xfId="22596"/>
    <cellStyle name="Обычный 7 21 4 2" xfId="54639"/>
    <cellStyle name="Обычный 7 21 5" xfId="33279"/>
    <cellStyle name="Обычный 7 22" xfId="1258"/>
    <cellStyle name="Обычный 7 22 2" xfId="6601"/>
    <cellStyle name="Обычный 7 22 2 2" xfId="17281"/>
    <cellStyle name="Обычный 7 22 2 2 2" xfId="49325"/>
    <cellStyle name="Обычный 7 22 2 3" xfId="27962"/>
    <cellStyle name="Обычный 7 22 2 3 2" xfId="60005"/>
    <cellStyle name="Обычный 7 22 2 4" xfId="38645"/>
    <cellStyle name="Обычный 7 22 3" xfId="11941"/>
    <cellStyle name="Обычный 7 22 3 2" xfId="43985"/>
    <cellStyle name="Обычный 7 22 4" xfId="22622"/>
    <cellStyle name="Обычный 7 22 4 2" xfId="54665"/>
    <cellStyle name="Обычный 7 22 5" xfId="33305"/>
    <cellStyle name="Обычный 7 23" xfId="1284"/>
    <cellStyle name="Обычный 7 23 2" xfId="6627"/>
    <cellStyle name="Обычный 7 23 2 2" xfId="17307"/>
    <cellStyle name="Обычный 7 23 2 2 2" xfId="49351"/>
    <cellStyle name="Обычный 7 23 2 3" xfId="27988"/>
    <cellStyle name="Обычный 7 23 2 3 2" xfId="60031"/>
    <cellStyle name="Обычный 7 23 2 4" xfId="38671"/>
    <cellStyle name="Обычный 7 23 3" xfId="11967"/>
    <cellStyle name="Обычный 7 23 3 2" xfId="44011"/>
    <cellStyle name="Обычный 7 23 4" xfId="22648"/>
    <cellStyle name="Обычный 7 23 4 2" xfId="54691"/>
    <cellStyle name="Обычный 7 23 5" xfId="33331"/>
    <cellStyle name="Обычный 7 24" xfId="1311"/>
    <cellStyle name="Обычный 7 24 2" xfId="6653"/>
    <cellStyle name="Обычный 7 24 2 2" xfId="17333"/>
    <cellStyle name="Обычный 7 24 2 2 2" xfId="49377"/>
    <cellStyle name="Обычный 7 24 2 3" xfId="28014"/>
    <cellStyle name="Обычный 7 24 2 3 2" xfId="60057"/>
    <cellStyle name="Обычный 7 24 2 4" xfId="38697"/>
    <cellStyle name="Обычный 7 24 3" xfId="11993"/>
    <cellStyle name="Обычный 7 24 3 2" xfId="44037"/>
    <cellStyle name="Обычный 7 24 4" xfId="22674"/>
    <cellStyle name="Обычный 7 24 4 2" xfId="54717"/>
    <cellStyle name="Обычный 7 24 5" xfId="33357"/>
    <cellStyle name="Обычный 7 25" xfId="1337"/>
    <cellStyle name="Обычный 7 25 2" xfId="6679"/>
    <cellStyle name="Обычный 7 25 2 2" xfId="17359"/>
    <cellStyle name="Обычный 7 25 2 2 2" xfId="49403"/>
    <cellStyle name="Обычный 7 25 2 3" xfId="28040"/>
    <cellStyle name="Обычный 7 25 2 3 2" xfId="60083"/>
    <cellStyle name="Обычный 7 25 2 4" xfId="38723"/>
    <cellStyle name="Обычный 7 25 3" xfId="12019"/>
    <cellStyle name="Обычный 7 25 3 2" xfId="44063"/>
    <cellStyle name="Обычный 7 25 4" xfId="22700"/>
    <cellStyle name="Обычный 7 25 4 2" xfId="54743"/>
    <cellStyle name="Обычный 7 25 5" xfId="33383"/>
    <cellStyle name="Обычный 7 26" xfId="1363"/>
    <cellStyle name="Обычный 7 26 2" xfId="6705"/>
    <cellStyle name="Обычный 7 26 2 2" xfId="17385"/>
    <cellStyle name="Обычный 7 26 2 2 2" xfId="49429"/>
    <cellStyle name="Обычный 7 26 2 3" xfId="28066"/>
    <cellStyle name="Обычный 7 26 2 3 2" xfId="60109"/>
    <cellStyle name="Обычный 7 26 2 4" xfId="38749"/>
    <cellStyle name="Обычный 7 26 3" xfId="12045"/>
    <cellStyle name="Обычный 7 26 3 2" xfId="44089"/>
    <cellStyle name="Обычный 7 26 4" xfId="22726"/>
    <cellStyle name="Обычный 7 26 4 2" xfId="54769"/>
    <cellStyle name="Обычный 7 26 5" xfId="33409"/>
    <cellStyle name="Обычный 7 27" xfId="1389"/>
    <cellStyle name="Обычный 7 27 2" xfId="6731"/>
    <cellStyle name="Обычный 7 27 2 2" xfId="17411"/>
    <cellStyle name="Обычный 7 27 2 2 2" xfId="49455"/>
    <cellStyle name="Обычный 7 27 2 3" xfId="28092"/>
    <cellStyle name="Обычный 7 27 2 3 2" xfId="60135"/>
    <cellStyle name="Обычный 7 27 2 4" xfId="38775"/>
    <cellStyle name="Обычный 7 27 3" xfId="12071"/>
    <cellStyle name="Обычный 7 27 3 2" xfId="44115"/>
    <cellStyle name="Обычный 7 27 4" xfId="22752"/>
    <cellStyle name="Обычный 7 27 4 2" xfId="54795"/>
    <cellStyle name="Обычный 7 27 5" xfId="33435"/>
    <cellStyle name="Обычный 7 28" xfId="1415"/>
    <cellStyle name="Обычный 7 28 2" xfId="6757"/>
    <cellStyle name="Обычный 7 28 2 2" xfId="17437"/>
    <cellStyle name="Обычный 7 28 2 2 2" xfId="49481"/>
    <cellStyle name="Обычный 7 28 2 3" xfId="28118"/>
    <cellStyle name="Обычный 7 28 2 3 2" xfId="60161"/>
    <cellStyle name="Обычный 7 28 2 4" xfId="38801"/>
    <cellStyle name="Обычный 7 28 3" xfId="12097"/>
    <cellStyle name="Обычный 7 28 3 2" xfId="44141"/>
    <cellStyle name="Обычный 7 28 4" xfId="22778"/>
    <cellStyle name="Обычный 7 28 4 2" xfId="54821"/>
    <cellStyle name="Обычный 7 28 5" xfId="33461"/>
    <cellStyle name="Обычный 7 29" xfId="1441"/>
    <cellStyle name="Обычный 7 29 2" xfId="6783"/>
    <cellStyle name="Обычный 7 29 2 2" xfId="17463"/>
    <cellStyle name="Обычный 7 29 2 2 2" xfId="49507"/>
    <cellStyle name="Обычный 7 29 2 3" xfId="28144"/>
    <cellStyle name="Обычный 7 29 2 3 2" xfId="60187"/>
    <cellStyle name="Обычный 7 29 2 4" xfId="38827"/>
    <cellStyle name="Обычный 7 29 3" xfId="12123"/>
    <cellStyle name="Обычный 7 29 3 2" xfId="44167"/>
    <cellStyle name="Обычный 7 29 4" xfId="22804"/>
    <cellStyle name="Обычный 7 29 4 2" xfId="54847"/>
    <cellStyle name="Обычный 7 29 5" xfId="33487"/>
    <cellStyle name="Обычный 7 3" xfId="424"/>
    <cellStyle name="Обычный 7 3 2" xfId="892"/>
    <cellStyle name="Обычный 7 3 2 2" xfId="6235"/>
    <cellStyle name="Обычный 7 3 2 2 2" xfId="16915"/>
    <cellStyle name="Обычный 7 3 2 2 2 2" xfId="48959"/>
    <cellStyle name="Обычный 7 3 2 2 3" xfId="27596"/>
    <cellStyle name="Обычный 7 3 2 2 3 2" xfId="59639"/>
    <cellStyle name="Обычный 7 3 2 2 4" xfId="38279"/>
    <cellStyle name="Обычный 7 3 2 3" xfId="11575"/>
    <cellStyle name="Обычный 7 3 2 3 2" xfId="43619"/>
    <cellStyle name="Обычный 7 3 2 4" xfId="22256"/>
    <cellStyle name="Обычный 7 3 2 4 2" xfId="54299"/>
    <cellStyle name="Обычный 7 3 2 5" xfId="32939"/>
    <cellStyle name="Обычный 7 3 3" xfId="5768"/>
    <cellStyle name="Обычный 7 3 3 2" xfId="16448"/>
    <cellStyle name="Обычный 7 3 3 2 2" xfId="48492"/>
    <cellStyle name="Обычный 7 3 3 3" xfId="27129"/>
    <cellStyle name="Обычный 7 3 3 3 2" xfId="59172"/>
    <cellStyle name="Обычный 7 3 3 4" xfId="37812"/>
    <cellStyle name="Обычный 7 3 4" xfId="11108"/>
    <cellStyle name="Обычный 7 3 4 2" xfId="43152"/>
    <cellStyle name="Обычный 7 3 5" xfId="21789"/>
    <cellStyle name="Обычный 7 3 5 2" xfId="53832"/>
    <cellStyle name="Обычный 7 3 6" xfId="32472"/>
    <cellStyle name="Обычный 7 30" xfId="1467"/>
    <cellStyle name="Обычный 7 30 2" xfId="6809"/>
    <cellStyle name="Обычный 7 30 2 2" xfId="17489"/>
    <cellStyle name="Обычный 7 30 2 2 2" xfId="49533"/>
    <cellStyle name="Обычный 7 30 2 3" xfId="28170"/>
    <cellStyle name="Обычный 7 30 2 3 2" xfId="60213"/>
    <cellStyle name="Обычный 7 30 2 4" xfId="38853"/>
    <cellStyle name="Обычный 7 30 3" xfId="12149"/>
    <cellStyle name="Обычный 7 30 3 2" xfId="44193"/>
    <cellStyle name="Обычный 7 30 4" xfId="22830"/>
    <cellStyle name="Обычный 7 30 4 2" xfId="54873"/>
    <cellStyle name="Обычный 7 30 5" xfId="33513"/>
    <cellStyle name="Обычный 7 31" xfId="1493"/>
    <cellStyle name="Обычный 7 31 2" xfId="6835"/>
    <cellStyle name="Обычный 7 31 2 2" xfId="17515"/>
    <cellStyle name="Обычный 7 31 2 2 2" xfId="49559"/>
    <cellStyle name="Обычный 7 31 2 3" xfId="28196"/>
    <cellStyle name="Обычный 7 31 2 3 2" xfId="60239"/>
    <cellStyle name="Обычный 7 31 2 4" xfId="38879"/>
    <cellStyle name="Обычный 7 31 3" xfId="12175"/>
    <cellStyle name="Обычный 7 31 3 2" xfId="44219"/>
    <cellStyle name="Обычный 7 31 4" xfId="22856"/>
    <cellStyle name="Обычный 7 31 4 2" xfId="54899"/>
    <cellStyle name="Обычный 7 31 5" xfId="33539"/>
    <cellStyle name="Обычный 7 32" xfId="1519"/>
    <cellStyle name="Обычный 7 32 2" xfId="6861"/>
    <cellStyle name="Обычный 7 32 2 2" xfId="17541"/>
    <cellStyle name="Обычный 7 32 2 2 2" xfId="49585"/>
    <cellStyle name="Обычный 7 32 2 3" xfId="28222"/>
    <cellStyle name="Обычный 7 32 2 3 2" xfId="60265"/>
    <cellStyle name="Обычный 7 32 2 4" xfId="38905"/>
    <cellStyle name="Обычный 7 32 3" xfId="12201"/>
    <cellStyle name="Обычный 7 32 3 2" xfId="44245"/>
    <cellStyle name="Обычный 7 32 4" xfId="22882"/>
    <cellStyle name="Обычный 7 32 4 2" xfId="54925"/>
    <cellStyle name="Обычный 7 32 5" xfId="33565"/>
    <cellStyle name="Обычный 7 33" xfId="1545"/>
    <cellStyle name="Обычный 7 33 2" xfId="6887"/>
    <cellStyle name="Обычный 7 33 2 2" xfId="17567"/>
    <cellStyle name="Обычный 7 33 2 2 2" xfId="49611"/>
    <cellStyle name="Обычный 7 33 2 3" xfId="28248"/>
    <cellStyle name="Обычный 7 33 2 3 2" xfId="60291"/>
    <cellStyle name="Обычный 7 33 2 4" xfId="38931"/>
    <cellStyle name="Обычный 7 33 3" xfId="12227"/>
    <cellStyle name="Обычный 7 33 3 2" xfId="44271"/>
    <cellStyle name="Обычный 7 33 4" xfId="22908"/>
    <cellStyle name="Обычный 7 33 4 2" xfId="54951"/>
    <cellStyle name="Обычный 7 33 5" xfId="33591"/>
    <cellStyle name="Обычный 7 34" xfId="1571"/>
    <cellStyle name="Обычный 7 34 2" xfId="6913"/>
    <cellStyle name="Обычный 7 34 2 2" xfId="17593"/>
    <cellStyle name="Обычный 7 34 2 2 2" xfId="49637"/>
    <cellStyle name="Обычный 7 34 2 3" xfId="28274"/>
    <cellStyle name="Обычный 7 34 2 3 2" xfId="60317"/>
    <cellStyle name="Обычный 7 34 2 4" xfId="38957"/>
    <cellStyle name="Обычный 7 34 3" xfId="12253"/>
    <cellStyle name="Обычный 7 34 3 2" xfId="44297"/>
    <cellStyle name="Обычный 7 34 4" xfId="22934"/>
    <cellStyle name="Обычный 7 34 4 2" xfId="54977"/>
    <cellStyle name="Обычный 7 34 5" xfId="33617"/>
    <cellStyle name="Обычный 7 35" xfId="1597"/>
    <cellStyle name="Обычный 7 35 2" xfId="6939"/>
    <cellStyle name="Обычный 7 35 2 2" xfId="17619"/>
    <cellStyle name="Обычный 7 35 2 2 2" xfId="49663"/>
    <cellStyle name="Обычный 7 35 2 3" xfId="28300"/>
    <cellStyle name="Обычный 7 35 2 3 2" xfId="60343"/>
    <cellStyle name="Обычный 7 35 2 4" xfId="38983"/>
    <cellStyle name="Обычный 7 35 3" xfId="12279"/>
    <cellStyle name="Обычный 7 35 3 2" xfId="44323"/>
    <cellStyle name="Обычный 7 35 4" xfId="22960"/>
    <cellStyle name="Обычный 7 35 4 2" xfId="55003"/>
    <cellStyle name="Обычный 7 35 5" xfId="33643"/>
    <cellStyle name="Обычный 7 36" xfId="1623"/>
    <cellStyle name="Обычный 7 36 2" xfId="6965"/>
    <cellStyle name="Обычный 7 36 2 2" xfId="17645"/>
    <cellStyle name="Обычный 7 36 2 2 2" xfId="49689"/>
    <cellStyle name="Обычный 7 36 2 3" xfId="28326"/>
    <cellStyle name="Обычный 7 36 2 3 2" xfId="60369"/>
    <cellStyle name="Обычный 7 36 2 4" xfId="39009"/>
    <cellStyle name="Обычный 7 36 3" xfId="12305"/>
    <cellStyle name="Обычный 7 36 3 2" xfId="44349"/>
    <cellStyle name="Обычный 7 36 4" xfId="22986"/>
    <cellStyle name="Обычный 7 36 4 2" xfId="55029"/>
    <cellStyle name="Обычный 7 36 5" xfId="33669"/>
    <cellStyle name="Обычный 7 37" xfId="1649"/>
    <cellStyle name="Обычный 7 37 2" xfId="6991"/>
    <cellStyle name="Обычный 7 37 2 2" xfId="17671"/>
    <cellStyle name="Обычный 7 37 2 2 2" xfId="49715"/>
    <cellStyle name="Обычный 7 37 2 3" xfId="28352"/>
    <cellStyle name="Обычный 7 37 2 3 2" xfId="60395"/>
    <cellStyle name="Обычный 7 37 2 4" xfId="39035"/>
    <cellStyle name="Обычный 7 37 3" xfId="12331"/>
    <cellStyle name="Обычный 7 37 3 2" xfId="44375"/>
    <cellStyle name="Обычный 7 37 4" xfId="23012"/>
    <cellStyle name="Обычный 7 37 4 2" xfId="55055"/>
    <cellStyle name="Обычный 7 37 5" xfId="33695"/>
    <cellStyle name="Обычный 7 38" xfId="1675"/>
    <cellStyle name="Обычный 7 38 2" xfId="7017"/>
    <cellStyle name="Обычный 7 38 2 2" xfId="17697"/>
    <cellStyle name="Обычный 7 38 2 2 2" xfId="49741"/>
    <cellStyle name="Обычный 7 38 2 3" xfId="28378"/>
    <cellStyle name="Обычный 7 38 2 3 2" xfId="60421"/>
    <cellStyle name="Обычный 7 38 2 4" xfId="39061"/>
    <cellStyle name="Обычный 7 38 3" xfId="12357"/>
    <cellStyle name="Обычный 7 38 3 2" xfId="44401"/>
    <cellStyle name="Обычный 7 38 4" xfId="23038"/>
    <cellStyle name="Обычный 7 38 4 2" xfId="55081"/>
    <cellStyle name="Обычный 7 38 5" xfId="33721"/>
    <cellStyle name="Обычный 7 39" xfId="1701"/>
    <cellStyle name="Обычный 7 39 2" xfId="7043"/>
    <cellStyle name="Обычный 7 39 2 2" xfId="17723"/>
    <cellStyle name="Обычный 7 39 2 2 2" xfId="49767"/>
    <cellStyle name="Обычный 7 39 2 3" xfId="28404"/>
    <cellStyle name="Обычный 7 39 2 3 2" xfId="60447"/>
    <cellStyle name="Обычный 7 39 2 4" xfId="39087"/>
    <cellStyle name="Обычный 7 39 3" xfId="12383"/>
    <cellStyle name="Обычный 7 39 3 2" xfId="44427"/>
    <cellStyle name="Обычный 7 39 4" xfId="23064"/>
    <cellStyle name="Обычный 7 39 4 2" xfId="55107"/>
    <cellStyle name="Обычный 7 39 5" xfId="33747"/>
    <cellStyle name="Обычный 7 4" xfId="436"/>
    <cellStyle name="Обычный 7 4 2" xfId="904"/>
    <cellStyle name="Обычный 7 4 2 2" xfId="6247"/>
    <cellStyle name="Обычный 7 4 2 2 2" xfId="16927"/>
    <cellStyle name="Обычный 7 4 2 2 2 2" xfId="48971"/>
    <cellStyle name="Обычный 7 4 2 2 3" xfId="27608"/>
    <cellStyle name="Обычный 7 4 2 2 3 2" xfId="59651"/>
    <cellStyle name="Обычный 7 4 2 2 4" xfId="38291"/>
    <cellStyle name="Обычный 7 4 2 3" xfId="11587"/>
    <cellStyle name="Обычный 7 4 2 3 2" xfId="43631"/>
    <cellStyle name="Обычный 7 4 2 4" xfId="22268"/>
    <cellStyle name="Обычный 7 4 2 4 2" xfId="54311"/>
    <cellStyle name="Обычный 7 4 2 5" xfId="32951"/>
    <cellStyle name="Обычный 7 4 3" xfId="5780"/>
    <cellStyle name="Обычный 7 4 3 2" xfId="16460"/>
    <cellStyle name="Обычный 7 4 3 2 2" xfId="48504"/>
    <cellStyle name="Обычный 7 4 3 3" xfId="27141"/>
    <cellStyle name="Обычный 7 4 3 3 2" xfId="59184"/>
    <cellStyle name="Обычный 7 4 3 4" xfId="37824"/>
    <cellStyle name="Обычный 7 4 4" xfId="11120"/>
    <cellStyle name="Обычный 7 4 4 2" xfId="43164"/>
    <cellStyle name="Обычный 7 4 5" xfId="21801"/>
    <cellStyle name="Обычный 7 4 5 2" xfId="53844"/>
    <cellStyle name="Обычный 7 4 6" xfId="32484"/>
    <cellStyle name="Обычный 7 40" xfId="1727"/>
    <cellStyle name="Обычный 7 40 2" xfId="7069"/>
    <cellStyle name="Обычный 7 40 2 2" xfId="17749"/>
    <cellStyle name="Обычный 7 40 2 2 2" xfId="49793"/>
    <cellStyle name="Обычный 7 40 2 3" xfId="28430"/>
    <cellStyle name="Обычный 7 40 2 3 2" xfId="60473"/>
    <cellStyle name="Обычный 7 40 2 4" xfId="39113"/>
    <cellStyle name="Обычный 7 40 3" xfId="12409"/>
    <cellStyle name="Обычный 7 40 3 2" xfId="44453"/>
    <cellStyle name="Обычный 7 40 4" xfId="23090"/>
    <cellStyle name="Обычный 7 40 4 2" xfId="55133"/>
    <cellStyle name="Обычный 7 40 5" xfId="33773"/>
    <cellStyle name="Обычный 7 41" xfId="1753"/>
    <cellStyle name="Обычный 7 41 2" xfId="7095"/>
    <cellStyle name="Обычный 7 41 2 2" xfId="17775"/>
    <cellStyle name="Обычный 7 41 2 2 2" xfId="49819"/>
    <cellStyle name="Обычный 7 41 2 3" xfId="28456"/>
    <cellStyle name="Обычный 7 41 2 3 2" xfId="60499"/>
    <cellStyle name="Обычный 7 41 2 4" xfId="39139"/>
    <cellStyle name="Обычный 7 41 3" xfId="12435"/>
    <cellStyle name="Обычный 7 41 3 2" xfId="44479"/>
    <cellStyle name="Обычный 7 41 4" xfId="23116"/>
    <cellStyle name="Обычный 7 41 4 2" xfId="55159"/>
    <cellStyle name="Обычный 7 41 5" xfId="33799"/>
    <cellStyle name="Обычный 7 42" xfId="1779"/>
    <cellStyle name="Обычный 7 42 2" xfId="7121"/>
    <cellStyle name="Обычный 7 42 2 2" xfId="17801"/>
    <cellStyle name="Обычный 7 42 2 2 2" xfId="49845"/>
    <cellStyle name="Обычный 7 42 2 3" xfId="28482"/>
    <cellStyle name="Обычный 7 42 2 3 2" xfId="60525"/>
    <cellStyle name="Обычный 7 42 2 4" xfId="39165"/>
    <cellStyle name="Обычный 7 42 3" xfId="12461"/>
    <cellStyle name="Обычный 7 42 3 2" xfId="44505"/>
    <cellStyle name="Обычный 7 42 4" xfId="23142"/>
    <cellStyle name="Обычный 7 42 4 2" xfId="55185"/>
    <cellStyle name="Обычный 7 42 5" xfId="33825"/>
    <cellStyle name="Обычный 7 43" xfId="1805"/>
    <cellStyle name="Обычный 7 43 2" xfId="7147"/>
    <cellStyle name="Обычный 7 43 2 2" xfId="17827"/>
    <cellStyle name="Обычный 7 43 2 2 2" xfId="49871"/>
    <cellStyle name="Обычный 7 43 2 3" xfId="28508"/>
    <cellStyle name="Обычный 7 43 2 3 2" xfId="60551"/>
    <cellStyle name="Обычный 7 43 2 4" xfId="39191"/>
    <cellStyle name="Обычный 7 43 3" xfId="12487"/>
    <cellStyle name="Обычный 7 43 3 2" xfId="44531"/>
    <cellStyle name="Обычный 7 43 4" xfId="23168"/>
    <cellStyle name="Обычный 7 43 4 2" xfId="55211"/>
    <cellStyle name="Обычный 7 43 5" xfId="33851"/>
    <cellStyle name="Обычный 7 44" xfId="1831"/>
    <cellStyle name="Обычный 7 44 2" xfId="7173"/>
    <cellStyle name="Обычный 7 44 2 2" xfId="17853"/>
    <cellStyle name="Обычный 7 44 2 2 2" xfId="49897"/>
    <cellStyle name="Обычный 7 44 2 3" xfId="28534"/>
    <cellStyle name="Обычный 7 44 2 3 2" xfId="60577"/>
    <cellStyle name="Обычный 7 44 2 4" xfId="39217"/>
    <cellStyle name="Обычный 7 44 3" xfId="12513"/>
    <cellStyle name="Обычный 7 44 3 2" xfId="44557"/>
    <cellStyle name="Обычный 7 44 4" xfId="23194"/>
    <cellStyle name="Обычный 7 44 4 2" xfId="55237"/>
    <cellStyle name="Обычный 7 44 5" xfId="33877"/>
    <cellStyle name="Обычный 7 45" xfId="1857"/>
    <cellStyle name="Обычный 7 45 2" xfId="7199"/>
    <cellStyle name="Обычный 7 45 2 2" xfId="17879"/>
    <cellStyle name="Обычный 7 45 2 2 2" xfId="49923"/>
    <cellStyle name="Обычный 7 45 2 3" xfId="28560"/>
    <cellStyle name="Обычный 7 45 2 3 2" xfId="60603"/>
    <cellStyle name="Обычный 7 45 2 4" xfId="39243"/>
    <cellStyle name="Обычный 7 45 3" xfId="12539"/>
    <cellStyle name="Обычный 7 45 3 2" xfId="44583"/>
    <cellStyle name="Обычный 7 45 4" xfId="23220"/>
    <cellStyle name="Обычный 7 45 4 2" xfId="55263"/>
    <cellStyle name="Обычный 7 45 5" xfId="33903"/>
    <cellStyle name="Обычный 7 46" xfId="1883"/>
    <cellStyle name="Обычный 7 46 2" xfId="7225"/>
    <cellStyle name="Обычный 7 46 2 2" xfId="17905"/>
    <cellStyle name="Обычный 7 46 2 2 2" xfId="49949"/>
    <cellStyle name="Обычный 7 46 2 3" xfId="28586"/>
    <cellStyle name="Обычный 7 46 2 3 2" xfId="60629"/>
    <cellStyle name="Обычный 7 46 2 4" xfId="39269"/>
    <cellStyle name="Обычный 7 46 3" xfId="12565"/>
    <cellStyle name="Обычный 7 46 3 2" xfId="44609"/>
    <cellStyle name="Обычный 7 46 4" xfId="23246"/>
    <cellStyle name="Обычный 7 46 4 2" xfId="55289"/>
    <cellStyle name="Обычный 7 46 5" xfId="33929"/>
    <cellStyle name="Обычный 7 47" xfId="1909"/>
    <cellStyle name="Обычный 7 47 2" xfId="7251"/>
    <cellStyle name="Обычный 7 47 2 2" xfId="17931"/>
    <cellStyle name="Обычный 7 47 2 2 2" xfId="49975"/>
    <cellStyle name="Обычный 7 47 2 3" xfId="28612"/>
    <cellStyle name="Обычный 7 47 2 3 2" xfId="60655"/>
    <cellStyle name="Обычный 7 47 2 4" xfId="39295"/>
    <cellStyle name="Обычный 7 47 3" xfId="12591"/>
    <cellStyle name="Обычный 7 47 3 2" xfId="44635"/>
    <cellStyle name="Обычный 7 47 4" xfId="23272"/>
    <cellStyle name="Обычный 7 47 4 2" xfId="55315"/>
    <cellStyle name="Обычный 7 47 5" xfId="33955"/>
    <cellStyle name="Обычный 7 48" xfId="1937"/>
    <cellStyle name="Обычный 7 48 2" xfId="7279"/>
    <cellStyle name="Обычный 7 48 2 2" xfId="17959"/>
    <cellStyle name="Обычный 7 48 2 2 2" xfId="50003"/>
    <cellStyle name="Обычный 7 48 2 3" xfId="28640"/>
    <cellStyle name="Обычный 7 48 2 3 2" xfId="60683"/>
    <cellStyle name="Обычный 7 48 2 4" xfId="39323"/>
    <cellStyle name="Обычный 7 48 3" xfId="12619"/>
    <cellStyle name="Обычный 7 48 3 2" xfId="44663"/>
    <cellStyle name="Обычный 7 48 4" xfId="23300"/>
    <cellStyle name="Обычный 7 48 4 2" xfId="55343"/>
    <cellStyle name="Обычный 7 48 5" xfId="33983"/>
    <cellStyle name="Обычный 7 49" xfId="1965"/>
    <cellStyle name="Обычный 7 49 2" xfId="7307"/>
    <cellStyle name="Обычный 7 49 2 2" xfId="17987"/>
    <cellStyle name="Обычный 7 49 2 2 2" xfId="50031"/>
    <cellStyle name="Обычный 7 49 2 3" xfId="28668"/>
    <cellStyle name="Обычный 7 49 2 3 2" xfId="60711"/>
    <cellStyle name="Обычный 7 49 2 4" xfId="39351"/>
    <cellStyle name="Обычный 7 49 3" xfId="12647"/>
    <cellStyle name="Обычный 7 49 3 2" xfId="44691"/>
    <cellStyle name="Обычный 7 49 4" xfId="23328"/>
    <cellStyle name="Обычный 7 49 4 2" xfId="55371"/>
    <cellStyle name="Обычный 7 49 5" xfId="34011"/>
    <cellStyle name="Обычный 7 5" xfId="448"/>
    <cellStyle name="Обычный 7 5 2" xfId="916"/>
    <cellStyle name="Обычный 7 5 2 2" xfId="6259"/>
    <cellStyle name="Обычный 7 5 2 2 2" xfId="16939"/>
    <cellStyle name="Обычный 7 5 2 2 2 2" xfId="48983"/>
    <cellStyle name="Обычный 7 5 2 2 3" xfId="27620"/>
    <cellStyle name="Обычный 7 5 2 2 3 2" xfId="59663"/>
    <cellStyle name="Обычный 7 5 2 2 4" xfId="38303"/>
    <cellStyle name="Обычный 7 5 2 3" xfId="11599"/>
    <cellStyle name="Обычный 7 5 2 3 2" xfId="43643"/>
    <cellStyle name="Обычный 7 5 2 4" xfId="22280"/>
    <cellStyle name="Обычный 7 5 2 4 2" xfId="54323"/>
    <cellStyle name="Обычный 7 5 2 5" xfId="32963"/>
    <cellStyle name="Обычный 7 5 3" xfId="5792"/>
    <cellStyle name="Обычный 7 5 3 2" xfId="16472"/>
    <cellStyle name="Обычный 7 5 3 2 2" xfId="48516"/>
    <cellStyle name="Обычный 7 5 3 3" xfId="27153"/>
    <cellStyle name="Обычный 7 5 3 3 2" xfId="59196"/>
    <cellStyle name="Обычный 7 5 3 4" xfId="37836"/>
    <cellStyle name="Обычный 7 5 4" xfId="11132"/>
    <cellStyle name="Обычный 7 5 4 2" xfId="43176"/>
    <cellStyle name="Обычный 7 5 5" xfId="21813"/>
    <cellStyle name="Обычный 7 5 5 2" xfId="53856"/>
    <cellStyle name="Обычный 7 5 6" xfId="32496"/>
    <cellStyle name="Обычный 7 50" xfId="1993"/>
    <cellStyle name="Обычный 7 50 2" xfId="7335"/>
    <cellStyle name="Обычный 7 50 2 2" xfId="18015"/>
    <cellStyle name="Обычный 7 50 2 2 2" xfId="50059"/>
    <cellStyle name="Обычный 7 50 2 3" xfId="28696"/>
    <cellStyle name="Обычный 7 50 2 3 2" xfId="60739"/>
    <cellStyle name="Обычный 7 50 2 4" xfId="39379"/>
    <cellStyle name="Обычный 7 50 3" xfId="12675"/>
    <cellStyle name="Обычный 7 50 3 2" xfId="44719"/>
    <cellStyle name="Обычный 7 50 4" xfId="23356"/>
    <cellStyle name="Обычный 7 50 4 2" xfId="55399"/>
    <cellStyle name="Обычный 7 50 5" xfId="34039"/>
    <cellStyle name="Обычный 7 51" xfId="2021"/>
    <cellStyle name="Обычный 7 51 2" xfId="7363"/>
    <cellStyle name="Обычный 7 51 2 2" xfId="18043"/>
    <cellStyle name="Обычный 7 51 2 2 2" xfId="50087"/>
    <cellStyle name="Обычный 7 51 2 3" xfId="28724"/>
    <cellStyle name="Обычный 7 51 2 3 2" xfId="60767"/>
    <cellStyle name="Обычный 7 51 2 4" xfId="39407"/>
    <cellStyle name="Обычный 7 51 3" xfId="12703"/>
    <cellStyle name="Обычный 7 51 3 2" xfId="44747"/>
    <cellStyle name="Обычный 7 51 4" xfId="23384"/>
    <cellStyle name="Обычный 7 51 4 2" xfId="55427"/>
    <cellStyle name="Обычный 7 51 5" xfId="34067"/>
    <cellStyle name="Обычный 7 52" xfId="2049"/>
    <cellStyle name="Обычный 7 52 2" xfId="7391"/>
    <cellStyle name="Обычный 7 52 2 2" xfId="18071"/>
    <cellStyle name="Обычный 7 52 2 2 2" xfId="50115"/>
    <cellStyle name="Обычный 7 52 2 3" xfId="28752"/>
    <cellStyle name="Обычный 7 52 2 3 2" xfId="60795"/>
    <cellStyle name="Обычный 7 52 2 4" xfId="39435"/>
    <cellStyle name="Обычный 7 52 3" xfId="12731"/>
    <cellStyle name="Обычный 7 52 3 2" xfId="44775"/>
    <cellStyle name="Обычный 7 52 4" xfId="23412"/>
    <cellStyle name="Обычный 7 52 4 2" xfId="55455"/>
    <cellStyle name="Обычный 7 52 5" xfId="34095"/>
    <cellStyle name="Обычный 7 53" xfId="2077"/>
    <cellStyle name="Обычный 7 53 2" xfId="7419"/>
    <cellStyle name="Обычный 7 53 2 2" xfId="18099"/>
    <cellStyle name="Обычный 7 53 2 2 2" xfId="50143"/>
    <cellStyle name="Обычный 7 53 2 3" xfId="28780"/>
    <cellStyle name="Обычный 7 53 2 3 2" xfId="60823"/>
    <cellStyle name="Обычный 7 53 2 4" xfId="39463"/>
    <cellStyle name="Обычный 7 53 3" xfId="12759"/>
    <cellStyle name="Обычный 7 53 3 2" xfId="44803"/>
    <cellStyle name="Обычный 7 53 4" xfId="23440"/>
    <cellStyle name="Обычный 7 53 4 2" xfId="55483"/>
    <cellStyle name="Обычный 7 53 5" xfId="34123"/>
    <cellStyle name="Обычный 7 54" xfId="2105"/>
    <cellStyle name="Обычный 7 54 2" xfId="7447"/>
    <cellStyle name="Обычный 7 54 2 2" xfId="18127"/>
    <cellStyle name="Обычный 7 54 2 2 2" xfId="50171"/>
    <cellStyle name="Обычный 7 54 2 3" xfId="28808"/>
    <cellStyle name="Обычный 7 54 2 3 2" xfId="60851"/>
    <cellStyle name="Обычный 7 54 2 4" xfId="39491"/>
    <cellStyle name="Обычный 7 54 3" xfId="12787"/>
    <cellStyle name="Обычный 7 54 3 2" xfId="44831"/>
    <cellStyle name="Обычный 7 54 4" xfId="23468"/>
    <cellStyle name="Обычный 7 54 4 2" xfId="55511"/>
    <cellStyle name="Обычный 7 54 5" xfId="34151"/>
    <cellStyle name="Обычный 7 55" xfId="2135"/>
    <cellStyle name="Обычный 7 55 2" xfId="7477"/>
    <cellStyle name="Обычный 7 55 2 2" xfId="18157"/>
    <cellStyle name="Обычный 7 55 2 2 2" xfId="50201"/>
    <cellStyle name="Обычный 7 55 2 3" xfId="28838"/>
    <cellStyle name="Обычный 7 55 2 3 2" xfId="60881"/>
    <cellStyle name="Обычный 7 55 2 4" xfId="39521"/>
    <cellStyle name="Обычный 7 55 3" xfId="12817"/>
    <cellStyle name="Обычный 7 55 3 2" xfId="44861"/>
    <cellStyle name="Обычный 7 55 4" xfId="23498"/>
    <cellStyle name="Обычный 7 55 4 2" xfId="55541"/>
    <cellStyle name="Обычный 7 55 5" xfId="34181"/>
    <cellStyle name="Обычный 7 56" xfId="2165"/>
    <cellStyle name="Обычный 7 56 2" xfId="7507"/>
    <cellStyle name="Обычный 7 56 2 2" xfId="18187"/>
    <cellStyle name="Обычный 7 56 2 2 2" xfId="50231"/>
    <cellStyle name="Обычный 7 56 2 3" xfId="28868"/>
    <cellStyle name="Обычный 7 56 2 3 2" xfId="60911"/>
    <cellStyle name="Обычный 7 56 2 4" xfId="39551"/>
    <cellStyle name="Обычный 7 56 3" xfId="12847"/>
    <cellStyle name="Обычный 7 56 3 2" xfId="44891"/>
    <cellStyle name="Обычный 7 56 4" xfId="23528"/>
    <cellStyle name="Обычный 7 56 4 2" xfId="55571"/>
    <cellStyle name="Обычный 7 56 5" xfId="34211"/>
    <cellStyle name="Обычный 7 57" xfId="2195"/>
    <cellStyle name="Обычный 7 57 2" xfId="7537"/>
    <cellStyle name="Обычный 7 57 2 2" xfId="18217"/>
    <cellStyle name="Обычный 7 57 2 2 2" xfId="50261"/>
    <cellStyle name="Обычный 7 57 2 3" xfId="28898"/>
    <cellStyle name="Обычный 7 57 2 3 2" xfId="60941"/>
    <cellStyle name="Обычный 7 57 2 4" xfId="39581"/>
    <cellStyle name="Обычный 7 57 3" xfId="12877"/>
    <cellStyle name="Обычный 7 57 3 2" xfId="44921"/>
    <cellStyle name="Обычный 7 57 4" xfId="23558"/>
    <cellStyle name="Обычный 7 57 4 2" xfId="55601"/>
    <cellStyle name="Обычный 7 57 5" xfId="34241"/>
    <cellStyle name="Обычный 7 58" xfId="2225"/>
    <cellStyle name="Обычный 7 58 2" xfId="7567"/>
    <cellStyle name="Обычный 7 58 2 2" xfId="18247"/>
    <cellStyle name="Обычный 7 58 2 2 2" xfId="50291"/>
    <cellStyle name="Обычный 7 58 2 3" xfId="28928"/>
    <cellStyle name="Обычный 7 58 2 3 2" xfId="60971"/>
    <cellStyle name="Обычный 7 58 2 4" xfId="39611"/>
    <cellStyle name="Обычный 7 58 3" xfId="12907"/>
    <cellStyle name="Обычный 7 58 3 2" xfId="44951"/>
    <cellStyle name="Обычный 7 58 4" xfId="23588"/>
    <cellStyle name="Обычный 7 58 4 2" xfId="55631"/>
    <cellStyle name="Обычный 7 58 5" xfId="34271"/>
    <cellStyle name="Обычный 7 59" xfId="2255"/>
    <cellStyle name="Обычный 7 59 2" xfId="7597"/>
    <cellStyle name="Обычный 7 59 2 2" xfId="18277"/>
    <cellStyle name="Обычный 7 59 2 2 2" xfId="50321"/>
    <cellStyle name="Обычный 7 59 2 3" xfId="28958"/>
    <cellStyle name="Обычный 7 59 2 3 2" xfId="61001"/>
    <cellStyle name="Обычный 7 59 2 4" xfId="39641"/>
    <cellStyle name="Обычный 7 59 3" xfId="12937"/>
    <cellStyle name="Обычный 7 59 3 2" xfId="44981"/>
    <cellStyle name="Обычный 7 59 4" xfId="23618"/>
    <cellStyle name="Обычный 7 59 4 2" xfId="55661"/>
    <cellStyle name="Обычный 7 59 5" xfId="34301"/>
    <cellStyle name="Обычный 7 6" xfId="460"/>
    <cellStyle name="Обычный 7 6 2" xfId="928"/>
    <cellStyle name="Обычный 7 6 2 2" xfId="6271"/>
    <cellStyle name="Обычный 7 6 2 2 2" xfId="16951"/>
    <cellStyle name="Обычный 7 6 2 2 2 2" xfId="48995"/>
    <cellStyle name="Обычный 7 6 2 2 3" xfId="27632"/>
    <cellStyle name="Обычный 7 6 2 2 3 2" xfId="59675"/>
    <cellStyle name="Обычный 7 6 2 2 4" xfId="38315"/>
    <cellStyle name="Обычный 7 6 2 3" xfId="11611"/>
    <cellStyle name="Обычный 7 6 2 3 2" xfId="43655"/>
    <cellStyle name="Обычный 7 6 2 4" xfId="22292"/>
    <cellStyle name="Обычный 7 6 2 4 2" xfId="54335"/>
    <cellStyle name="Обычный 7 6 2 5" xfId="32975"/>
    <cellStyle name="Обычный 7 6 3" xfId="5804"/>
    <cellStyle name="Обычный 7 6 3 2" xfId="16484"/>
    <cellStyle name="Обычный 7 6 3 2 2" xfId="48528"/>
    <cellStyle name="Обычный 7 6 3 3" xfId="27165"/>
    <cellStyle name="Обычный 7 6 3 3 2" xfId="59208"/>
    <cellStyle name="Обычный 7 6 3 4" xfId="37848"/>
    <cellStyle name="Обычный 7 6 4" xfId="11144"/>
    <cellStyle name="Обычный 7 6 4 2" xfId="43188"/>
    <cellStyle name="Обычный 7 6 5" xfId="21825"/>
    <cellStyle name="Обычный 7 6 5 2" xfId="53868"/>
    <cellStyle name="Обычный 7 6 6" xfId="32508"/>
    <cellStyle name="Обычный 7 60" xfId="2285"/>
    <cellStyle name="Обычный 7 60 2" xfId="7627"/>
    <cellStyle name="Обычный 7 60 2 2" xfId="18307"/>
    <cellStyle name="Обычный 7 60 2 2 2" xfId="50351"/>
    <cellStyle name="Обычный 7 60 2 3" xfId="28988"/>
    <cellStyle name="Обычный 7 60 2 3 2" xfId="61031"/>
    <cellStyle name="Обычный 7 60 2 4" xfId="39671"/>
    <cellStyle name="Обычный 7 60 3" xfId="12967"/>
    <cellStyle name="Обычный 7 60 3 2" xfId="45011"/>
    <cellStyle name="Обычный 7 60 4" xfId="23648"/>
    <cellStyle name="Обычный 7 60 4 2" xfId="55691"/>
    <cellStyle name="Обычный 7 60 5" xfId="34331"/>
    <cellStyle name="Обычный 7 61" xfId="2315"/>
    <cellStyle name="Обычный 7 61 2" xfId="7657"/>
    <cellStyle name="Обычный 7 61 2 2" xfId="18337"/>
    <cellStyle name="Обычный 7 61 2 2 2" xfId="50381"/>
    <cellStyle name="Обычный 7 61 2 3" xfId="29018"/>
    <cellStyle name="Обычный 7 61 2 3 2" xfId="61061"/>
    <cellStyle name="Обычный 7 61 2 4" xfId="39701"/>
    <cellStyle name="Обычный 7 61 3" xfId="12997"/>
    <cellStyle name="Обычный 7 61 3 2" xfId="45041"/>
    <cellStyle name="Обычный 7 61 4" xfId="23678"/>
    <cellStyle name="Обычный 7 61 4 2" xfId="55721"/>
    <cellStyle name="Обычный 7 61 5" xfId="34361"/>
    <cellStyle name="Обычный 7 62" xfId="2345"/>
    <cellStyle name="Обычный 7 62 2" xfId="7687"/>
    <cellStyle name="Обычный 7 62 2 2" xfId="18367"/>
    <cellStyle name="Обычный 7 62 2 2 2" xfId="50411"/>
    <cellStyle name="Обычный 7 62 2 3" xfId="29048"/>
    <cellStyle name="Обычный 7 62 2 3 2" xfId="61091"/>
    <cellStyle name="Обычный 7 62 2 4" xfId="39731"/>
    <cellStyle name="Обычный 7 62 3" xfId="13027"/>
    <cellStyle name="Обычный 7 62 3 2" xfId="45071"/>
    <cellStyle name="Обычный 7 62 4" xfId="23708"/>
    <cellStyle name="Обычный 7 62 4 2" xfId="55751"/>
    <cellStyle name="Обычный 7 62 5" xfId="34391"/>
    <cellStyle name="Обычный 7 63" xfId="2375"/>
    <cellStyle name="Обычный 7 63 2" xfId="7717"/>
    <cellStyle name="Обычный 7 63 2 2" xfId="18397"/>
    <cellStyle name="Обычный 7 63 2 2 2" xfId="50441"/>
    <cellStyle name="Обычный 7 63 2 3" xfId="29078"/>
    <cellStyle name="Обычный 7 63 2 3 2" xfId="61121"/>
    <cellStyle name="Обычный 7 63 2 4" xfId="39761"/>
    <cellStyle name="Обычный 7 63 3" xfId="13057"/>
    <cellStyle name="Обычный 7 63 3 2" xfId="45101"/>
    <cellStyle name="Обычный 7 63 4" xfId="23738"/>
    <cellStyle name="Обычный 7 63 4 2" xfId="55781"/>
    <cellStyle name="Обычный 7 63 5" xfId="34421"/>
    <cellStyle name="Обычный 7 64" xfId="2405"/>
    <cellStyle name="Обычный 7 64 2" xfId="7747"/>
    <cellStyle name="Обычный 7 64 2 2" xfId="18427"/>
    <cellStyle name="Обычный 7 64 2 2 2" xfId="50471"/>
    <cellStyle name="Обычный 7 64 2 3" xfId="29108"/>
    <cellStyle name="Обычный 7 64 2 3 2" xfId="61151"/>
    <cellStyle name="Обычный 7 64 2 4" xfId="39791"/>
    <cellStyle name="Обычный 7 64 3" xfId="13087"/>
    <cellStyle name="Обычный 7 64 3 2" xfId="45131"/>
    <cellStyle name="Обычный 7 64 4" xfId="23768"/>
    <cellStyle name="Обычный 7 64 4 2" xfId="55811"/>
    <cellStyle name="Обычный 7 64 5" xfId="34451"/>
    <cellStyle name="Обычный 7 65" xfId="2435"/>
    <cellStyle name="Обычный 7 65 2" xfId="7777"/>
    <cellStyle name="Обычный 7 65 2 2" xfId="18457"/>
    <cellStyle name="Обычный 7 65 2 2 2" xfId="50501"/>
    <cellStyle name="Обычный 7 65 2 3" xfId="29138"/>
    <cellStyle name="Обычный 7 65 2 3 2" xfId="61181"/>
    <cellStyle name="Обычный 7 65 2 4" xfId="39821"/>
    <cellStyle name="Обычный 7 65 3" xfId="13117"/>
    <cellStyle name="Обычный 7 65 3 2" xfId="45161"/>
    <cellStyle name="Обычный 7 65 4" xfId="23798"/>
    <cellStyle name="Обычный 7 65 4 2" xfId="55841"/>
    <cellStyle name="Обычный 7 65 5" xfId="34481"/>
    <cellStyle name="Обычный 7 66" xfId="2465"/>
    <cellStyle name="Обычный 7 66 2" xfId="7807"/>
    <cellStyle name="Обычный 7 66 2 2" xfId="18487"/>
    <cellStyle name="Обычный 7 66 2 2 2" xfId="50531"/>
    <cellStyle name="Обычный 7 66 2 3" xfId="29168"/>
    <cellStyle name="Обычный 7 66 2 3 2" xfId="61211"/>
    <cellStyle name="Обычный 7 66 2 4" xfId="39851"/>
    <cellStyle name="Обычный 7 66 3" xfId="13147"/>
    <cellStyle name="Обычный 7 66 3 2" xfId="45191"/>
    <cellStyle name="Обычный 7 66 4" xfId="23828"/>
    <cellStyle name="Обычный 7 66 4 2" xfId="55871"/>
    <cellStyle name="Обычный 7 66 5" xfId="34511"/>
    <cellStyle name="Обычный 7 67" xfId="2497"/>
    <cellStyle name="Обычный 7 67 2" xfId="7839"/>
    <cellStyle name="Обычный 7 67 2 2" xfId="18519"/>
    <cellStyle name="Обычный 7 67 2 2 2" xfId="50563"/>
    <cellStyle name="Обычный 7 67 2 3" xfId="29200"/>
    <cellStyle name="Обычный 7 67 2 3 2" xfId="61243"/>
    <cellStyle name="Обычный 7 67 2 4" xfId="39883"/>
    <cellStyle name="Обычный 7 67 3" xfId="13179"/>
    <cellStyle name="Обычный 7 67 3 2" xfId="45223"/>
    <cellStyle name="Обычный 7 67 4" xfId="23860"/>
    <cellStyle name="Обычный 7 67 4 2" xfId="55903"/>
    <cellStyle name="Обычный 7 67 5" xfId="34543"/>
    <cellStyle name="Обычный 7 68" xfId="2531"/>
    <cellStyle name="Обычный 7 68 2" xfId="7873"/>
    <cellStyle name="Обычный 7 68 2 2" xfId="18553"/>
    <cellStyle name="Обычный 7 68 2 2 2" xfId="50597"/>
    <cellStyle name="Обычный 7 68 2 3" xfId="29234"/>
    <cellStyle name="Обычный 7 68 2 3 2" xfId="61277"/>
    <cellStyle name="Обычный 7 68 2 4" xfId="39917"/>
    <cellStyle name="Обычный 7 68 3" xfId="13213"/>
    <cellStyle name="Обычный 7 68 3 2" xfId="45257"/>
    <cellStyle name="Обычный 7 68 4" xfId="23894"/>
    <cellStyle name="Обычный 7 68 4 2" xfId="55937"/>
    <cellStyle name="Обычный 7 68 5" xfId="34577"/>
    <cellStyle name="Обычный 7 69" xfId="2563"/>
    <cellStyle name="Обычный 7 69 2" xfId="7905"/>
    <cellStyle name="Обычный 7 69 2 2" xfId="18585"/>
    <cellStyle name="Обычный 7 69 2 2 2" xfId="50629"/>
    <cellStyle name="Обычный 7 69 2 3" xfId="29266"/>
    <cellStyle name="Обычный 7 69 2 3 2" xfId="61309"/>
    <cellStyle name="Обычный 7 69 2 4" xfId="39949"/>
    <cellStyle name="Обычный 7 69 3" xfId="13245"/>
    <cellStyle name="Обычный 7 69 3 2" xfId="45289"/>
    <cellStyle name="Обычный 7 69 4" xfId="23926"/>
    <cellStyle name="Обычный 7 69 4 2" xfId="55969"/>
    <cellStyle name="Обычный 7 69 5" xfId="34609"/>
    <cellStyle name="Обычный 7 7" xfId="472"/>
    <cellStyle name="Обычный 7 7 2" xfId="940"/>
    <cellStyle name="Обычный 7 7 2 2" xfId="6283"/>
    <cellStyle name="Обычный 7 7 2 2 2" xfId="16963"/>
    <cellStyle name="Обычный 7 7 2 2 2 2" xfId="49007"/>
    <cellStyle name="Обычный 7 7 2 2 3" xfId="27644"/>
    <cellStyle name="Обычный 7 7 2 2 3 2" xfId="59687"/>
    <cellStyle name="Обычный 7 7 2 2 4" xfId="38327"/>
    <cellStyle name="Обычный 7 7 2 3" xfId="11623"/>
    <cellStyle name="Обычный 7 7 2 3 2" xfId="43667"/>
    <cellStyle name="Обычный 7 7 2 4" xfId="22304"/>
    <cellStyle name="Обычный 7 7 2 4 2" xfId="54347"/>
    <cellStyle name="Обычный 7 7 2 5" xfId="32987"/>
    <cellStyle name="Обычный 7 7 3" xfId="5816"/>
    <cellStyle name="Обычный 7 7 3 2" xfId="16496"/>
    <cellStyle name="Обычный 7 7 3 2 2" xfId="48540"/>
    <cellStyle name="Обычный 7 7 3 3" xfId="27177"/>
    <cellStyle name="Обычный 7 7 3 3 2" xfId="59220"/>
    <cellStyle name="Обычный 7 7 3 4" xfId="37860"/>
    <cellStyle name="Обычный 7 7 4" xfId="11156"/>
    <cellStyle name="Обычный 7 7 4 2" xfId="43200"/>
    <cellStyle name="Обычный 7 7 5" xfId="21837"/>
    <cellStyle name="Обычный 7 7 5 2" xfId="53880"/>
    <cellStyle name="Обычный 7 7 6" xfId="32520"/>
    <cellStyle name="Обычный 7 70" xfId="2595"/>
    <cellStyle name="Обычный 7 70 2" xfId="7937"/>
    <cellStyle name="Обычный 7 70 2 2" xfId="18617"/>
    <cellStyle name="Обычный 7 70 2 2 2" xfId="50661"/>
    <cellStyle name="Обычный 7 70 2 3" xfId="29298"/>
    <cellStyle name="Обычный 7 70 2 3 2" xfId="61341"/>
    <cellStyle name="Обычный 7 70 2 4" xfId="39981"/>
    <cellStyle name="Обычный 7 70 3" xfId="13277"/>
    <cellStyle name="Обычный 7 70 3 2" xfId="45321"/>
    <cellStyle name="Обычный 7 70 4" xfId="23958"/>
    <cellStyle name="Обычный 7 70 4 2" xfId="56001"/>
    <cellStyle name="Обычный 7 70 5" xfId="34641"/>
    <cellStyle name="Обычный 7 71" xfId="2627"/>
    <cellStyle name="Обычный 7 71 2" xfId="7969"/>
    <cellStyle name="Обычный 7 71 2 2" xfId="18649"/>
    <cellStyle name="Обычный 7 71 2 2 2" xfId="50693"/>
    <cellStyle name="Обычный 7 71 2 3" xfId="29330"/>
    <cellStyle name="Обычный 7 71 2 3 2" xfId="61373"/>
    <cellStyle name="Обычный 7 71 2 4" xfId="40013"/>
    <cellStyle name="Обычный 7 71 3" xfId="13309"/>
    <cellStyle name="Обычный 7 71 3 2" xfId="45353"/>
    <cellStyle name="Обычный 7 71 4" xfId="23990"/>
    <cellStyle name="Обычный 7 71 4 2" xfId="56033"/>
    <cellStyle name="Обычный 7 71 5" xfId="34673"/>
    <cellStyle name="Обычный 7 72" xfId="2659"/>
    <cellStyle name="Обычный 7 72 2" xfId="8001"/>
    <cellStyle name="Обычный 7 72 2 2" xfId="18681"/>
    <cellStyle name="Обычный 7 72 2 2 2" xfId="50725"/>
    <cellStyle name="Обычный 7 72 2 3" xfId="29362"/>
    <cellStyle name="Обычный 7 72 2 3 2" xfId="61405"/>
    <cellStyle name="Обычный 7 72 2 4" xfId="40045"/>
    <cellStyle name="Обычный 7 72 3" xfId="13341"/>
    <cellStyle name="Обычный 7 72 3 2" xfId="45385"/>
    <cellStyle name="Обычный 7 72 4" xfId="24022"/>
    <cellStyle name="Обычный 7 72 4 2" xfId="56065"/>
    <cellStyle name="Обычный 7 72 5" xfId="34705"/>
    <cellStyle name="Обычный 7 73" xfId="2691"/>
    <cellStyle name="Обычный 7 73 2" xfId="8033"/>
    <cellStyle name="Обычный 7 73 2 2" xfId="18713"/>
    <cellStyle name="Обычный 7 73 2 2 2" xfId="50757"/>
    <cellStyle name="Обычный 7 73 2 3" xfId="29394"/>
    <cellStyle name="Обычный 7 73 2 3 2" xfId="61437"/>
    <cellStyle name="Обычный 7 73 2 4" xfId="40077"/>
    <cellStyle name="Обычный 7 73 3" xfId="13373"/>
    <cellStyle name="Обычный 7 73 3 2" xfId="45417"/>
    <cellStyle name="Обычный 7 73 4" xfId="24054"/>
    <cellStyle name="Обычный 7 73 4 2" xfId="56097"/>
    <cellStyle name="Обычный 7 73 5" xfId="34737"/>
    <cellStyle name="Обычный 7 74" xfId="2723"/>
    <cellStyle name="Обычный 7 74 2" xfId="8065"/>
    <cellStyle name="Обычный 7 74 2 2" xfId="18745"/>
    <cellStyle name="Обычный 7 74 2 2 2" xfId="50789"/>
    <cellStyle name="Обычный 7 74 2 3" xfId="29426"/>
    <cellStyle name="Обычный 7 74 2 3 2" xfId="61469"/>
    <cellStyle name="Обычный 7 74 2 4" xfId="40109"/>
    <cellStyle name="Обычный 7 74 3" xfId="13405"/>
    <cellStyle name="Обычный 7 74 3 2" xfId="45449"/>
    <cellStyle name="Обычный 7 74 4" xfId="24086"/>
    <cellStyle name="Обычный 7 74 4 2" xfId="56129"/>
    <cellStyle name="Обычный 7 74 5" xfId="34769"/>
    <cellStyle name="Обычный 7 75" xfId="2757"/>
    <cellStyle name="Обычный 7 75 2" xfId="8099"/>
    <cellStyle name="Обычный 7 75 2 2" xfId="18779"/>
    <cellStyle name="Обычный 7 75 2 2 2" xfId="50823"/>
    <cellStyle name="Обычный 7 75 2 3" xfId="29460"/>
    <cellStyle name="Обычный 7 75 2 3 2" xfId="61503"/>
    <cellStyle name="Обычный 7 75 2 4" xfId="40143"/>
    <cellStyle name="Обычный 7 75 3" xfId="13439"/>
    <cellStyle name="Обычный 7 75 3 2" xfId="45483"/>
    <cellStyle name="Обычный 7 75 4" xfId="24120"/>
    <cellStyle name="Обычный 7 75 4 2" xfId="56163"/>
    <cellStyle name="Обычный 7 75 5" xfId="34803"/>
    <cellStyle name="Обычный 7 76" xfId="2789"/>
    <cellStyle name="Обычный 7 76 2" xfId="8131"/>
    <cellStyle name="Обычный 7 76 2 2" xfId="18811"/>
    <cellStyle name="Обычный 7 76 2 2 2" xfId="50855"/>
    <cellStyle name="Обычный 7 76 2 3" xfId="29492"/>
    <cellStyle name="Обычный 7 76 2 3 2" xfId="61535"/>
    <cellStyle name="Обычный 7 76 2 4" xfId="40175"/>
    <cellStyle name="Обычный 7 76 3" xfId="13471"/>
    <cellStyle name="Обычный 7 76 3 2" xfId="45515"/>
    <cellStyle name="Обычный 7 76 4" xfId="24152"/>
    <cellStyle name="Обычный 7 76 4 2" xfId="56195"/>
    <cellStyle name="Обычный 7 76 5" xfId="34835"/>
    <cellStyle name="Обычный 7 77" xfId="2821"/>
    <cellStyle name="Обычный 7 77 2" xfId="8163"/>
    <cellStyle name="Обычный 7 77 2 2" xfId="18843"/>
    <cellStyle name="Обычный 7 77 2 2 2" xfId="50887"/>
    <cellStyle name="Обычный 7 77 2 3" xfId="29524"/>
    <cellStyle name="Обычный 7 77 2 3 2" xfId="61567"/>
    <cellStyle name="Обычный 7 77 2 4" xfId="40207"/>
    <cellStyle name="Обычный 7 77 3" xfId="13503"/>
    <cellStyle name="Обычный 7 77 3 2" xfId="45547"/>
    <cellStyle name="Обычный 7 77 4" xfId="24184"/>
    <cellStyle name="Обычный 7 77 4 2" xfId="56227"/>
    <cellStyle name="Обычный 7 77 5" xfId="34867"/>
    <cellStyle name="Обычный 7 78" xfId="2853"/>
    <cellStyle name="Обычный 7 78 2" xfId="8195"/>
    <cellStyle name="Обычный 7 78 2 2" xfId="18875"/>
    <cellStyle name="Обычный 7 78 2 2 2" xfId="50919"/>
    <cellStyle name="Обычный 7 78 2 3" xfId="29556"/>
    <cellStyle name="Обычный 7 78 2 3 2" xfId="61599"/>
    <cellStyle name="Обычный 7 78 2 4" xfId="40239"/>
    <cellStyle name="Обычный 7 78 3" xfId="13535"/>
    <cellStyle name="Обычный 7 78 3 2" xfId="45579"/>
    <cellStyle name="Обычный 7 78 4" xfId="24216"/>
    <cellStyle name="Обычный 7 78 4 2" xfId="56259"/>
    <cellStyle name="Обычный 7 78 5" xfId="34899"/>
    <cellStyle name="Обычный 7 79" xfId="2885"/>
    <cellStyle name="Обычный 7 79 2" xfId="8227"/>
    <cellStyle name="Обычный 7 79 2 2" xfId="18907"/>
    <cellStyle name="Обычный 7 79 2 2 2" xfId="50951"/>
    <cellStyle name="Обычный 7 79 2 3" xfId="29588"/>
    <cellStyle name="Обычный 7 79 2 3 2" xfId="61631"/>
    <cellStyle name="Обычный 7 79 2 4" xfId="40271"/>
    <cellStyle name="Обычный 7 79 3" xfId="13567"/>
    <cellStyle name="Обычный 7 79 3 2" xfId="45611"/>
    <cellStyle name="Обычный 7 79 4" xfId="24248"/>
    <cellStyle name="Обычный 7 79 4 2" xfId="56291"/>
    <cellStyle name="Обычный 7 79 5" xfId="34931"/>
    <cellStyle name="Обычный 7 8" xfId="484"/>
    <cellStyle name="Обычный 7 8 2" xfId="952"/>
    <cellStyle name="Обычный 7 8 2 2" xfId="6295"/>
    <cellStyle name="Обычный 7 8 2 2 2" xfId="16975"/>
    <cellStyle name="Обычный 7 8 2 2 2 2" xfId="49019"/>
    <cellStyle name="Обычный 7 8 2 2 3" xfId="27656"/>
    <cellStyle name="Обычный 7 8 2 2 3 2" xfId="59699"/>
    <cellStyle name="Обычный 7 8 2 2 4" xfId="38339"/>
    <cellStyle name="Обычный 7 8 2 3" xfId="11635"/>
    <cellStyle name="Обычный 7 8 2 3 2" xfId="43679"/>
    <cellStyle name="Обычный 7 8 2 4" xfId="22316"/>
    <cellStyle name="Обычный 7 8 2 4 2" xfId="54359"/>
    <cellStyle name="Обычный 7 8 2 5" xfId="32999"/>
    <cellStyle name="Обычный 7 8 3" xfId="5828"/>
    <cellStyle name="Обычный 7 8 3 2" xfId="16508"/>
    <cellStyle name="Обычный 7 8 3 2 2" xfId="48552"/>
    <cellStyle name="Обычный 7 8 3 3" xfId="27189"/>
    <cellStyle name="Обычный 7 8 3 3 2" xfId="59232"/>
    <cellStyle name="Обычный 7 8 3 4" xfId="37872"/>
    <cellStyle name="Обычный 7 8 4" xfId="11168"/>
    <cellStyle name="Обычный 7 8 4 2" xfId="43212"/>
    <cellStyle name="Обычный 7 8 5" xfId="21849"/>
    <cellStyle name="Обычный 7 8 5 2" xfId="53892"/>
    <cellStyle name="Обычный 7 8 6" xfId="32532"/>
    <cellStyle name="Обычный 7 80" xfId="2917"/>
    <cellStyle name="Обычный 7 80 2" xfId="8259"/>
    <cellStyle name="Обычный 7 80 2 2" xfId="18939"/>
    <cellStyle name="Обычный 7 80 2 2 2" xfId="50983"/>
    <cellStyle name="Обычный 7 80 2 3" xfId="29620"/>
    <cellStyle name="Обычный 7 80 2 3 2" xfId="61663"/>
    <cellStyle name="Обычный 7 80 2 4" xfId="40303"/>
    <cellStyle name="Обычный 7 80 3" xfId="13599"/>
    <cellStyle name="Обычный 7 80 3 2" xfId="45643"/>
    <cellStyle name="Обычный 7 80 4" xfId="24280"/>
    <cellStyle name="Обычный 7 80 4 2" xfId="56323"/>
    <cellStyle name="Обычный 7 80 5" xfId="34963"/>
    <cellStyle name="Обычный 7 81" xfId="2949"/>
    <cellStyle name="Обычный 7 81 2" xfId="8291"/>
    <cellStyle name="Обычный 7 81 2 2" xfId="18971"/>
    <cellStyle name="Обычный 7 81 2 2 2" xfId="51015"/>
    <cellStyle name="Обычный 7 81 2 3" xfId="29652"/>
    <cellStyle name="Обычный 7 81 2 3 2" xfId="61695"/>
    <cellStyle name="Обычный 7 81 2 4" xfId="40335"/>
    <cellStyle name="Обычный 7 81 3" xfId="13631"/>
    <cellStyle name="Обычный 7 81 3 2" xfId="45675"/>
    <cellStyle name="Обычный 7 81 4" xfId="24312"/>
    <cellStyle name="Обычный 7 81 4 2" xfId="56355"/>
    <cellStyle name="Обычный 7 81 5" xfId="34995"/>
    <cellStyle name="Обычный 7 82" xfId="2981"/>
    <cellStyle name="Обычный 7 82 2" xfId="8323"/>
    <cellStyle name="Обычный 7 82 2 2" xfId="19003"/>
    <cellStyle name="Обычный 7 82 2 2 2" xfId="51047"/>
    <cellStyle name="Обычный 7 82 2 3" xfId="29684"/>
    <cellStyle name="Обычный 7 82 2 3 2" xfId="61727"/>
    <cellStyle name="Обычный 7 82 2 4" xfId="40367"/>
    <cellStyle name="Обычный 7 82 3" xfId="13663"/>
    <cellStyle name="Обычный 7 82 3 2" xfId="45707"/>
    <cellStyle name="Обычный 7 82 4" xfId="24344"/>
    <cellStyle name="Обычный 7 82 4 2" xfId="56387"/>
    <cellStyle name="Обычный 7 82 5" xfId="35027"/>
    <cellStyle name="Обычный 7 83" xfId="3013"/>
    <cellStyle name="Обычный 7 83 2" xfId="8355"/>
    <cellStyle name="Обычный 7 83 2 2" xfId="19035"/>
    <cellStyle name="Обычный 7 83 2 2 2" xfId="51079"/>
    <cellStyle name="Обычный 7 83 2 3" xfId="29716"/>
    <cellStyle name="Обычный 7 83 2 3 2" xfId="61759"/>
    <cellStyle name="Обычный 7 83 2 4" xfId="40399"/>
    <cellStyle name="Обычный 7 83 3" xfId="13695"/>
    <cellStyle name="Обычный 7 83 3 2" xfId="45739"/>
    <cellStyle name="Обычный 7 83 4" xfId="24376"/>
    <cellStyle name="Обычный 7 83 4 2" xfId="56419"/>
    <cellStyle name="Обычный 7 83 5" xfId="35059"/>
    <cellStyle name="Обычный 7 84" xfId="3045"/>
    <cellStyle name="Обычный 7 84 2" xfId="8387"/>
    <cellStyle name="Обычный 7 84 2 2" xfId="19067"/>
    <cellStyle name="Обычный 7 84 2 2 2" xfId="51111"/>
    <cellStyle name="Обычный 7 84 2 3" xfId="29748"/>
    <cellStyle name="Обычный 7 84 2 3 2" xfId="61791"/>
    <cellStyle name="Обычный 7 84 2 4" xfId="40431"/>
    <cellStyle name="Обычный 7 84 3" xfId="13727"/>
    <cellStyle name="Обычный 7 84 3 2" xfId="45771"/>
    <cellStyle name="Обычный 7 84 4" xfId="24408"/>
    <cellStyle name="Обычный 7 84 4 2" xfId="56451"/>
    <cellStyle name="Обычный 7 84 5" xfId="35091"/>
    <cellStyle name="Обычный 7 85" xfId="3077"/>
    <cellStyle name="Обычный 7 85 2" xfId="8419"/>
    <cellStyle name="Обычный 7 85 2 2" xfId="19099"/>
    <cellStyle name="Обычный 7 85 2 2 2" xfId="51143"/>
    <cellStyle name="Обычный 7 85 2 3" xfId="29780"/>
    <cellStyle name="Обычный 7 85 2 3 2" xfId="61823"/>
    <cellStyle name="Обычный 7 85 2 4" xfId="40463"/>
    <cellStyle name="Обычный 7 85 3" xfId="13759"/>
    <cellStyle name="Обычный 7 85 3 2" xfId="45803"/>
    <cellStyle name="Обычный 7 85 4" xfId="24440"/>
    <cellStyle name="Обычный 7 85 4 2" xfId="56483"/>
    <cellStyle name="Обычный 7 85 5" xfId="35123"/>
    <cellStyle name="Обычный 7 86" xfId="3110"/>
    <cellStyle name="Обычный 7 86 2" xfId="8451"/>
    <cellStyle name="Обычный 7 86 2 2" xfId="19131"/>
    <cellStyle name="Обычный 7 86 2 2 2" xfId="51175"/>
    <cellStyle name="Обычный 7 86 2 3" xfId="29812"/>
    <cellStyle name="Обычный 7 86 2 3 2" xfId="61855"/>
    <cellStyle name="Обычный 7 86 2 4" xfId="40495"/>
    <cellStyle name="Обычный 7 86 3" xfId="13791"/>
    <cellStyle name="Обычный 7 86 3 2" xfId="45835"/>
    <cellStyle name="Обычный 7 86 4" xfId="24472"/>
    <cellStyle name="Обычный 7 86 4 2" xfId="56515"/>
    <cellStyle name="Обычный 7 86 5" xfId="35155"/>
    <cellStyle name="Обычный 7 87" xfId="3142"/>
    <cellStyle name="Обычный 7 87 2" xfId="8483"/>
    <cellStyle name="Обычный 7 87 2 2" xfId="19163"/>
    <cellStyle name="Обычный 7 87 2 2 2" xfId="51207"/>
    <cellStyle name="Обычный 7 87 2 3" xfId="29844"/>
    <cellStyle name="Обычный 7 87 2 3 2" xfId="61887"/>
    <cellStyle name="Обычный 7 87 2 4" xfId="40527"/>
    <cellStyle name="Обычный 7 87 3" xfId="13823"/>
    <cellStyle name="Обычный 7 87 3 2" xfId="45867"/>
    <cellStyle name="Обычный 7 87 4" xfId="24504"/>
    <cellStyle name="Обычный 7 87 4 2" xfId="56547"/>
    <cellStyle name="Обычный 7 87 5" xfId="35187"/>
    <cellStyle name="Обычный 7 88" xfId="3174"/>
    <cellStyle name="Обычный 7 88 2" xfId="8515"/>
    <cellStyle name="Обычный 7 88 2 2" xfId="19195"/>
    <cellStyle name="Обычный 7 88 2 2 2" xfId="51239"/>
    <cellStyle name="Обычный 7 88 2 3" xfId="29876"/>
    <cellStyle name="Обычный 7 88 2 3 2" xfId="61919"/>
    <cellStyle name="Обычный 7 88 2 4" xfId="40559"/>
    <cellStyle name="Обычный 7 88 3" xfId="13855"/>
    <cellStyle name="Обычный 7 88 3 2" xfId="45899"/>
    <cellStyle name="Обычный 7 88 4" xfId="24536"/>
    <cellStyle name="Обычный 7 88 4 2" xfId="56579"/>
    <cellStyle name="Обычный 7 88 5" xfId="35219"/>
    <cellStyle name="Обычный 7 89" xfId="3206"/>
    <cellStyle name="Обычный 7 89 2" xfId="8547"/>
    <cellStyle name="Обычный 7 89 2 2" xfId="19227"/>
    <cellStyle name="Обычный 7 89 2 2 2" xfId="51271"/>
    <cellStyle name="Обычный 7 89 2 3" xfId="29908"/>
    <cellStyle name="Обычный 7 89 2 3 2" xfId="61951"/>
    <cellStyle name="Обычный 7 89 2 4" xfId="40591"/>
    <cellStyle name="Обычный 7 89 3" xfId="13887"/>
    <cellStyle name="Обычный 7 89 3 2" xfId="45931"/>
    <cellStyle name="Обычный 7 89 4" xfId="24568"/>
    <cellStyle name="Обычный 7 89 4 2" xfId="56611"/>
    <cellStyle name="Обычный 7 89 5" xfId="35251"/>
    <cellStyle name="Обычный 7 9" xfId="496"/>
    <cellStyle name="Обычный 7 9 2" xfId="964"/>
    <cellStyle name="Обычный 7 9 2 2" xfId="6307"/>
    <cellStyle name="Обычный 7 9 2 2 2" xfId="16987"/>
    <cellStyle name="Обычный 7 9 2 2 2 2" xfId="49031"/>
    <cellStyle name="Обычный 7 9 2 2 3" xfId="27668"/>
    <cellStyle name="Обычный 7 9 2 2 3 2" xfId="59711"/>
    <cellStyle name="Обычный 7 9 2 2 4" xfId="38351"/>
    <cellStyle name="Обычный 7 9 2 3" xfId="11647"/>
    <cellStyle name="Обычный 7 9 2 3 2" xfId="43691"/>
    <cellStyle name="Обычный 7 9 2 4" xfId="22328"/>
    <cellStyle name="Обычный 7 9 2 4 2" xfId="54371"/>
    <cellStyle name="Обычный 7 9 2 5" xfId="33011"/>
    <cellStyle name="Обычный 7 9 3" xfId="5840"/>
    <cellStyle name="Обычный 7 9 3 2" xfId="16520"/>
    <cellStyle name="Обычный 7 9 3 2 2" xfId="48564"/>
    <cellStyle name="Обычный 7 9 3 3" xfId="27201"/>
    <cellStyle name="Обычный 7 9 3 3 2" xfId="59244"/>
    <cellStyle name="Обычный 7 9 3 4" xfId="37884"/>
    <cellStyle name="Обычный 7 9 4" xfId="11180"/>
    <cellStyle name="Обычный 7 9 4 2" xfId="43224"/>
    <cellStyle name="Обычный 7 9 5" xfId="21861"/>
    <cellStyle name="Обычный 7 9 5 2" xfId="53904"/>
    <cellStyle name="Обычный 7 9 6" xfId="32544"/>
    <cellStyle name="Обычный 7 90" xfId="3238"/>
    <cellStyle name="Обычный 7 90 2" xfId="8579"/>
    <cellStyle name="Обычный 7 90 2 2" xfId="19259"/>
    <cellStyle name="Обычный 7 90 2 2 2" xfId="51303"/>
    <cellStyle name="Обычный 7 90 2 3" xfId="29940"/>
    <cellStyle name="Обычный 7 90 2 3 2" xfId="61983"/>
    <cellStyle name="Обычный 7 90 2 4" xfId="40623"/>
    <cellStyle name="Обычный 7 90 3" xfId="13919"/>
    <cellStyle name="Обычный 7 90 3 2" xfId="45963"/>
    <cellStyle name="Обычный 7 90 4" xfId="24600"/>
    <cellStyle name="Обычный 7 90 4 2" xfId="56643"/>
    <cellStyle name="Обычный 7 90 5" xfId="35283"/>
    <cellStyle name="Обычный 7 91" xfId="3270"/>
    <cellStyle name="Обычный 7 91 2" xfId="8611"/>
    <cellStyle name="Обычный 7 91 2 2" xfId="19291"/>
    <cellStyle name="Обычный 7 91 2 2 2" xfId="51335"/>
    <cellStyle name="Обычный 7 91 2 3" xfId="29972"/>
    <cellStyle name="Обычный 7 91 2 3 2" xfId="62015"/>
    <cellStyle name="Обычный 7 91 2 4" xfId="40655"/>
    <cellStyle name="Обычный 7 91 3" xfId="13951"/>
    <cellStyle name="Обычный 7 91 3 2" xfId="45995"/>
    <cellStyle name="Обычный 7 91 4" xfId="24632"/>
    <cellStyle name="Обычный 7 91 4 2" xfId="56675"/>
    <cellStyle name="Обычный 7 91 5" xfId="35315"/>
    <cellStyle name="Обычный 7 92" xfId="3302"/>
    <cellStyle name="Обычный 7 92 2" xfId="8643"/>
    <cellStyle name="Обычный 7 92 2 2" xfId="19323"/>
    <cellStyle name="Обычный 7 92 2 2 2" xfId="51367"/>
    <cellStyle name="Обычный 7 92 2 3" xfId="30004"/>
    <cellStyle name="Обычный 7 92 2 3 2" xfId="62047"/>
    <cellStyle name="Обычный 7 92 2 4" xfId="40687"/>
    <cellStyle name="Обычный 7 92 3" xfId="13983"/>
    <cellStyle name="Обычный 7 92 3 2" xfId="46027"/>
    <cellStyle name="Обычный 7 92 4" xfId="24664"/>
    <cellStyle name="Обычный 7 92 4 2" xfId="56707"/>
    <cellStyle name="Обычный 7 92 5" xfId="35347"/>
    <cellStyle name="Обычный 7 93" xfId="3334"/>
    <cellStyle name="Обычный 7 93 2" xfId="8675"/>
    <cellStyle name="Обычный 7 93 2 2" xfId="19355"/>
    <cellStyle name="Обычный 7 93 2 2 2" xfId="51399"/>
    <cellStyle name="Обычный 7 93 2 3" xfId="30036"/>
    <cellStyle name="Обычный 7 93 2 3 2" xfId="62079"/>
    <cellStyle name="Обычный 7 93 2 4" xfId="40719"/>
    <cellStyle name="Обычный 7 93 3" xfId="14015"/>
    <cellStyle name="Обычный 7 93 3 2" xfId="46059"/>
    <cellStyle name="Обычный 7 93 4" xfId="24696"/>
    <cellStyle name="Обычный 7 93 4 2" xfId="56739"/>
    <cellStyle name="Обычный 7 93 5" xfId="35379"/>
    <cellStyle name="Обычный 7 94" xfId="3366"/>
    <cellStyle name="Обычный 7 94 2" xfId="8707"/>
    <cellStyle name="Обычный 7 94 2 2" xfId="19387"/>
    <cellStyle name="Обычный 7 94 2 2 2" xfId="51431"/>
    <cellStyle name="Обычный 7 94 2 3" xfId="30068"/>
    <cellStyle name="Обычный 7 94 2 3 2" xfId="62111"/>
    <cellStyle name="Обычный 7 94 2 4" xfId="40751"/>
    <cellStyle name="Обычный 7 94 3" xfId="14047"/>
    <cellStyle name="Обычный 7 94 3 2" xfId="46091"/>
    <cellStyle name="Обычный 7 94 4" xfId="24728"/>
    <cellStyle name="Обычный 7 94 4 2" xfId="56771"/>
    <cellStyle name="Обычный 7 94 5" xfId="35411"/>
    <cellStyle name="Обычный 7 95" xfId="3398"/>
    <cellStyle name="Обычный 7 95 2" xfId="8739"/>
    <cellStyle name="Обычный 7 95 2 2" xfId="19419"/>
    <cellStyle name="Обычный 7 95 2 2 2" xfId="51463"/>
    <cellStyle name="Обычный 7 95 2 3" xfId="30100"/>
    <cellStyle name="Обычный 7 95 2 3 2" xfId="62143"/>
    <cellStyle name="Обычный 7 95 2 4" xfId="40783"/>
    <cellStyle name="Обычный 7 95 3" xfId="14079"/>
    <cellStyle name="Обычный 7 95 3 2" xfId="46123"/>
    <cellStyle name="Обычный 7 95 4" xfId="24760"/>
    <cellStyle name="Обычный 7 95 4 2" xfId="56803"/>
    <cellStyle name="Обычный 7 95 5" xfId="35443"/>
    <cellStyle name="Обычный 7 96" xfId="3430"/>
    <cellStyle name="Обычный 7 96 2" xfId="8771"/>
    <cellStyle name="Обычный 7 96 2 2" xfId="19451"/>
    <cellStyle name="Обычный 7 96 2 2 2" xfId="51495"/>
    <cellStyle name="Обычный 7 96 2 3" xfId="30132"/>
    <cellStyle name="Обычный 7 96 2 3 2" xfId="62175"/>
    <cellStyle name="Обычный 7 96 2 4" xfId="40815"/>
    <cellStyle name="Обычный 7 96 3" xfId="14111"/>
    <cellStyle name="Обычный 7 96 3 2" xfId="46155"/>
    <cellStyle name="Обычный 7 96 4" xfId="24792"/>
    <cellStyle name="Обычный 7 96 4 2" xfId="56835"/>
    <cellStyle name="Обычный 7 96 5" xfId="35475"/>
    <cellStyle name="Обычный 7 97" xfId="3462"/>
    <cellStyle name="Обычный 7 97 2" xfId="8803"/>
    <cellStyle name="Обычный 7 97 2 2" xfId="19483"/>
    <cellStyle name="Обычный 7 97 2 2 2" xfId="51527"/>
    <cellStyle name="Обычный 7 97 2 3" xfId="30164"/>
    <cellStyle name="Обычный 7 97 2 3 2" xfId="62207"/>
    <cellStyle name="Обычный 7 97 2 4" xfId="40847"/>
    <cellStyle name="Обычный 7 97 3" xfId="14143"/>
    <cellStyle name="Обычный 7 97 3 2" xfId="46187"/>
    <cellStyle name="Обычный 7 97 4" xfId="24824"/>
    <cellStyle name="Обычный 7 97 4 2" xfId="56867"/>
    <cellStyle name="Обычный 7 97 5" xfId="35507"/>
    <cellStyle name="Обычный 7 98" xfId="3494"/>
    <cellStyle name="Обычный 7 98 2" xfId="8835"/>
    <cellStyle name="Обычный 7 98 2 2" xfId="19515"/>
    <cellStyle name="Обычный 7 98 2 2 2" xfId="51559"/>
    <cellStyle name="Обычный 7 98 2 3" xfId="30196"/>
    <cellStyle name="Обычный 7 98 2 3 2" xfId="62239"/>
    <cellStyle name="Обычный 7 98 2 4" xfId="40879"/>
    <cellStyle name="Обычный 7 98 3" xfId="14175"/>
    <cellStyle name="Обычный 7 98 3 2" xfId="46219"/>
    <cellStyle name="Обычный 7 98 4" xfId="24856"/>
    <cellStyle name="Обычный 7 98 4 2" xfId="56899"/>
    <cellStyle name="Обычный 7 98 5" xfId="35539"/>
    <cellStyle name="Обычный 7 99" xfId="3526"/>
    <cellStyle name="Обычный 7 99 2" xfId="8867"/>
    <cellStyle name="Обычный 7 99 2 2" xfId="19547"/>
    <cellStyle name="Обычный 7 99 2 2 2" xfId="51591"/>
    <cellStyle name="Обычный 7 99 2 3" xfId="30228"/>
    <cellStyle name="Обычный 7 99 2 3 2" xfId="62271"/>
    <cellStyle name="Обычный 7 99 2 4" xfId="40911"/>
    <cellStyle name="Обычный 7 99 3" xfId="14207"/>
    <cellStyle name="Обычный 7 99 3 2" xfId="46251"/>
    <cellStyle name="Обычный 7 99 4" xfId="24888"/>
    <cellStyle name="Обычный 7 99 4 2" xfId="56931"/>
    <cellStyle name="Обычный 7 99 5" xfId="35571"/>
    <cellStyle name="Обычный 8" xfId="1038"/>
    <cellStyle name="Обычный 8 10" xfId="1272"/>
    <cellStyle name="Обычный 8 10 2" xfId="6615"/>
    <cellStyle name="Обычный 8 10 2 2" xfId="17295"/>
    <cellStyle name="Обычный 8 10 2 2 2" xfId="49339"/>
    <cellStyle name="Обычный 8 10 2 3" xfId="27976"/>
    <cellStyle name="Обычный 8 10 2 3 2" xfId="60019"/>
    <cellStyle name="Обычный 8 10 2 4" xfId="38659"/>
    <cellStyle name="Обычный 8 10 3" xfId="11955"/>
    <cellStyle name="Обычный 8 10 3 2" xfId="43999"/>
    <cellStyle name="Обычный 8 10 4" xfId="22636"/>
    <cellStyle name="Обычный 8 10 4 2" xfId="54679"/>
    <cellStyle name="Обычный 8 10 5" xfId="33319"/>
    <cellStyle name="Обычный 8 100" xfId="3956"/>
    <cellStyle name="Обычный 8 100 2" xfId="9297"/>
    <cellStyle name="Обычный 8 100 2 2" xfId="19977"/>
    <cellStyle name="Обычный 8 100 2 2 2" xfId="52021"/>
    <cellStyle name="Обычный 8 100 2 3" xfId="30658"/>
    <cellStyle name="Обычный 8 100 2 3 2" xfId="62701"/>
    <cellStyle name="Обычный 8 100 2 4" xfId="41341"/>
    <cellStyle name="Обычный 8 100 3" xfId="14637"/>
    <cellStyle name="Обычный 8 100 3 2" xfId="46681"/>
    <cellStyle name="Обычный 8 100 4" xfId="25318"/>
    <cellStyle name="Обычный 8 100 4 2" xfId="57361"/>
    <cellStyle name="Обычный 8 100 5" xfId="36001"/>
    <cellStyle name="Обычный 8 101" xfId="3988"/>
    <cellStyle name="Обычный 8 101 2" xfId="9329"/>
    <cellStyle name="Обычный 8 101 2 2" xfId="20009"/>
    <cellStyle name="Обычный 8 101 2 2 2" xfId="52053"/>
    <cellStyle name="Обычный 8 101 2 3" xfId="30690"/>
    <cellStyle name="Обычный 8 101 2 3 2" xfId="62733"/>
    <cellStyle name="Обычный 8 101 2 4" xfId="41373"/>
    <cellStyle name="Обычный 8 101 3" xfId="14669"/>
    <cellStyle name="Обычный 8 101 3 2" xfId="46713"/>
    <cellStyle name="Обычный 8 101 4" xfId="25350"/>
    <cellStyle name="Обычный 8 101 4 2" xfId="57393"/>
    <cellStyle name="Обычный 8 101 5" xfId="36033"/>
    <cellStyle name="Обычный 8 102" xfId="4020"/>
    <cellStyle name="Обычный 8 102 2" xfId="9361"/>
    <cellStyle name="Обычный 8 102 2 2" xfId="20041"/>
    <cellStyle name="Обычный 8 102 2 2 2" xfId="52085"/>
    <cellStyle name="Обычный 8 102 2 3" xfId="30722"/>
    <cellStyle name="Обычный 8 102 2 3 2" xfId="62765"/>
    <cellStyle name="Обычный 8 102 2 4" xfId="41405"/>
    <cellStyle name="Обычный 8 102 3" xfId="14701"/>
    <cellStyle name="Обычный 8 102 3 2" xfId="46745"/>
    <cellStyle name="Обычный 8 102 4" xfId="25382"/>
    <cellStyle name="Обычный 8 102 4 2" xfId="57425"/>
    <cellStyle name="Обычный 8 102 5" xfId="36065"/>
    <cellStyle name="Обычный 8 103" xfId="4052"/>
    <cellStyle name="Обычный 8 103 2" xfId="9393"/>
    <cellStyle name="Обычный 8 103 2 2" xfId="20073"/>
    <cellStyle name="Обычный 8 103 2 2 2" xfId="52117"/>
    <cellStyle name="Обычный 8 103 2 3" xfId="30754"/>
    <cellStyle name="Обычный 8 103 2 3 2" xfId="62797"/>
    <cellStyle name="Обычный 8 103 2 4" xfId="41437"/>
    <cellStyle name="Обычный 8 103 3" xfId="14733"/>
    <cellStyle name="Обычный 8 103 3 2" xfId="46777"/>
    <cellStyle name="Обычный 8 103 4" xfId="25414"/>
    <cellStyle name="Обычный 8 103 4 2" xfId="57457"/>
    <cellStyle name="Обычный 8 103 5" xfId="36097"/>
    <cellStyle name="Обычный 8 104" xfId="4084"/>
    <cellStyle name="Обычный 8 104 2" xfId="9425"/>
    <cellStyle name="Обычный 8 104 2 2" xfId="20105"/>
    <cellStyle name="Обычный 8 104 2 2 2" xfId="52149"/>
    <cellStyle name="Обычный 8 104 2 3" xfId="30786"/>
    <cellStyle name="Обычный 8 104 2 3 2" xfId="62829"/>
    <cellStyle name="Обычный 8 104 2 4" xfId="41469"/>
    <cellStyle name="Обычный 8 104 3" xfId="14765"/>
    <cellStyle name="Обычный 8 104 3 2" xfId="46809"/>
    <cellStyle name="Обычный 8 104 4" xfId="25446"/>
    <cellStyle name="Обычный 8 104 4 2" xfId="57489"/>
    <cellStyle name="Обычный 8 104 5" xfId="36129"/>
    <cellStyle name="Обычный 8 105" xfId="4116"/>
    <cellStyle name="Обычный 8 105 2" xfId="9457"/>
    <cellStyle name="Обычный 8 105 2 2" xfId="20137"/>
    <cellStyle name="Обычный 8 105 2 2 2" xfId="52181"/>
    <cellStyle name="Обычный 8 105 2 3" xfId="30818"/>
    <cellStyle name="Обычный 8 105 2 3 2" xfId="62861"/>
    <cellStyle name="Обычный 8 105 2 4" xfId="41501"/>
    <cellStyle name="Обычный 8 105 3" xfId="14797"/>
    <cellStyle name="Обычный 8 105 3 2" xfId="46841"/>
    <cellStyle name="Обычный 8 105 4" xfId="25478"/>
    <cellStyle name="Обычный 8 105 4 2" xfId="57521"/>
    <cellStyle name="Обычный 8 105 5" xfId="36161"/>
    <cellStyle name="Обычный 8 106" xfId="4148"/>
    <cellStyle name="Обычный 8 106 2" xfId="9489"/>
    <cellStyle name="Обычный 8 106 2 2" xfId="20169"/>
    <cellStyle name="Обычный 8 106 2 2 2" xfId="52213"/>
    <cellStyle name="Обычный 8 106 2 3" xfId="30850"/>
    <cellStyle name="Обычный 8 106 2 3 2" xfId="62893"/>
    <cellStyle name="Обычный 8 106 2 4" xfId="41533"/>
    <cellStyle name="Обычный 8 106 3" xfId="14829"/>
    <cellStyle name="Обычный 8 106 3 2" xfId="46873"/>
    <cellStyle name="Обычный 8 106 4" xfId="25510"/>
    <cellStyle name="Обычный 8 106 4 2" xfId="57553"/>
    <cellStyle name="Обычный 8 106 5" xfId="36193"/>
    <cellStyle name="Обычный 8 107" xfId="4180"/>
    <cellStyle name="Обычный 8 107 2" xfId="9521"/>
    <cellStyle name="Обычный 8 107 2 2" xfId="20201"/>
    <cellStyle name="Обычный 8 107 2 2 2" xfId="52245"/>
    <cellStyle name="Обычный 8 107 2 3" xfId="30882"/>
    <cellStyle name="Обычный 8 107 2 3 2" xfId="62925"/>
    <cellStyle name="Обычный 8 107 2 4" xfId="41565"/>
    <cellStyle name="Обычный 8 107 3" xfId="14861"/>
    <cellStyle name="Обычный 8 107 3 2" xfId="46905"/>
    <cellStyle name="Обычный 8 107 4" xfId="25542"/>
    <cellStyle name="Обычный 8 107 4 2" xfId="57585"/>
    <cellStyle name="Обычный 8 107 5" xfId="36225"/>
    <cellStyle name="Обычный 8 108" xfId="4212"/>
    <cellStyle name="Обычный 8 108 2" xfId="9553"/>
    <cellStyle name="Обычный 8 108 2 2" xfId="20233"/>
    <cellStyle name="Обычный 8 108 2 2 2" xfId="52277"/>
    <cellStyle name="Обычный 8 108 2 3" xfId="30914"/>
    <cellStyle name="Обычный 8 108 2 3 2" xfId="62957"/>
    <cellStyle name="Обычный 8 108 2 4" xfId="41597"/>
    <cellStyle name="Обычный 8 108 3" xfId="14893"/>
    <cellStyle name="Обычный 8 108 3 2" xfId="46937"/>
    <cellStyle name="Обычный 8 108 4" xfId="25574"/>
    <cellStyle name="Обычный 8 108 4 2" xfId="57617"/>
    <cellStyle name="Обычный 8 108 5" xfId="36257"/>
    <cellStyle name="Обычный 8 109" xfId="4244"/>
    <cellStyle name="Обычный 8 109 2" xfId="9585"/>
    <cellStyle name="Обычный 8 109 2 2" xfId="20265"/>
    <cellStyle name="Обычный 8 109 2 2 2" xfId="52309"/>
    <cellStyle name="Обычный 8 109 2 3" xfId="30946"/>
    <cellStyle name="Обычный 8 109 2 3 2" xfId="62989"/>
    <cellStyle name="Обычный 8 109 2 4" xfId="41629"/>
    <cellStyle name="Обычный 8 109 3" xfId="14925"/>
    <cellStyle name="Обычный 8 109 3 2" xfId="46969"/>
    <cellStyle name="Обычный 8 109 4" xfId="25606"/>
    <cellStyle name="Обычный 8 109 4 2" xfId="57649"/>
    <cellStyle name="Обычный 8 109 5" xfId="36289"/>
    <cellStyle name="Обычный 8 11" xfId="1298"/>
    <cellStyle name="Обычный 8 11 2" xfId="6641"/>
    <cellStyle name="Обычный 8 11 2 2" xfId="17321"/>
    <cellStyle name="Обычный 8 11 2 2 2" xfId="49365"/>
    <cellStyle name="Обычный 8 11 2 3" xfId="28002"/>
    <cellStyle name="Обычный 8 11 2 3 2" xfId="60045"/>
    <cellStyle name="Обычный 8 11 2 4" xfId="38685"/>
    <cellStyle name="Обычный 8 11 3" xfId="11981"/>
    <cellStyle name="Обычный 8 11 3 2" xfId="44025"/>
    <cellStyle name="Обычный 8 11 4" xfId="22662"/>
    <cellStyle name="Обычный 8 11 4 2" xfId="54705"/>
    <cellStyle name="Обычный 8 11 5" xfId="33345"/>
    <cellStyle name="Обычный 8 110" xfId="4276"/>
    <cellStyle name="Обычный 8 110 2" xfId="9617"/>
    <cellStyle name="Обычный 8 110 2 2" xfId="20297"/>
    <cellStyle name="Обычный 8 110 2 2 2" xfId="52341"/>
    <cellStyle name="Обычный 8 110 2 3" xfId="30978"/>
    <cellStyle name="Обычный 8 110 2 3 2" xfId="63021"/>
    <cellStyle name="Обычный 8 110 2 4" xfId="41661"/>
    <cellStyle name="Обычный 8 110 3" xfId="14957"/>
    <cellStyle name="Обычный 8 110 3 2" xfId="47001"/>
    <cellStyle name="Обычный 8 110 4" xfId="25638"/>
    <cellStyle name="Обычный 8 110 4 2" xfId="57681"/>
    <cellStyle name="Обычный 8 110 5" xfId="36321"/>
    <cellStyle name="Обычный 8 111" xfId="4308"/>
    <cellStyle name="Обычный 8 111 2" xfId="9649"/>
    <cellStyle name="Обычный 8 111 2 2" xfId="20329"/>
    <cellStyle name="Обычный 8 111 2 2 2" xfId="52373"/>
    <cellStyle name="Обычный 8 111 2 3" xfId="31010"/>
    <cellStyle name="Обычный 8 111 2 3 2" xfId="63053"/>
    <cellStyle name="Обычный 8 111 2 4" xfId="41693"/>
    <cellStyle name="Обычный 8 111 3" xfId="14989"/>
    <cellStyle name="Обычный 8 111 3 2" xfId="47033"/>
    <cellStyle name="Обычный 8 111 4" xfId="25670"/>
    <cellStyle name="Обычный 8 111 4 2" xfId="57713"/>
    <cellStyle name="Обычный 8 111 5" xfId="36353"/>
    <cellStyle name="Обычный 8 112" xfId="4340"/>
    <cellStyle name="Обычный 8 112 2" xfId="9681"/>
    <cellStyle name="Обычный 8 112 2 2" xfId="20361"/>
    <cellStyle name="Обычный 8 112 2 2 2" xfId="52405"/>
    <cellStyle name="Обычный 8 112 2 3" xfId="31042"/>
    <cellStyle name="Обычный 8 112 2 3 2" xfId="63085"/>
    <cellStyle name="Обычный 8 112 2 4" xfId="41725"/>
    <cellStyle name="Обычный 8 112 3" xfId="15021"/>
    <cellStyle name="Обычный 8 112 3 2" xfId="47065"/>
    <cellStyle name="Обычный 8 112 4" xfId="25702"/>
    <cellStyle name="Обычный 8 112 4 2" xfId="57745"/>
    <cellStyle name="Обычный 8 112 5" xfId="36385"/>
    <cellStyle name="Обычный 8 113" xfId="4372"/>
    <cellStyle name="Обычный 8 113 2" xfId="9713"/>
    <cellStyle name="Обычный 8 113 2 2" xfId="20393"/>
    <cellStyle name="Обычный 8 113 2 2 2" xfId="52437"/>
    <cellStyle name="Обычный 8 113 2 3" xfId="31074"/>
    <cellStyle name="Обычный 8 113 2 3 2" xfId="63117"/>
    <cellStyle name="Обычный 8 113 2 4" xfId="41757"/>
    <cellStyle name="Обычный 8 113 3" xfId="15053"/>
    <cellStyle name="Обычный 8 113 3 2" xfId="47097"/>
    <cellStyle name="Обычный 8 113 4" xfId="25734"/>
    <cellStyle name="Обычный 8 113 4 2" xfId="57777"/>
    <cellStyle name="Обычный 8 113 5" xfId="36417"/>
    <cellStyle name="Обычный 8 114" xfId="4404"/>
    <cellStyle name="Обычный 8 114 2" xfId="9745"/>
    <cellStyle name="Обычный 8 114 2 2" xfId="20425"/>
    <cellStyle name="Обычный 8 114 2 2 2" xfId="52469"/>
    <cellStyle name="Обычный 8 114 2 3" xfId="31106"/>
    <cellStyle name="Обычный 8 114 2 3 2" xfId="63149"/>
    <cellStyle name="Обычный 8 114 2 4" xfId="41789"/>
    <cellStyle name="Обычный 8 114 3" xfId="15085"/>
    <cellStyle name="Обычный 8 114 3 2" xfId="47129"/>
    <cellStyle name="Обычный 8 114 4" xfId="25766"/>
    <cellStyle name="Обычный 8 114 4 2" xfId="57809"/>
    <cellStyle name="Обычный 8 114 5" xfId="36449"/>
    <cellStyle name="Обычный 8 115" xfId="4436"/>
    <cellStyle name="Обычный 8 115 2" xfId="9777"/>
    <cellStyle name="Обычный 8 115 2 2" xfId="20457"/>
    <cellStyle name="Обычный 8 115 2 2 2" xfId="52501"/>
    <cellStyle name="Обычный 8 115 2 3" xfId="31138"/>
    <cellStyle name="Обычный 8 115 2 3 2" xfId="63181"/>
    <cellStyle name="Обычный 8 115 2 4" xfId="41821"/>
    <cellStyle name="Обычный 8 115 3" xfId="15117"/>
    <cellStyle name="Обычный 8 115 3 2" xfId="47161"/>
    <cellStyle name="Обычный 8 115 4" xfId="25798"/>
    <cellStyle name="Обычный 8 115 4 2" xfId="57841"/>
    <cellStyle name="Обычный 8 115 5" xfId="36481"/>
    <cellStyle name="Обычный 8 116" xfId="4468"/>
    <cellStyle name="Обычный 8 116 2" xfId="9809"/>
    <cellStyle name="Обычный 8 116 2 2" xfId="20489"/>
    <cellStyle name="Обычный 8 116 2 2 2" xfId="52533"/>
    <cellStyle name="Обычный 8 116 2 3" xfId="31170"/>
    <cellStyle name="Обычный 8 116 2 3 2" xfId="63213"/>
    <cellStyle name="Обычный 8 116 2 4" xfId="41853"/>
    <cellStyle name="Обычный 8 116 3" xfId="15149"/>
    <cellStyle name="Обычный 8 116 3 2" xfId="47193"/>
    <cellStyle name="Обычный 8 116 4" xfId="25830"/>
    <cellStyle name="Обычный 8 116 4 2" xfId="57873"/>
    <cellStyle name="Обычный 8 116 5" xfId="36513"/>
    <cellStyle name="Обычный 8 117" xfId="4500"/>
    <cellStyle name="Обычный 8 117 2" xfId="9841"/>
    <cellStyle name="Обычный 8 117 2 2" xfId="20521"/>
    <cellStyle name="Обычный 8 117 2 2 2" xfId="52565"/>
    <cellStyle name="Обычный 8 117 2 3" xfId="31202"/>
    <cellStyle name="Обычный 8 117 2 3 2" xfId="63245"/>
    <cellStyle name="Обычный 8 117 2 4" xfId="41885"/>
    <cellStyle name="Обычный 8 117 3" xfId="15181"/>
    <cellStyle name="Обычный 8 117 3 2" xfId="47225"/>
    <cellStyle name="Обычный 8 117 4" xfId="25862"/>
    <cellStyle name="Обычный 8 117 4 2" xfId="57905"/>
    <cellStyle name="Обычный 8 117 5" xfId="36545"/>
    <cellStyle name="Обычный 8 118" xfId="4532"/>
    <cellStyle name="Обычный 8 118 2" xfId="9873"/>
    <cellStyle name="Обычный 8 118 2 2" xfId="20553"/>
    <cellStyle name="Обычный 8 118 2 2 2" xfId="52597"/>
    <cellStyle name="Обычный 8 118 2 3" xfId="31234"/>
    <cellStyle name="Обычный 8 118 2 3 2" xfId="63277"/>
    <cellStyle name="Обычный 8 118 2 4" xfId="41917"/>
    <cellStyle name="Обычный 8 118 3" xfId="15213"/>
    <cellStyle name="Обычный 8 118 3 2" xfId="47257"/>
    <cellStyle name="Обычный 8 118 4" xfId="25894"/>
    <cellStyle name="Обычный 8 118 4 2" xfId="57937"/>
    <cellStyle name="Обычный 8 118 5" xfId="36577"/>
    <cellStyle name="Обычный 8 119" xfId="4564"/>
    <cellStyle name="Обычный 8 119 2" xfId="9905"/>
    <cellStyle name="Обычный 8 119 2 2" xfId="20585"/>
    <cellStyle name="Обычный 8 119 2 2 2" xfId="52629"/>
    <cellStyle name="Обычный 8 119 2 3" xfId="31266"/>
    <cellStyle name="Обычный 8 119 2 3 2" xfId="63309"/>
    <cellStyle name="Обычный 8 119 2 4" xfId="41949"/>
    <cellStyle name="Обычный 8 119 3" xfId="15245"/>
    <cellStyle name="Обычный 8 119 3 2" xfId="47289"/>
    <cellStyle name="Обычный 8 119 4" xfId="25926"/>
    <cellStyle name="Обычный 8 119 4 2" xfId="57969"/>
    <cellStyle name="Обычный 8 119 5" xfId="36609"/>
    <cellStyle name="Обычный 8 12" xfId="1325"/>
    <cellStyle name="Обычный 8 12 2" xfId="6667"/>
    <cellStyle name="Обычный 8 12 2 2" xfId="17347"/>
    <cellStyle name="Обычный 8 12 2 2 2" xfId="49391"/>
    <cellStyle name="Обычный 8 12 2 3" xfId="28028"/>
    <cellStyle name="Обычный 8 12 2 3 2" xfId="60071"/>
    <cellStyle name="Обычный 8 12 2 4" xfId="38711"/>
    <cellStyle name="Обычный 8 12 3" xfId="12007"/>
    <cellStyle name="Обычный 8 12 3 2" xfId="44051"/>
    <cellStyle name="Обычный 8 12 4" xfId="22688"/>
    <cellStyle name="Обычный 8 12 4 2" xfId="54731"/>
    <cellStyle name="Обычный 8 12 5" xfId="33371"/>
    <cellStyle name="Обычный 8 120" xfId="4596"/>
    <cellStyle name="Обычный 8 120 2" xfId="9937"/>
    <cellStyle name="Обычный 8 120 2 2" xfId="20617"/>
    <cellStyle name="Обычный 8 120 2 2 2" xfId="52661"/>
    <cellStyle name="Обычный 8 120 2 3" xfId="31298"/>
    <cellStyle name="Обычный 8 120 2 3 2" xfId="63341"/>
    <cellStyle name="Обычный 8 120 2 4" xfId="41981"/>
    <cellStyle name="Обычный 8 120 3" xfId="15277"/>
    <cellStyle name="Обычный 8 120 3 2" xfId="47321"/>
    <cellStyle name="Обычный 8 120 4" xfId="25958"/>
    <cellStyle name="Обычный 8 120 4 2" xfId="58001"/>
    <cellStyle name="Обычный 8 120 5" xfId="36641"/>
    <cellStyle name="Обычный 8 121" xfId="4628"/>
    <cellStyle name="Обычный 8 121 2" xfId="9969"/>
    <cellStyle name="Обычный 8 121 2 2" xfId="20649"/>
    <cellStyle name="Обычный 8 121 2 2 2" xfId="52693"/>
    <cellStyle name="Обычный 8 121 2 3" xfId="31330"/>
    <cellStyle name="Обычный 8 121 2 3 2" xfId="63373"/>
    <cellStyle name="Обычный 8 121 2 4" xfId="42013"/>
    <cellStyle name="Обычный 8 121 3" xfId="15309"/>
    <cellStyle name="Обычный 8 121 3 2" xfId="47353"/>
    <cellStyle name="Обычный 8 121 4" xfId="25990"/>
    <cellStyle name="Обычный 8 121 4 2" xfId="58033"/>
    <cellStyle name="Обычный 8 121 5" xfId="36673"/>
    <cellStyle name="Обычный 8 122" xfId="4660"/>
    <cellStyle name="Обычный 8 122 2" xfId="10001"/>
    <cellStyle name="Обычный 8 122 2 2" xfId="20681"/>
    <cellStyle name="Обычный 8 122 2 2 2" xfId="52725"/>
    <cellStyle name="Обычный 8 122 2 3" xfId="31362"/>
    <cellStyle name="Обычный 8 122 2 3 2" xfId="63405"/>
    <cellStyle name="Обычный 8 122 2 4" xfId="42045"/>
    <cellStyle name="Обычный 8 122 3" xfId="15341"/>
    <cellStyle name="Обычный 8 122 3 2" xfId="47385"/>
    <cellStyle name="Обычный 8 122 4" xfId="26022"/>
    <cellStyle name="Обычный 8 122 4 2" xfId="58065"/>
    <cellStyle name="Обычный 8 122 5" xfId="36705"/>
    <cellStyle name="Обычный 8 123" xfId="4692"/>
    <cellStyle name="Обычный 8 123 2" xfId="10033"/>
    <cellStyle name="Обычный 8 123 2 2" xfId="20713"/>
    <cellStyle name="Обычный 8 123 2 2 2" xfId="52757"/>
    <cellStyle name="Обычный 8 123 2 3" xfId="31394"/>
    <cellStyle name="Обычный 8 123 2 3 2" xfId="63437"/>
    <cellStyle name="Обычный 8 123 2 4" xfId="42077"/>
    <cellStyle name="Обычный 8 123 3" xfId="15373"/>
    <cellStyle name="Обычный 8 123 3 2" xfId="47417"/>
    <cellStyle name="Обычный 8 123 4" xfId="26054"/>
    <cellStyle name="Обычный 8 123 4 2" xfId="58097"/>
    <cellStyle name="Обычный 8 123 5" xfId="36737"/>
    <cellStyle name="Обычный 8 124" xfId="4726"/>
    <cellStyle name="Обычный 8 124 2" xfId="10067"/>
    <cellStyle name="Обычный 8 124 2 2" xfId="20747"/>
    <cellStyle name="Обычный 8 124 2 2 2" xfId="52791"/>
    <cellStyle name="Обычный 8 124 2 3" xfId="31428"/>
    <cellStyle name="Обычный 8 124 2 3 2" xfId="63471"/>
    <cellStyle name="Обычный 8 124 2 4" xfId="42111"/>
    <cellStyle name="Обычный 8 124 3" xfId="15407"/>
    <cellStyle name="Обычный 8 124 3 2" xfId="47451"/>
    <cellStyle name="Обычный 8 124 4" xfId="26088"/>
    <cellStyle name="Обычный 8 124 4 2" xfId="58131"/>
    <cellStyle name="Обычный 8 124 5" xfId="36771"/>
    <cellStyle name="Обычный 8 125" xfId="4758"/>
    <cellStyle name="Обычный 8 125 2" xfId="10099"/>
    <cellStyle name="Обычный 8 125 2 2" xfId="20779"/>
    <cellStyle name="Обычный 8 125 2 2 2" xfId="52823"/>
    <cellStyle name="Обычный 8 125 2 3" xfId="31460"/>
    <cellStyle name="Обычный 8 125 2 3 2" xfId="63503"/>
    <cellStyle name="Обычный 8 125 2 4" xfId="42143"/>
    <cellStyle name="Обычный 8 125 3" xfId="15439"/>
    <cellStyle name="Обычный 8 125 3 2" xfId="47483"/>
    <cellStyle name="Обычный 8 125 4" xfId="26120"/>
    <cellStyle name="Обычный 8 125 4 2" xfId="58163"/>
    <cellStyle name="Обычный 8 125 5" xfId="36803"/>
    <cellStyle name="Обычный 8 126" xfId="4790"/>
    <cellStyle name="Обычный 8 126 2" xfId="10131"/>
    <cellStyle name="Обычный 8 126 2 2" xfId="20811"/>
    <cellStyle name="Обычный 8 126 2 2 2" xfId="52855"/>
    <cellStyle name="Обычный 8 126 2 3" xfId="31492"/>
    <cellStyle name="Обычный 8 126 2 3 2" xfId="63535"/>
    <cellStyle name="Обычный 8 126 2 4" xfId="42175"/>
    <cellStyle name="Обычный 8 126 3" xfId="15471"/>
    <cellStyle name="Обычный 8 126 3 2" xfId="47515"/>
    <cellStyle name="Обычный 8 126 4" xfId="26152"/>
    <cellStyle name="Обычный 8 126 4 2" xfId="58195"/>
    <cellStyle name="Обычный 8 126 5" xfId="36835"/>
    <cellStyle name="Обычный 8 127" xfId="4822"/>
    <cellStyle name="Обычный 8 127 2" xfId="10163"/>
    <cellStyle name="Обычный 8 127 2 2" xfId="20843"/>
    <cellStyle name="Обычный 8 127 2 2 2" xfId="52887"/>
    <cellStyle name="Обычный 8 127 2 3" xfId="31524"/>
    <cellStyle name="Обычный 8 127 2 3 2" xfId="63567"/>
    <cellStyle name="Обычный 8 127 2 4" xfId="42207"/>
    <cellStyle name="Обычный 8 127 3" xfId="15503"/>
    <cellStyle name="Обычный 8 127 3 2" xfId="47547"/>
    <cellStyle name="Обычный 8 127 4" xfId="26184"/>
    <cellStyle name="Обычный 8 127 4 2" xfId="58227"/>
    <cellStyle name="Обычный 8 127 5" xfId="36867"/>
    <cellStyle name="Обычный 8 128" xfId="4854"/>
    <cellStyle name="Обычный 8 128 2" xfId="10195"/>
    <cellStyle name="Обычный 8 128 2 2" xfId="20875"/>
    <cellStyle name="Обычный 8 128 2 2 2" xfId="52919"/>
    <cellStyle name="Обычный 8 128 2 3" xfId="31556"/>
    <cellStyle name="Обычный 8 128 2 3 2" xfId="63599"/>
    <cellStyle name="Обычный 8 128 2 4" xfId="42239"/>
    <cellStyle name="Обычный 8 128 3" xfId="15535"/>
    <cellStyle name="Обычный 8 128 3 2" xfId="47579"/>
    <cellStyle name="Обычный 8 128 4" xfId="26216"/>
    <cellStyle name="Обычный 8 128 4 2" xfId="58259"/>
    <cellStyle name="Обычный 8 128 5" xfId="36899"/>
    <cellStyle name="Обычный 8 129" xfId="4886"/>
    <cellStyle name="Обычный 8 129 2" xfId="10227"/>
    <cellStyle name="Обычный 8 129 2 2" xfId="20907"/>
    <cellStyle name="Обычный 8 129 2 2 2" xfId="52951"/>
    <cellStyle name="Обычный 8 129 2 3" xfId="31588"/>
    <cellStyle name="Обычный 8 129 2 3 2" xfId="63631"/>
    <cellStyle name="Обычный 8 129 2 4" xfId="42271"/>
    <cellStyle name="Обычный 8 129 3" xfId="15567"/>
    <cellStyle name="Обычный 8 129 3 2" xfId="47611"/>
    <cellStyle name="Обычный 8 129 4" xfId="26248"/>
    <cellStyle name="Обычный 8 129 4 2" xfId="58291"/>
    <cellStyle name="Обычный 8 129 5" xfId="36931"/>
    <cellStyle name="Обычный 8 13" xfId="1351"/>
    <cellStyle name="Обычный 8 13 2" xfId="6693"/>
    <cellStyle name="Обычный 8 13 2 2" xfId="17373"/>
    <cellStyle name="Обычный 8 13 2 2 2" xfId="49417"/>
    <cellStyle name="Обычный 8 13 2 3" xfId="28054"/>
    <cellStyle name="Обычный 8 13 2 3 2" xfId="60097"/>
    <cellStyle name="Обычный 8 13 2 4" xfId="38737"/>
    <cellStyle name="Обычный 8 13 3" xfId="12033"/>
    <cellStyle name="Обычный 8 13 3 2" xfId="44077"/>
    <cellStyle name="Обычный 8 13 4" xfId="22714"/>
    <cellStyle name="Обычный 8 13 4 2" xfId="54757"/>
    <cellStyle name="Обычный 8 13 5" xfId="33397"/>
    <cellStyle name="Обычный 8 130" xfId="4918"/>
    <cellStyle name="Обычный 8 130 2" xfId="10259"/>
    <cellStyle name="Обычный 8 130 2 2" xfId="20939"/>
    <cellStyle name="Обычный 8 130 2 2 2" xfId="52983"/>
    <cellStyle name="Обычный 8 130 2 3" xfId="31620"/>
    <cellStyle name="Обычный 8 130 2 3 2" xfId="63663"/>
    <cellStyle name="Обычный 8 130 2 4" xfId="42303"/>
    <cellStyle name="Обычный 8 130 3" xfId="15599"/>
    <cellStyle name="Обычный 8 130 3 2" xfId="47643"/>
    <cellStyle name="Обычный 8 130 4" xfId="26280"/>
    <cellStyle name="Обычный 8 130 4 2" xfId="58323"/>
    <cellStyle name="Обычный 8 130 5" xfId="36963"/>
    <cellStyle name="Обычный 8 131" xfId="4950"/>
    <cellStyle name="Обычный 8 131 2" xfId="10291"/>
    <cellStyle name="Обычный 8 131 2 2" xfId="20971"/>
    <cellStyle name="Обычный 8 131 2 2 2" xfId="53015"/>
    <cellStyle name="Обычный 8 131 2 3" xfId="31652"/>
    <cellStyle name="Обычный 8 131 2 3 2" xfId="63695"/>
    <cellStyle name="Обычный 8 131 2 4" xfId="42335"/>
    <cellStyle name="Обычный 8 131 3" xfId="15631"/>
    <cellStyle name="Обычный 8 131 3 2" xfId="47675"/>
    <cellStyle name="Обычный 8 131 4" xfId="26312"/>
    <cellStyle name="Обычный 8 131 4 2" xfId="58355"/>
    <cellStyle name="Обычный 8 131 5" xfId="36995"/>
    <cellStyle name="Обычный 8 132" xfId="4982"/>
    <cellStyle name="Обычный 8 132 2" xfId="10323"/>
    <cellStyle name="Обычный 8 132 2 2" xfId="21003"/>
    <cellStyle name="Обычный 8 132 2 2 2" xfId="53047"/>
    <cellStyle name="Обычный 8 132 2 3" xfId="31684"/>
    <cellStyle name="Обычный 8 132 2 3 2" xfId="63727"/>
    <cellStyle name="Обычный 8 132 2 4" xfId="42367"/>
    <cellStyle name="Обычный 8 132 3" xfId="15663"/>
    <cellStyle name="Обычный 8 132 3 2" xfId="47707"/>
    <cellStyle name="Обычный 8 132 4" xfId="26344"/>
    <cellStyle name="Обычный 8 132 4 2" xfId="58387"/>
    <cellStyle name="Обычный 8 132 5" xfId="37027"/>
    <cellStyle name="Обычный 8 133" xfId="5014"/>
    <cellStyle name="Обычный 8 133 2" xfId="10355"/>
    <cellStyle name="Обычный 8 133 2 2" xfId="21035"/>
    <cellStyle name="Обычный 8 133 2 2 2" xfId="53079"/>
    <cellStyle name="Обычный 8 133 2 3" xfId="31716"/>
    <cellStyle name="Обычный 8 133 2 3 2" xfId="63759"/>
    <cellStyle name="Обычный 8 133 2 4" xfId="42399"/>
    <cellStyle name="Обычный 8 133 3" xfId="15695"/>
    <cellStyle name="Обычный 8 133 3 2" xfId="47739"/>
    <cellStyle name="Обычный 8 133 4" xfId="26376"/>
    <cellStyle name="Обычный 8 133 4 2" xfId="58419"/>
    <cellStyle name="Обычный 8 133 5" xfId="37059"/>
    <cellStyle name="Обычный 8 134" xfId="5046"/>
    <cellStyle name="Обычный 8 134 2" xfId="10387"/>
    <cellStyle name="Обычный 8 134 2 2" xfId="21067"/>
    <cellStyle name="Обычный 8 134 2 2 2" xfId="53111"/>
    <cellStyle name="Обычный 8 134 2 3" xfId="31748"/>
    <cellStyle name="Обычный 8 134 2 3 2" xfId="63791"/>
    <cellStyle name="Обычный 8 134 2 4" xfId="42431"/>
    <cellStyle name="Обычный 8 134 3" xfId="15727"/>
    <cellStyle name="Обычный 8 134 3 2" xfId="47771"/>
    <cellStyle name="Обычный 8 134 4" xfId="26408"/>
    <cellStyle name="Обычный 8 134 4 2" xfId="58451"/>
    <cellStyle name="Обычный 8 134 5" xfId="37091"/>
    <cellStyle name="Обычный 8 135" xfId="5078"/>
    <cellStyle name="Обычный 8 135 2" xfId="10419"/>
    <cellStyle name="Обычный 8 135 2 2" xfId="21099"/>
    <cellStyle name="Обычный 8 135 2 2 2" xfId="53143"/>
    <cellStyle name="Обычный 8 135 2 3" xfId="31780"/>
    <cellStyle name="Обычный 8 135 2 3 2" xfId="63823"/>
    <cellStyle name="Обычный 8 135 2 4" xfId="42463"/>
    <cellStyle name="Обычный 8 135 3" xfId="15759"/>
    <cellStyle name="Обычный 8 135 3 2" xfId="47803"/>
    <cellStyle name="Обычный 8 135 4" xfId="26440"/>
    <cellStyle name="Обычный 8 135 4 2" xfId="58483"/>
    <cellStyle name="Обычный 8 135 5" xfId="37123"/>
    <cellStyle name="Обычный 8 136" xfId="5110"/>
    <cellStyle name="Обычный 8 136 2" xfId="10451"/>
    <cellStyle name="Обычный 8 136 2 2" xfId="21131"/>
    <cellStyle name="Обычный 8 136 2 2 2" xfId="53175"/>
    <cellStyle name="Обычный 8 136 2 3" xfId="31812"/>
    <cellStyle name="Обычный 8 136 2 3 2" xfId="63855"/>
    <cellStyle name="Обычный 8 136 2 4" xfId="42495"/>
    <cellStyle name="Обычный 8 136 3" xfId="15791"/>
    <cellStyle name="Обычный 8 136 3 2" xfId="47835"/>
    <cellStyle name="Обычный 8 136 4" xfId="26472"/>
    <cellStyle name="Обычный 8 136 4 2" xfId="58515"/>
    <cellStyle name="Обычный 8 136 5" xfId="37155"/>
    <cellStyle name="Обычный 8 137" xfId="5142"/>
    <cellStyle name="Обычный 8 137 2" xfId="10483"/>
    <cellStyle name="Обычный 8 137 2 2" xfId="21163"/>
    <cellStyle name="Обычный 8 137 2 2 2" xfId="53207"/>
    <cellStyle name="Обычный 8 137 2 3" xfId="31844"/>
    <cellStyle name="Обычный 8 137 2 3 2" xfId="63887"/>
    <cellStyle name="Обычный 8 137 2 4" xfId="42527"/>
    <cellStyle name="Обычный 8 137 3" xfId="15823"/>
    <cellStyle name="Обычный 8 137 3 2" xfId="47867"/>
    <cellStyle name="Обычный 8 137 4" xfId="26504"/>
    <cellStyle name="Обычный 8 137 4 2" xfId="58547"/>
    <cellStyle name="Обычный 8 137 5" xfId="37187"/>
    <cellStyle name="Обычный 8 138" xfId="5174"/>
    <cellStyle name="Обычный 8 138 2" xfId="10515"/>
    <cellStyle name="Обычный 8 138 2 2" xfId="21195"/>
    <cellStyle name="Обычный 8 138 2 2 2" xfId="53239"/>
    <cellStyle name="Обычный 8 138 2 3" xfId="31876"/>
    <cellStyle name="Обычный 8 138 2 3 2" xfId="63919"/>
    <cellStyle name="Обычный 8 138 2 4" xfId="42559"/>
    <cellStyle name="Обычный 8 138 3" xfId="15855"/>
    <cellStyle name="Обычный 8 138 3 2" xfId="47899"/>
    <cellStyle name="Обычный 8 138 4" xfId="26536"/>
    <cellStyle name="Обычный 8 138 4 2" xfId="58579"/>
    <cellStyle name="Обычный 8 138 5" xfId="37219"/>
    <cellStyle name="Обычный 8 139" xfId="5206"/>
    <cellStyle name="Обычный 8 139 2" xfId="10547"/>
    <cellStyle name="Обычный 8 139 2 2" xfId="21227"/>
    <cellStyle name="Обычный 8 139 2 2 2" xfId="53271"/>
    <cellStyle name="Обычный 8 139 2 3" xfId="31908"/>
    <cellStyle name="Обычный 8 139 2 3 2" xfId="63951"/>
    <cellStyle name="Обычный 8 139 2 4" xfId="42591"/>
    <cellStyle name="Обычный 8 139 3" xfId="15887"/>
    <cellStyle name="Обычный 8 139 3 2" xfId="47931"/>
    <cellStyle name="Обычный 8 139 4" xfId="26568"/>
    <cellStyle name="Обычный 8 139 4 2" xfId="58611"/>
    <cellStyle name="Обычный 8 139 5" xfId="37251"/>
    <cellStyle name="Обычный 8 14" xfId="1377"/>
    <cellStyle name="Обычный 8 14 2" xfId="6719"/>
    <cellStyle name="Обычный 8 14 2 2" xfId="17399"/>
    <cellStyle name="Обычный 8 14 2 2 2" xfId="49443"/>
    <cellStyle name="Обычный 8 14 2 3" xfId="28080"/>
    <cellStyle name="Обычный 8 14 2 3 2" xfId="60123"/>
    <cellStyle name="Обычный 8 14 2 4" xfId="38763"/>
    <cellStyle name="Обычный 8 14 3" xfId="12059"/>
    <cellStyle name="Обычный 8 14 3 2" xfId="44103"/>
    <cellStyle name="Обычный 8 14 4" xfId="22740"/>
    <cellStyle name="Обычный 8 14 4 2" xfId="54783"/>
    <cellStyle name="Обычный 8 14 5" xfId="33423"/>
    <cellStyle name="Обычный 8 140" xfId="5238"/>
    <cellStyle name="Обычный 8 140 2" xfId="10579"/>
    <cellStyle name="Обычный 8 140 2 2" xfId="21259"/>
    <cellStyle name="Обычный 8 140 2 2 2" xfId="53303"/>
    <cellStyle name="Обычный 8 140 2 3" xfId="31940"/>
    <cellStyle name="Обычный 8 140 2 3 2" xfId="63983"/>
    <cellStyle name="Обычный 8 140 2 4" xfId="42623"/>
    <cellStyle name="Обычный 8 140 3" xfId="15919"/>
    <cellStyle name="Обычный 8 140 3 2" xfId="47963"/>
    <cellStyle name="Обычный 8 140 4" xfId="26600"/>
    <cellStyle name="Обычный 8 140 4 2" xfId="58643"/>
    <cellStyle name="Обычный 8 140 5" xfId="37283"/>
    <cellStyle name="Обычный 8 141" xfId="5270"/>
    <cellStyle name="Обычный 8 141 2" xfId="10611"/>
    <cellStyle name="Обычный 8 141 2 2" xfId="21291"/>
    <cellStyle name="Обычный 8 141 2 2 2" xfId="53335"/>
    <cellStyle name="Обычный 8 141 2 3" xfId="31972"/>
    <cellStyle name="Обычный 8 141 2 3 2" xfId="64015"/>
    <cellStyle name="Обычный 8 141 2 4" xfId="42655"/>
    <cellStyle name="Обычный 8 141 3" xfId="15951"/>
    <cellStyle name="Обычный 8 141 3 2" xfId="47995"/>
    <cellStyle name="Обычный 8 141 4" xfId="26632"/>
    <cellStyle name="Обычный 8 141 4 2" xfId="58675"/>
    <cellStyle name="Обычный 8 141 5" xfId="37315"/>
    <cellStyle name="Обычный 8 142" xfId="5302"/>
    <cellStyle name="Обычный 8 142 2" xfId="10643"/>
    <cellStyle name="Обычный 8 142 2 2" xfId="21323"/>
    <cellStyle name="Обычный 8 142 2 2 2" xfId="53367"/>
    <cellStyle name="Обычный 8 142 2 3" xfId="32004"/>
    <cellStyle name="Обычный 8 142 2 3 2" xfId="64047"/>
    <cellStyle name="Обычный 8 142 2 4" xfId="42687"/>
    <cellStyle name="Обычный 8 142 3" xfId="15983"/>
    <cellStyle name="Обычный 8 142 3 2" xfId="48027"/>
    <cellStyle name="Обычный 8 142 4" xfId="26664"/>
    <cellStyle name="Обычный 8 142 4 2" xfId="58707"/>
    <cellStyle name="Обычный 8 142 5" xfId="37347"/>
    <cellStyle name="Обычный 8 143" xfId="5334"/>
    <cellStyle name="Обычный 8 143 2" xfId="10675"/>
    <cellStyle name="Обычный 8 143 2 2" xfId="21355"/>
    <cellStyle name="Обычный 8 143 2 2 2" xfId="53399"/>
    <cellStyle name="Обычный 8 143 2 3" xfId="32036"/>
    <cellStyle name="Обычный 8 143 2 3 2" xfId="64079"/>
    <cellStyle name="Обычный 8 143 2 4" xfId="42719"/>
    <cellStyle name="Обычный 8 143 3" xfId="16015"/>
    <cellStyle name="Обычный 8 143 3 2" xfId="48059"/>
    <cellStyle name="Обычный 8 143 4" xfId="26696"/>
    <cellStyle name="Обычный 8 143 4 2" xfId="58739"/>
    <cellStyle name="Обычный 8 143 5" xfId="37379"/>
    <cellStyle name="Обычный 8 144" xfId="5366"/>
    <cellStyle name="Обычный 8 144 2" xfId="10707"/>
    <cellStyle name="Обычный 8 144 2 2" xfId="21387"/>
    <cellStyle name="Обычный 8 144 2 2 2" xfId="53431"/>
    <cellStyle name="Обычный 8 144 2 3" xfId="32068"/>
    <cellStyle name="Обычный 8 144 2 3 2" xfId="64111"/>
    <cellStyle name="Обычный 8 144 2 4" xfId="42751"/>
    <cellStyle name="Обычный 8 144 3" xfId="16047"/>
    <cellStyle name="Обычный 8 144 3 2" xfId="48091"/>
    <cellStyle name="Обычный 8 144 4" xfId="26728"/>
    <cellStyle name="Обычный 8 144 4 2" xfId="58771"/>
    <cellStyle name="Обычный 8 144 5" xfId="37411"/>
    <cellStyle name="Обычный 8 145" xfId="6381"/>
    <cellStyle name="Обычный 8 145 2" xfId="17061"/>
    <cellStyle name="Обычный 8 145 2 2" xfId="49105"/>
    <cellStyle name="Обычный 8 145 3" xfId="27742"/>
    <cellStyle name="Обычный 8 145 3 2" xfId="59785"/>
    <cellStyle name="Обычный 8 145 4" xfId="38425"/>
    <cellStyle name="Обычный 8 146" xfId="11721"/>
    <cellStyle name="Обычный 8 146 2" xfId="43765"/>
    <cellStyle name="Обычный 8 147" xfId="22402"/>
    <cellStyle name="Обычный 8 147 2" xfId="54445"/>
    <cellStyle name="Обычный 8 148" xfId="33085"/>
    <cellStyle name="Обычный 8 15" xfId="1403"/>
    <cellStyle name="Обычный 8 15 2" xfId="6745"/>
    <cellStyle name="Обычный 8 15 2 2" xfId="17425"/>
    <cellStyle name="Обычный 8 15 2 2 2" xfId="49469"/>
    <cellStyle name="Обычный 8 15 2 3" xfId="28106"/>
    <cellStyle name="Обычный 8 15 2 3 2" xfId="60149"/>
    <cellStyle name="Обычный 8 15 2 4" xfId="38789"/>
    <cellStyle name="Обычный 8 15 3" xfId="12085"/>
    <cellStyle name="Обычный 8 15 3 2" xfId="44129"/>
    <cellStyle name="Обычный 8 15 4" xfId="22766"/>
    <cellStyle name="Обычный 8 15 4 2" xfId="54809"/>
    <cellStyle name="Обычный 8 15 5" xfId="33449"/>
    <cellStyle name="Обычный 8 16" xfId="1429"/>
    <cellStyle name="Обычный 8 16 2" xfId="6771"/>
    <cellStyle name="Обычный 8 16 2 2" xfId="17451"/>
    <cellStyle name="Обычный 8 16 2 2 2" xfId="49495"/>
    <cellStyle name="Обычный 8 16 2 3" xfId="28132"/>
    <cellStyle name="Обычный 8 16 2 3 2" xfId="60175"/>
    <cellStyle name="Обычный 8 16 2 4" xfId="38815"/>
    <cellStyle name="Обычный 8 16 3" xfId="12111"/>
    <cellStyle name="Обычный 8 16 3 2" xfId="44155"/>
    <cellStyle name="Обычный 8 16 4" xfId="22792"/>
    <cellStyle name="Обычный 8 16 4 2" xfId="54835"/>
    <cellStyle name="Обычный 8 16 5" xfId="33475"/>
    <cellStyle name="Обычный 8 17" xfId="1455"/>
    <cellStyle name="Обычный 8 17 2" xfId="6797"/>
    <cellStyle name="Обычный 8 17 2 2" xfId="17477"/>
    <cellStyle name="Обычный 8 17 2 2 2" xfId="49521"/>
    <cellStyle name="Обычный 8 17 2 3" xfId="28158"/>
    <cellStyle name="Обычный 8 17 2 3 2" xfId="60201"/>
    <cellStyle name="Обычный 8 17 2 4" xfId="38841"/>
    <cellStyle name="Обычный 8 17 3" xfId="12137"/>
    <cellStyle name="Обычный 8 17 3 2" xfId="44181"/>
    <cellStyle name="Обычный 8 17 4" xfId="22818"/>
    <cellStyle name="Обычный 8 17 4 2" xfId="54861"/>
    <cellStyle name="Обычный 8 17 5" xfId="33501"/>
    <cellStyle name="Обычный 8 18" xfId="1481"/>
    <cellStyle name="Обычный 8 18 2" xfId="6823"/>
    <cellStyle name="Обычный 8 18 2 2" xfId="17503"/>
    <cellStyle name="Обычный 8 18 2 2 2" xfId="49547"/>
    <cellStyle name="Обычный 8 18 2 3" xfId="28184"/>
    <cellStyle name="Обычный 8 18 2 3 2" xfId="60227"/>
    <cellStyle name="Обычный 8 18 2 4" xfId="38867"/>
    <cellStyle name="Обычный 8 18 3" xfId="12163"/>
    <cellStyle name="Обычный 8 18 3 2" xfId="44207"/>
    <cellStyle name="Обычный 8 18 4" xfId="22844"/>
    <cellStyle name="Обычный 8 18 4 2" xfId="54887"/>
    <cellStyle name="Обычный 8 18 5" xfId="33527"/>
    <cellStyle name="Обычный 8 19" xfId="1507"/>
    <cellStyle name="Обычный 8 19 2" xfId="6849"/>
    <cellStyle name="Обычный 8 19 2 2" xfId="17529"/>
    <cellStyle name="Обычный 8 19 2 2 2" xfId="49573"/>
    <cellStyle name="Обычный 8 19 2 3" xfId="28210"/>
    <cellStyle name="Обычный 8 19 2 3 2" xfId="60253"/>
    <cellStyle name="Обычный 8 19 2 4" xfId="38893"/>
    <cellStyle name="Обычный 8 19 3" xfId="12189"/>
    <cellStyle name="Обычный 8 19 3 2" xfId="44233"/>
    <cellStyle name="Обычный 8 19 4" xfId="22870"/>
    <cellStyle name="Обычный 8 19 4 2" xfId="54913"/>
    <cellStyle name="Обычный 8 19 5" xfId="33553"/>
    <cellStyle name="Обычный 8 2" xfId="1064"/>
    <cellStyle name="Обычный 8 2 2" xfId="6407"/>
    <cellStyle name="Обычный 8 2 2 2" xfId="17087"/>
    <cellStyle name="Обычный 8 2 2 2 2" xfId="49131"/>
    <cellStyle name="Обычный 8 2 2 3" xfId="27768"/>
    <cellStyle name="Обычный 8 2 2 3 2" xfId="59811"/>
    <cellStyle name="Обычный 8 2 2 4" xfId="38451"/>
    <cellStyle name="Обычный 8 2 3" xfId="11747"/>
    <cellStyle name="Обычный 8 2 3 2" xfId="43791"/>
    <cellStyle name="Обычный 8 2 4" xfId="22428"/>
    <cellStyle name="Обычный 8 2 4 2" xfId="54471"/>
    <cellStyle name="Обычный 8 2 5" xfId="33111"/>
    <cellStyle name="Обычный 8 20" xfId="1533"/>
    <cellStyle name="Обычный 8 20 2" xfId="6875"/>
    <cellStyle name="Обычный 8 20 2 2" xfId="17555"/>
    <cellStyle name="Обычный 8 20 2 2 2" xfId="49599"/>
    <cellStyle name="Обычный 8 20 2 3" xfId="28236"/>
    <cellStyle name="Обычный 8 20 2 3 2" xfId="60279"/>
    <cellStyle name="Обычный 8 20 2 4" xfId="38919"/>
    <cellStyle name="Обычный 8 20 3" xfId="12215"/>
    <cellStyle name="Обычный 8 20 3 2" xfId="44259"/>
    <cellStyle name="Обычный 8 20 4" xfId="22896"/>
    <cellStyle name="Обычный 8 20 4 2" xfId="54939"/>
    <cellStyle name="Обычный 8 20 5" xfId="33579"/>
    <cellStyle name="Обычный 8 21" xfId="1559"/>
    <cellStyle name="Обычный 8 21 2" xfId="6901"/>
    <cellStyle name="Обычный 8 21 2 2" xfId="17581"/>
    <cellStyle name="Обычный 8 21 2 2 2" xfId="49625"/>
    <cellStyle name="Обычный 8 21 2 3" xfId="28262"/>
    <cellStyle name="Обычный 8 21 2 3 2" xfId="60305"/>
    <cellStyle name="Обычный 8 21 2 4" xfId="38945"/>
    <cellStyle name="Обычный 8 21 3" xfId="12241"/>
    <cellStyle name="Обычный 8 21 3 2" xfId="44285"/>
    <cellStyle name="Обычный 8 21 4" xfId="22922"/>
    <cellStyle name="Обычный 8 21 4 2" xfId="54965"/>
    <cellStyle name="Обычный 8 21 5" xfId="33605"/>
    <cellStyle name="Обычный 8 22" xfId="1585"/>
    <cellStyle name="Обычный 8 22 2" xfId="6927"/>
    <cellStyle name="Обычный 8 22 2 2" xfId="17607"/>
    <cellStyle name="Обычный 8 22 2 2 2" xfId="49651"/>
    <cellStyle name="Обычный 8 22 2 3" xfId="28288"/>
    <cellStyle name="Обычный 8 22 2 3 2" xfId="60331"/>
    <cellStyle name="Обычный 8 22 2 4" xfId="38971"/>
    <cellStyle name="Обычный 8 22 3" xfId="12267"/>
    <cellStyle name="Обычный 8 22 3 2" xfId="44311"/>
    <cellStyle name="Обычный 8 22 4" xfId="22948"/>
    <cellStyle name="Обычный 8 22 4 2" xfId="54991"/>
    <cellStyle name="Обычный 8 22 5" xfId="33631"/>
    <cellStyle name="Обычный 8 23" xfId="1611"/>
    <cellStyle name="Обычный 8 23 2" xfId="6953"/>
    <cellStyle name="Обычный 8 23 2 2" xfId="17633"/>
    <cellStyle name="Обычный 8 23 2 2 2" xfId="49677"/>
    <cellStyle name="Обычный 8 23 2 3" xfId="28314"/>
    <cellStyle name="Обычный 8 23 2 3 2" xfId="60357"/>
    <cellStyle name="Обычный 8 23 2 4" xfId="38997"/>
    <cellStyle name="Обычный 8 23 3" xfId="12293"/>
    <cellStyle name="Обычный 8 23 3 2" xfId="44337"/>
    <cellStyle name="Обычный 8 23 4" xfId="22974"/>
    <cellStyle name="Обычный 8 23 4 2" xfId="55017"/>
    <cellStyle name="Обычный 8 23 5" xfId="33657"/>
    <cellStyle name="Обычный 8 24" xfId="1637"/>
    <cellStyle name="Обычный 8 24 2" xfId="6979"/>
    <cellStyle name="Обычный 8 24 2 2" xfId="17659"/>
    <cellStyle name="Обычный 8 24 2 2 2" xfId="49703"/>
    <cellStyle name="Обычный 8 24 2 3" xfId="28340"/>
    <cellStyle name="Обычный 8 24 2 3 2" xfId="60383"/>
    <cellStyle name="Обычный 8 24 2 4" xfId="39023"/>
    <cellStyle name="Обычный 8 24 3" xfId="12319"/>
    <cellStyle name="Обычный 8 24 3 2" xfId="44363"/>
    <cellStyle name="Обычный 8 24 4" xfId="23000"/>
    <cellStyle name="Обычный 8 24 4 2" xfId="55043"/>
    <cellStyle name="Обычный 8 24 5" xfId="33683"/>
    <cellStyle name="Обычный 8 25" xfId="1663"/>
    <cellStyle name="Обычный 8 25 2" xfId="7005"/>
    <cellStyle name="Обычный 8 25 2 2" xfId="17685"/>
    <cellStyle name="Обычный 8 25 2 2 2" xfId="49729"/>
    <cellStyle name="Обычный 8 25 2 3" xfId="28366"/>
    <cellStyle name="Обычный 8 25 2 3 2" xfId="60409"/>
    <cellStyle name="Обычный 8 25 2 4" xfId="39049"/>
    <cellStyle name="Обычный 8 25 3" xfId="12345"/>
    <cellStyle name="Обычный 8 25 3 2" xfId="44389"/>
    <cellStyle name="Обычный 8 25 4" xfId="23026"/>
    <cellStyle name="Обычный 8 25 4 2" xfId="55069"/>
    <cellStyle name="Обычный 8 25 5" xfId="33709"/>
    <cellStyle name="Обычный 8 26" xfId="1689"/>
    <cellStyle name="Обычный 8 26 2" xfId="7031"/>
    <cellStyle name="Обычный 8 26 2 2" xfId="17711"/>
    <cellStyle name="Обычный 8 26 2 2 2" xfId="49755"/>
    <cellStyle name="Обычный 8 26 2 3" xfId="28392"/>
    <cellStyle name="Обычный 8 26 2 3 2" xfId="60435"/>
    <cellStyle name="Обычный 8 26 2 4" xfId="39075"/>
    <cellStyle name="Обычный 8 26 3" xfId="12371"/>
    <cellStyle name="Обычный 8 26 3 2" xfId="44415"/>
    <cellStyle name="Обычный 8 26 4" xfId="23052"/>
    <cellStyle name="Обычный 8 26 4 2" xfId="55095"/>
    <cellStyle name="Обычный 8 26 5" xfId="33735"/>
    <cellStyle name="Обычный 8 27" xfId="1715"/>
    <cellStyle name="Обычный 8 27 2" xfId="7057"/>
    <cellStyle name="Обычный 8 27 2 2" xfId="17737"/>
    <cellStyle name="Обычный 8 27 2 2 2" xfId="49781"/>
    <cellStyle name="Обычный 8 27 2 3" xfId="28418"/>
    <cellStyle name="Обычный 8 27 2 3 2" xfId="60461"/>
    <cellStyle name="Обычный 8 27 2 4" xfId="39101"/>
    <cellStyle name="Обычный 8 27 3" xfId="12397"/>
    <cellStyle name="Обычный 8 27 3 2" xfId="44441"/>
    <cellStyle name="Обычный 8 27 4" xfId="23078"/>
    <cellStyle name="Обычный 8 27 4 2" xfId="55121"/>
    <cellStyle name="Обычный 8 27 5" xfId="33761"/>
    <cellStyle name="Обычный 8 28" xfId="1741"/>
    <cellStyle name="Обычный 8 28 2" xfId="7083"/>
    <cellStyle name="Обычный 8 28 2 2" xfId="17763"/>
    <cellStyle name="Обычный 8 28 2 2 2" xfId="49807"/>
    <cellStyle name="Обычный 8 28 2 3" xfId="28444"/>
    <cellStyle name="Обычный 8 28 2 3 2" xfId="60487"/>
    <cellStyle name="Обычный 8 28 2 4" xfId="39127"/>
    <cellStyle name="Обычный 8 28 3" xfId="12423"/>
    <cellStyle name="Обычный 8 28 3 2" xfId="44467"/>
    <cellStyle name="Обычный 8 28 4" xfId="23104"/>
    <cellStyle name="Обычный 8 28 4 2" xfId="55147"/>
    <cellStyle name="Обычный 8 28 5" xfId="33787"/>
    <cellStyle name="Обычный 8 29" xfId="1767"/>
    <cellStyle name="Обычный 8 29 2" xfId="7109"/>
    <cellStyle name="Обычный 8 29 2 2" xfId="17789"/>
    <cellStyle name="Обычный 8 29 2 2 2" xfId="49833"/>
    <cellStyle name="Обычный 8 29 2 3" xfId="28470"/>
    <cellStyle name="Обычный 8 29 2 3 2" xfId="60513"/>
    <cellStyle name="Обычный 8 29 2 4" xfId="39153"/>
    <cellStyle name="Обычный 8 29 3" xfId="12449"/>
    <cellStyle name="Обычный 8 29 3 2" xfId="44493"/>
    <cellStyle name="Обычный 8 29 4" xfId="23130"/>
    <cellStyle name="Обычный 8 29 4 2" xfId="55173"/>
    <cellStyle name="Обычный 8 29 5" xfId="33813"/>
    <cellStyle name="Обычный 8 3" xfId="1090"/>
    <cellStyle name="Обычный 8 3 2" xfId="6433"/>
    <cellStyle name="Обычный 8 3 2 2" xfId="17113"/>
    <cellStyle name="Обычный 8 3 2 2 2" xfId="49157"/>
    <cellStyle name="Обычный 8 3 2 3" xfId="27794"/>
    <cellStyle name="Обычный 8 3 2 3 2" xfId="59837"/>
    <cellStyle name="Обычный 8 3 2 4" xfId="38477"/>
    <cellStyle name="Обычный 8 3 3" xfId="11773"/>
    <cellStyle name="Обычный 8 3 3 2" xfId="43817"/>
    <cellStyle name="Обычный 8 3 4" xfId="22454"/>
    <cellStyle name="Обычный 8 3 4 2" xfId="54497"/>
    <cellStyle name="Обычный 8 3 5" xfId="33137"/>
    <cellStyle name="Обычный 8 30" xfId="1793"/>
    <cellStyle name="Обычный 8 30 2" xfId="7135"/>
    <cellStyle name="Обычный 8 30 2 2" xfId="17815"/>
    <cellStyle name="Обычный 8 30 2 2 2" xfId="49859"/>
    <cellStyle name="Обычный 8 30 2 3" xfId="28496"/>
    <cellStyle name="Обычный 8 30 2 3 2" xfId="60539"/>
    <cellStyle name="Обычный 8 30 2 4" xfId="39179"/>
    <cellStyle name="Обычный 8 30 3" xfId="12475"/>
    <cellStyle name="Обычный 8 30 3 2" xfId="44519"/>
    <cellStyle name="Обычный 8 30 4" xfId="23156"/>
    <cellStyle name="Обычный 8 30 4 2" xfId="55199"/>
    <cellStyle name="Обычный 8 30 5" xfId="33839"/>
    <cellStyle name="Обычный 8 31" xfId="1819"/>
    <cellStyle name="Обычный 8 31 2" xfId="7161"/>
    <cellStyle name="Обычный 8 31 2 2" xfId="17841"/>
    <cellStyle name="Обычный 8 31 2 2 2" xfId="49885"/>
    <cellStyle name="Обычный 8 31 2 3" xfId="28522"/>
    <cellStyle name="Обычный 8 31 2 3 2" xfId="60565"/>
    <cellStyle name="Обычный 8 31 2 4" xfId="39205"/>
    <cellStyle name="Обычный 8 31 3" xfId="12501"/>
    <cellStyle name="Обычный 8 31 3 2" xfId="44545"/>
    <cellStyle name="Обычный 8 31 4" xfId="23182"/>
    <cellStyle name="Обычный 8 31 4 2" xfId="55225"/>
    <cellStyle name="Обычный 8 31 5" xfId="33865"/>
    <cellStyle name="Обычный 8 32" xfId="1845"/>
    <cellStyle name="Обычный 8 32 2" xfId="7187"/>
    <cellStyle name="Обычный 8 32 2 2" xfId="17867"/>
    <cellStyle name="Обычный 8 32 2 2 2" xfId="49911"/>
    <cellStyle name="Обычный 8 32 2 3" xfId="28548"/>
    <cellStyle name="Обычный 8 32 2 3 2" xfId="60591"/>
    <cellStyle name="Обычный 8 32 2 4" xfId="39231"/>
    <cellStyle name="Обычный 8 32 3" xfId="12527"/>
    <cellStyle name="Обычный 8 32 3 2" xfId="44571"/>
    <cellStyle name="Обычный 8 32 4" xfId="23208"/>
    <cellStyle name="Обычный 8 32 4 2" xfId="55251"/>
    <cellStyle name="Обычный 8 32 5" xfId="33891"/>
    <cellStyle name="Обычный 8 33" xfId="1871"/>
    <cellStyle name="Обычный 8 33 2" xfId="7213"/>
    <cellStyle name="Обычный 8 33 2 2" xfId="17893"/>
    <cellStyle name="Обычный 8 33 2 2 2" xfId="49937"/>
    <cellStyle name="Обычный 8 33 2 3" xfId="28574"/>
    <cellStyle name="Обычный 8 33 2 3 2" xfId="60617"/>
    <cellStyle name="Обычный 8 33 2 4" xfId="39257"/>
    <cellStyle name="Обычный 8 33 3" xfId="12553"/>
    <cellStyle name="Обычный 8 33 3 2" xfId="44597"/>
    <cellStyle name="Обычный 8 33 4" xfId="23234"/>
    <cellStyle name="Обычный 8 33 4 2" xfId="55277"/>
    <cellStyle name="Обычный 8 33 5" xfId="33917"/>
    <cellStyle name="Обычный 8 34" xfId="1897"/>
    <cellStyle name="Обычный 8 34 2" xfId="7239"/>
    <cellStyle name="Обычный 8 34 2 2" xfId="17919"/>
    <cellStyle name="Обычный 8 34 2 2 2" xfId="49963"/>
    <cellStyle name="Обычный 8 34 2 3" xfId="28600"/>
    <cellStyle name="Обычный 8 34 2 3 2" xfId="60643"/>
    <cellStyle name="Обычный 8 34 2 4" xfId="39283"/>
    <cellStyle name="Обычный 8 34 3" xfId="12579"/>
    <cellStyle name="Обычный 8 34 3 2" xfId="44623"/>
    <cellStyle name="Обычный 8 34 4" xfId="23260"/>
    <cellStyle name="Обычный 8 34 4 2" xfId="55303"/>
    <cellStyle name="Обычный 8 34 5" xfId="33943"/>
    <cellStyle name="Обычный 8 35" xfId="1923"/>
    <cellStyle name="Обычный 8 35 2" xfId="7265"/>
    <cellStyle name="Обычный 8 35 2 2" xfId="17945"/>
    <cellStyle name="Обычный 8 35 2 2 2" xfId="49989"/>
    <cellStyle name="Обычный 8 35 2 3" xfId="28626"/>
    <cellStyle name="Обычный 8 35 2 3 2" xfId="60669"/>
    <cellStyle name="Обычный 8 35 2 4" xfId="39309"/>
    <cellStyle name="Обычный 8 35 3" xfId="12605"/>
    <cellStyle name="Обычный 8 35 3 2" xfId="44649"/>
    <cellStyle name="Обычный 8 35 4" xfId="23286"/>
    <cellStyle name="Обычный 8 35 4 2" xfId="55329"/>
    <cellStyle name="Обычный 8 35 5" xfId="33969"/>
    <cellStyle name="Обычный 8 36" xfId="1951"/>
    <cellStyle name="Обычный 8 36 2" xfId="7293"/>
    <cellStyle name="Обычный 8 36 2 2" xfId="17973"/>
    <cellStyle name="Обычный 8 36 2 2 2" xfId="50017"/>
    <cellStyle name="Обычный 8 36 2 3" xfId="28654"/>
    <cellStyle name="Обычный 8 36 2 3 2" xfId="60697"/>
    <cellStyle name="Обычный 8 36 2 4" xfId="39337"/>
    <cellStyle name="Обычный 8 36 3" xfId="12633"/>
    <cellStyle name="Обычный 8 36 3 2" xfId="44677"/>
    <cellStyle name="Обычный 8 36 4" xfId="23314"/>
    <cellStyle name="Обычный 8 36 4 2" xfId="55357"/>
    <cellStyle name="Обычный 8 36 5" xfId="33997"/>
    <cellStyle name="Обычный 8 37" xfId="1979"/>
    <cellStyle name="Обычный 8 37 2" xfId="7321"/>
    <cellStyle name="Обычный 8 37 2 2" xfId="18001"/>
    <cellStyle name="Обычный 8 37 2 2 2" xfId="50045"/>
    <cellStyle name="Обычный 8 37 2 3" xfId="28682"/>
    <cellStyle name="Обычный 8 37 2 3 2" xfId="60725"/>
    <cellStyle name="Обычный 8 37 2 4" xfId="39365"/>
    <cellStyle name="Обычный 8 37 3" xfId="12661"/>
    <cellStyle name="Обычный 8 37 3 2" xfId="44705"/>
    <cellStyle name="Обычный 8 37 4" xfId="23342"/>
    <cellStyle name="Обычный 8 37 4 2" xfId="55385"/>
    <cellStyle name="Обычный 8 37 5" xfId="34025"/>
    <cellStyle name="Обычный 8 38" xfId="2007"/>
    <cellStyle name="Обычный 8 38 2" xfId="7349"/>
    <cellStyle name="Обычный 8 38 2 2" xfId="18029"/>
    <cellStyle name="Обычный 8 38 2 2 2" xfId="50073"/>
    <cellStyle name="Обычный 8 38 2 3" xfId="28710"/>
    <cellStyle name="Обычный 8 38 2 3 2" xfId="60753"/>
    <cellStyle name="Обычный 8 38 2 4" xfId="39393"/>
    <cellStyle name="Обычный 8 38 3" xfId="12689"/>
    <cellStyle name="Обычный 8 38 3 2" xfId="44733"/>
    <cellStyle name="Обычный 8 38 4" xfId="23370"/>
    <cellStyle name="Обычный 8 38 4 2" xfId="55413"/>
    <cellStyle name="Обычный 8 38 5" xfId="34053"/>
    <cellStyle name="Обычный 8 39" xfId="2035"/>
    <cellStyle name="Обычный 8 39 2" xfId="7377"/>
    <cellStyle name="Обычный 8 39 2 2" xfId="18057"/>
    <cellStyle name="Обычный 8 39 2 2 2" xfId="50101"/>
    <cellStyle name="Обычный 8 39 2 3" xfId="28738"/>
    <cellStyle name="Обычный 8 39 2 3 2" xfId="60781"/>
    <cellStyle name="Обычный 8 39 2 4" xfId="39421"/>
    <cellStyle name="Обычный 8 39 3" xfId="12717"/>
    <cellStyle name="Обычный 8 39 3 2" xfId="44761"/>
    <cellStyle name="Обычный 8 39 4" xfId="23398"/>
    <cellStyle name="Обычный 8 39 4 2" xfId="55441"/>
    <cellStyle name="Обычный 8 39 5" xfId="34081"/>
    <cellStyle name="Обычный 8 4" xfId="1116"/>
    <cellStyle name="Обычный 8 4 2" xfId="6459"/>
    <cellStyle name="Обычный 8 4 2 2" xfId="17139"/>
    <cellStyle name="Обычный 8 4 2 2 2" xfId="49183"/>
    <cellStyle name="Обычный 8 4 2 3" xfId="27820"/>
    <cellStyle name="Обычный 8 4 2 3 2" xfId="59863"/>
    <cellStyle name="Обычный 8 4 2 4" xfId="38503"/>
    <cellStyle name="Обычный 8 4 3" xfId="11799"/>
    <cellStyle name="Обычный 8 4 3 2" xfId="43843"/>
    <cellStyle name="Обычный 8 4 4" xfId="22480"/>
    <cellStyle name="Обычный 8 4 4 2" xfId="54523"/>
    <cellStyle name="Обычный 8 4 5" xfId="33163"/>
    <cellStyle name="Обычный 8 40" xfId="2063"/>
    <cellStyle name="Обычный 8 40 2" xfId="7405"/>
    <cellStyle name="Обычный 8 40 2 2" xfId="18085"/>
    <cellStyle name="Обычный 8 40 2 2 2" xfId="50129"/>
    <cellStyle name="Обычный 8 40 2 3" xfId="28766"/>
    <cellStyle name="Обычный 8 40 2 3 2" xfId="60809"/>
    <cellStyle name="Обычный 8 40 2 4" xfId="39449"/>
    <cellStyle name="Обычный 8 40 3" xfId="12745"/>
    <cellStyle name="Обычный 8 40 3 2" xfId="44789"/>
    <cellStyle name="Обычный 8 40 4" xfId="23426"/>
    <cellStyle name="Обычный 8 40 4 2" xfId="55469"/>
    <cellStyle name="Обычный 8 40 5" xfId="34109"/>
    <cellStyle name="Обычный 8 41" xfId="2091"/>
    <cellStyle name="Обычный 8 41 2" xfId="7433"/>
    <cellStyle name="Обычный 8 41 2 2" xfId="18113"/>
    <cellStyle name="Обычный 8 41 2 2 2" xfId="50157"/>
    <cellStyle name="Обычный 8 41 2 3" xfId="28794"/>
    <cellStyle name="Обычный 8 41 2 3 2" xfId="60837"/>
    <cellStyle name="Обычный 8 41 2 4" xfId="39477"/>
    <cellStyle name="Обычный 8 41 3" xfId="12773"/>
    <cellStyle name="Обычный 8 41 3 2" xfId="44817"/>
    <cellStyle name="Обычный 8 41 4" xfId="23454"/>
    <cellStyle name="Обычный 8 41 4 2" xfId="55497"/>
    <cellStyle name="Обычный 8 41 5" xfId="34137"/>
    <cellStyle name="Обычный 8 42" xfId="2119"/>
    <cellStyle name="Обычный 8 42 2" xfId="7461"/>
    <cellStyle name="Обычный 8 42 2 2" xfId="18141"/>
    <cellStyle name="Обычный 8 42 2 2 2" xfId="50185"/>
    <cellStyle name="Обычный 8 42 2 3" xfId="28822"/>
    <cellStyle name="Обычный 8 42 2 3 2" xfId="60865"/>
    <cellStyle name="Обычный 8 42 2 4" xfId="39505"/>
    <cellStyle name="Обычный 8 42 3" xfId="12801"/>
    <cellStyle name="Обычный 8 42 3 2" xfId="44845"/>
    <cellStyle name="Обычный 8 42 4" xfId="23482"/>
    <cellStyle name="Обычный 8 42 4 2" xfId="55525"/>
    <cellStyle name="Обычный 8 42 5" xfId="34165"/>
    <cellStyle name="Обычный 8 43" xfId="2149"/>
    <cellStyle name="Обычный 8 43 2" xfId="7491"/>
    <cellStyle name="Обычный 8 43 2 2" xfId="18171"/>
    <cellStyle name="Обычный 8 43 2 2 2" xfId="50215"/>
    <cellStyle name="Обычный 8 43 2 3" xfId="28852"/>
    <cellStyle name="Обычный 8 43 2 3 2" xfId="60895"/>
    <cellStyle name="Обычный 8 43 2 4" xfId="39535"/>
    <cellStyle name="Обычный 8 43 3" xfId="12831"/>
    <cellStyle name="Обычный 8 43 3 2" xfId="44875"/>
    <cellStyle name="Обычный 8 43 4" xfId="23512"/>
    <cellStyle name="Обычный 8 43 4 2" xfId="55555"/>
    <cellStyle name="Обычный 8 43 5" xfId="34195"/>
    <cellStyle name="Обычный 8 44" xfId="2179"/>
    <cellStyle name="Обычный 8 44 2" xfId="7521"/>
    <cellStyle name="Обычный 8 44 2 2" xfId="18201"/>
    <cellStyle name="Обычный 8 44 2 2 2" xfId="50245"/>
    <cellStyle name="Обычный 8 44 2 3" xfId="28882"/>
    <cellStyle name="Обычный 8 44 2 3 2" xfId="60925"/>
    <cellStyle name="Обычный 8 44 2 4" xfId="39565"/>
    <cellStyle name="Обычный 8 44 3" xfId="12861"/>
    <cellStyle name="Обычный 8 44 3 2" xfId="44905"/>
    <cellStyle name="Обычный 8 44 4" xfId="23542"/>
    <cellStyle name="Обычный 8 44 4 2" xfId="55585"/>
    <cellStyle name="Обычный 8 44 5" xfId="34225"/>
    <cellStyle name="Обычный 8 45" xfId="2209"/>
    <cellStyle name="Обычный 8 45 2" xfId="7551"/>
    <cellStyle name="Обычный 8 45 2 2" xfId="18231"/>
    <cellStyle name="Обычный 8 45 2 2 2" xfId="50275"/>
    <cellStyle name="Обычный 8 45 2 3" xfId="28912"/>
    <cellStyle name="Обычный 8 45 2 3 2" xfId="60955"/>
    <cellStyle name="Обычный 8 45 2 4" xfId="39595"/>
    <cellStyle name="Обычный 8 45 3" xfId="12891"/>
    <cellStyle name="Обычный 8 45 3 2" xfId="44935"/>
    <cellStyle name="Обычный 8 45 4" xfId="23572"/>
    <cellStyle name="Обычный 8 45 4 2" xfId="55615"/>
    <cellStyle name="Обычный 8 45 5" xfId="34255"/>
    <cellStyle name="Обычный 8 46" xfId="2239"/>
    <cellStyle name="Обычный 8 46 2" xfId="7581"/>
    <cellStyle name="Обычный 8 46 2 2" xfId="18261"/>
    <cellStyle name="Обычный 8 46 2 2 2" xfId="50305"/>
    <cellStyle name="Обычный 8 46 2 3" xfId="28942"/>
    <cellStyle name="Обычный 8 46 2 3 2" xfId="60985"/>
    <cellStyle name="Обычный 8 46 2 4" xfId="39625"/>
    <cellStyle name="Обычный 8 46 3" xfId="12921"/>
    <cellStyle name="Обычный 8 46 3 2" xfId="44965"/>
    <cellStyle name="Обычный 8 46 4" xfId="23602"/>
    <cellStyle name="Обычный 8 46 4 2" xfId="55645"/>
    <cellStyle name="Обычный 8 46 5" xfId="34285"/>
    <cellStyle name="Обычный 8 47" xfId="2269"/>
    <cellStyle name="Обычный 8 47 2" xfId="7611"/>
    <cellStyle name="Обычный 8 47 2 2" xfId="18291"/>
    <cellStyle name="Обычный 8 47 2 2 2" xfId="50335"/>
    <cellStyle name="Обычный 8 47 2 3" xfId="28972"/>
    <cellStyle name="Обычный 8 47 2 3 2" xfId="61015"/>
    <cellStyle name="Обычный 8 47 2 4" xfId="39655"/>
    <cellStyle name="Обычный 8 47 3" xfId="12951"/>
    <cellStyle name="Обычный 8 47 3 2" xfId="44995"/>
    <cellStyle name="Обычный 8 47 4" xfId="23632"/>
    <cellStyle name="Обычный 8 47 4 2" xfId="55675"/>
    <cellStyle name="Обычный 8 47 5" xfId="34315"/>
    <cellStyle name="Обычный 8 48" xfId="2299"/>
    <cellStyle name="Обычный 8 48 2" xfId="7641"/>
    <cellStyle name="Обычный 8 48 2 2" xfId="18321"/>
    <cellStyle name="Обычный 8 48 2 2 2" xfId="50365"/>
    <cellStyle name="Обычный 8 48 2 3" xfId="29002"/>
    <cellStyle name="Обычный 8 48 2 3 2" xfId="61045"/>
    <cellStyle name="Обычный 8 48 2 4" xfId="39685"/>
    <cellStyle name="Обычный 8 48 3" xfId="12981"/>
    <cellStyle name="Обычный 8 48 3 2" xfId="45025"/>
    <cellStyle name="Обычный 8 48 4" xfId="23662"/>
    <cellStyle name="Обычный 8 48 4 2" xfId="55705"/>
    <cellStyle name="Обычный 8 48 5" xfId="34345"/>
    <cellStyle name="Обычный 8 49" xfId="2329"/>
    <cellStyle name="Обычный 8 49 2" xfId="7671"/>
    <cellStyle name="Обычный 8 49 2 2" xfId="18351"/>
    <cellStyle name="Обычный 8 49 2 2 2" xfId="50395"/>
    <cellStyle name="Обычный 8 49 2 3" xfId="29032"/>
    <cellStyle name="Обычный 8 49 2 3 2" xfId="61075"/>
    <cellStyle name="Обычный 8 49 2 4" xfId="39715"/>
    <cellStyle name="Обычный 8 49 3" xfId="13011"/>
    <cellStyle name="Обычный 8 49 3 2" xfId="45055"/>
    <cellStyle name="Обычный 8 49 4" xfId="23692"/>
    <cellStyle name="Обычный 8 49 4 2" xfId="55735"/>
    <cellStyle name="Обычный 8 49 5" xfId="34375"/>
    <cellStyle name="Обычный 8 5" xfId="1142"/>
    <cellStyle name="Обычный 8 5 2" xfId="6485"/>
    <cellStyle name="Обычный 8 5 2 2" xfId="17165"/>
    <cellStyle name="Обычный 8 5 2 2 2" xfId="49209"/>
    <cellStyle name="Обычный 8 5 2 3" xfId="27846"/>
    <cellStyle name="Обычный 8 5 2 3 2" xfId="59889"/>
    <cellStyle name="Обычный 8 5 2 4" xfId="38529"/>
    <cellStyle name="Обычный 8 5 3" xfId="11825"/>
    <cellStyle name="Обычный 8 5 3 2" xfId="43869"/>
    <cellStyle name="Обычный 8 5 4" xfId="22506"/>
    <cellStyle name="Обычный 8 5 4 2" xfId="54549"/>
    <cellStyle name="Обычный 8 5 5" xfId="33189"/>
    <cellStyle name="Обычный 8 50" xfId="2359"/>
    <cellStyle name="Обычный 8 50 2" xfId="7701"/>
    <cellStyle name="Обычный 8 50 2 2" xfId="18381"/>
    <cellStyle name="Обычный 8 50 2 2 2" xfId="50425"/>
    <cellStyle name="Обычный 8 50 2 3" xfId="29062"/>
    <cellStyle name="Обычный 8 50 2 3 2" xfId="61105"/>
    <cellStyle name="Обычный 8 50 2 4" xfId="39745"/>
    <cellStyle name="Обычный 8 50 3" xfId="13041"/>
    <cellStyle name="Обычный 8 50 3 2" xfId="45085"/>
    <cellStyle name="Обычный 8 50 4" xfId="23722"/>
    <cellStyle name="Обычный 8 50 4 2" xfId="55765"/>
    <cellStyle name="Обычный 8 50 5" xfId="34405"/>
    <cellStyle name="Обычный 8 51" xfId="2389"/>
    <cellStyle name="Обычный 8 51 2" xfId="7731"/>
    <cellStyle name="Обычный 8 51 2 2" xfId="18411"/>
    <cellStyle name="Обычный 8 51 2 2 2" xfId="50455"/>
    <cellStyle name="Обычный 8 51 2 3" xfId="29092"/>
    <cellStyle name="Обычный 8 51 2 3 2" xfId="61135"/>
    <cellStyle name="Обычный 8 51 2 4" xfId="39775"/>
    <cellStyle name="Обычный 8 51 3" xfId="13071"/>
    <cellStyle name="Обычный 8 51 3 2" xfId="45115"/>
    <cellStyle name="Обычный 8 51 4" xfId="23752"/>
    <cellStyle name="Обычный 8 51 4 2" xfId="55795"/>
    <cellStyle name="Обычный 8 51 5" xfId="34435"/>
    <cellStyle name="Обычный 8 52" xfId="2419"/>
    <cellStyle name="Обычный 8 52 2" xfId="7761"/>
    <cellStyle name="Обычный 8 52 2 2" xfId="18441"/>
    <cellStyle name="Обычный 8 52 2 2 2" xfId="50485"/>
    <cellStyle name="Обычный 8 52 2 3" xfId="29122"/>
    <cellStyle name="Обычный 8 52 2 3 2" xfId="61165"/>
    <cellStyle name="Обычный 8 52 2 4" xfId="39805"/>
    <cellStyle name="Обычный 8 52 3" xfId="13101"/>
    <cellStyle name="Обычный 8 52 3 2" xfId="45145"/>
    <cellStyle name="Обычный 8 52 4" xfId="23782"/>
    <cellStyle name="Обычный 8 52 4 2" xfId="55825"/>
    <cellStyle name="Обычный 8 52 5" xfId="34465"/>
    <cellStyle name="Обычный 8 53" xfId="2449"/>
    <cellStyle name="Обычный 8 53 2" xfId="7791"/>
    <cellStyle name="Обычный 8 53 2 2" xfId="18471"/>
    <cellStyle name="Обычный 8 53 2 2 2" xfId="50515"/>
    <cellStyle name="Обычный 8 53 2 3" xfId="29152"/>
    <cellStyle name="Обычный 8 53 2 3 2" xfId="61195"/>
    <cellStyle name="Обычный 8 53 2 4" xfId="39835"/>
    <cellStyle name="Обычный 8 53 3" xfId="13131"/>
    <cellStyle name="Обычный 8 53 3 2" xfId="45175"/>
    <cellStyle name="Обычный 8 53 4" xfId="23812"/>
    <cellStyle name="Обычный 8 53 4 2" xfId="55855"/>
    <cellStyle name="Обычный 8 53 5" xfId="34495"/>
    <cellStyle name="Обычный 8 54" xfId="2479"/>
    <cellStyle name="Обычный 8 54 2" xfId="7821"/>
    <cellStyle name="Обычный 8 54 2 2" xfId="18501"/>
    <cellStyle name="Обычный 8 54 2 2 2" xfId="50545"/>
    <cellStyle name="Обычный 8 54 2 3" xfId="29182"/>
    <cellStyle name="Обычный 8 54 2 3 2" xfId="61225"/>
    <cellStyle name="Обычный 8 54 2 4" xfId="39865"/>
    <cellStyle name="Обычный 8 54 3" xfId="13161"/>
    <cellStyle name="Обычный 8 54 3 2" xfId="45205"/>
    <cellStyle name="Обычный 8 54 4" xfId="23842"/>
    <cellStyle name="Обычный 8 54 4 2" xfId="55885"/>
    <cellStyle name="Обычный 8 54 5" xfId="34525"/>
    <cellStyle name="Обычный 8 55" xfId="2511"/>
    <cellStyle name="Обычный 8 55 2" xfId="7853"/>
    <cellStyle name="Обычный 8 55 2 2" xfId="18533"/>
    <cellStyle name="Обычный 8 55 2 2 2" xfId="50577"/>
    <cellStyle name="Обычный 8 55 2 3" xfId="29214"/>
    <cellStyle name="Обычный 8 55 2 3 2" xfId="61257"/>
    <cellStyle name="Обычный 8 55 2 4" xfId="39897"/>
    <cellStyle name="Обычный 8 55 3" xfId="13193"/>
    <cellStyle name="Обычный 8 55 3 2" xfId="45237"/>
    <cellStyle name="Обычный 8 55 4" xfId="23874"/>
    <cellStyle name="Обычный 8 55 4 2" xfId="55917"/>
    <cellStyle name="Обычный 8 55 5" xfId="34557"/>
    <cellStyle name="Обычный 8 56" xfId="2545"/>
    <cellStyle name="Обычный 8 56 2" xfId="7887"/>
    <cellStyle name="Обычный 8 56 2 2" xfId="18567"/>
    <cellStyle name="Обычный 8 56 2 2 2" xfId="50611"/>
    <cellStyle name="Обычный 8 56 2 3" xfId="29248"/>
    <cellStyle name="Обычный 8 56 2 3 2" xfId="61291"/>
    <cellStyle name="Обычный 8 56 2 4" xfId="39931"/>
    <cellStyle name="Обычный 8 56 3" xfId="13227"/>
    <cellStyle name="Обычный 8 56 3 2" xfId="45271"/>
    <cellStyle name="Обычный 8 56 4" xfId="23908"/>
    <cellStyle name="Обычный 8 56 4 2" xfId="55951"/>
    <cellStyle name="Обычный 8 56 5" xfId="34591"/>
    <cellStyle name="Обычный 8 57" xfId="2577"/>
    <cellStyle name="Обычный 8 57 2" xfId="7919"/>
    <cellStyle name="Обычный 8 57 2 2" xfId="18599"/>
    <cellStyle name="Обычный 8 57 2 2 2" xfId="50643"/>
    <cellStyle name="Обычный 8 57 2 3" xfId="29280"/>
    <cellStyle name="Обычный 8 57 2 3 2" xfId="61323"/>
    <cellStyle name="Обычный 8 57 2 4" xfId="39963"/>
    <cellStyle name="Обычный 8 57 3" xfId="13259"/>
    <cellStyle name="Обычный 8 57 3 2" xfId="45303"/>
    <cellStyle name="Обычный 8 57 4" xfId="23940"/>
    <cellStyle name="Обычный 8 57 4 2" xfId="55983"/>
    <cellStyle name="Обычный 8 57 5" xfId="34623"/>
    <cellStyle name="Обычный 8 58" xfId="2609"/>
    <cellStyle name="Обычный 8 58 2" xfId="7951"/>
    <cellStyle name="Обычный 8 58 2 2" xfId="18631"/>
    <cellStyle name="Обычный 8 58 2 2 2" xfId="50675"/>
    <cellStyle name="Обычный 8 58 2 3" xfId="29312"/>
    <cellStyle name="Обычный 8 58 2 3 2" xfId="61355"/>
    <cellStyle name="Обычный 8 58 2 4" xfId="39995"/>
    <cellStyle name="Обычный 8 58 3" xfId="13291"/>
    <cellStyle name="Обычный 8 58 3 2" xfId="45335"/>
    <cellStyle name="Обычный 8 58 4" xfId="23972"/>
    <cellStyle name="Обычный 8 58 4 2" xfId="56015"/>
    <cellStyle name="Обычный 8 58 5" xfId="34655"/>
    <cellStyle name="Обычный 8 59" xfId="2641"/>
    <cellStyle name="Обычный 8 59 2" xfId="7983"/>
    <cellStyle name="Обычный 8 59 2 2" xfId="18663"/>
    <cellStyle name="Обычный 8 59 2 2 2" xfId="50707"/>
    <cellStyle name="Обычный 8 59 2 3" xfId="29344"/>
    <cellStyle name="Обычный 8 59 2 3 2" xfId="61387"/>
    <cellStyle name="Обычный 8 59 2 4" xfId="40027"/>
    <cellStyle name="Обычный 8 59 3" xfId="13323"/>
    <cellStyle name="Обычный 8 59 3 2" xfId="45367"/>
    <cellStyle name="Обычный 8 59 4" xfId="24004"/>
    <cellStyle name="Обычный 8 59 4 2" xfId="56047"/>
    <cellStyle name="Обычный 8 59 5" xfId="34687"/>
    <cellStyle name="Обычный 8 6" xfId="1168"/>
    <cellStyle name="Обычный 8 6 2" xfId="6511"/>
    <cellStyle name="Обычный 8 6 2 2" xfId="17191"/>
    <cellStyle name="Обычный 8 6 2 2 2" xfId="49235"/>
    <cellStyle name="Обычный 8 6 2 3" xfId="27872"/>
    <cellStyle name="Обычный 8 6 2 3 2" xfId="59915"/>
    <cellStyle name="Обычный 8 6 2 4" xfId="38555"/>
    <cellStyle name="Обычный 8 6 3" xfId="11851"/>
    <cellStyle name="Обычный 8 6 3 2" xfId="43895"/>
    <cellStyle name="Обычный 8 6 4" xfId="22532"/>
    <cellStyle name="Обычный 8 6 4 2" xfId="54575"/>
    <cellStyle name="Обычный 8 6 5" xfId="33215"/>
    <cellStyle name="Обычный 8 60" xfId="2673"/>
    <cellStyle name="Обычный 8 60 2" xfId="8015"/>
    <cellStyle name="Обычный 8 60 2 2" xfId="18695"/>
    <cellStyle name="Обычный 8 60 2 2 2" xfId="50739"/>
    <cellStyle name="Обычный 8 60 2 3" xfId="29376"/>
    <cellStyle name="Обычный 8 60 2 3 2" xfId="61419"/>
    <cellStyle name="Обычный 8 60 2 4" xfId="40059"/>
    <cellStyle name="Обычный 8 60 3" xfId="13355"/>
    <cellStyle name="Обычный 8 60 3 2" xfId="45399"/>
    <cellStyle name="Обычный 8 60 4" xfId="24036"/>
    <cellStyle name="Обычный 8 60 4 2" xfId="56079"/>
    <cellStyle name="Обычный 8 60 5" xfId="34719"/>
    <cellStyle name="Обычный 8 61" xfId="2705"/>
    <cellStyle name="Обычный 8 61 2" xfId="8047"/>
    <cellStyle name="Обычный 8 61 2 2" xfId="18727"/>
    <cellStyle name="Обычный 8 61 2 2 2" xfId="50771"/>
    <cellStyle name="Обычный 8 61 2 3" xfId="29408"/>
    <cellStyle name="Обычный 8 61 2 3 2" xfId="61451"/>
    <cellStyle name="Обычный 8 61 2 4" xfId="40091"/>
    <cellStyle name="Обычный 8 61 3" xfId="13387"/>
    <cellStyle name="Обычный 8 61 3 2" xfId="45431"/>
    <cellStyle name="Обычный 8 61 4" xfId="24068"/>
    <cellStyle name="Обычный 8 61 4 2" xfId="56111"/>
    <cellStyle name="Обычный 8 61 5" xfId="34751"/>
    <cellStyle name="Обычный 8 62" xfId="2737"/>
    <cellStyle name="Обычный 8 62 2" xfId="8079"/>
    <cellStyle name="Обычный 8 62 2 2" xfId="18759"/>
    <cellStyle name="Обычный 8 62 2 2 2" xfId="50803"/>
    <cellStyle name="Обычный 8 62 2 3" xfId="29440"/>
    <cellStyle name="Обычный 8 62 2 3 2" xfId="61483"/>
    <cellStyle name="Обычный 8 62 2 4" xfId="40123"/>
    <cellStyle name="Обычный 8 62 3" xfId="13419"/>
    <cellStyle name="Обычный 8 62 3 2" xfId="45463"/>
    <cellStyle name="Обычный 8 62 4" xfId="24100"/>
    <cellStyle name="Обычный 8 62 4 2" xfId="56143"/>
    <cellStyle name="Обычный 8 62 5" xfId="34783"/>
    <cellStyle name="Обычный 8 63" xfId="2771"/>
    <cellStyle name="Обычный 8 63 2" xfId="8113"/>
    <cellStyle name="Обычный 8 63 2 2" xfId="18793"/>
    <cellStyle name="Обычный 8 63 2 2 2" xfId="50837"/>
    <cellStyle name="Обычный 8 63 2 3" xfId="29474"/>
    <cellStyle name="Обычный 8 63 2 3 2" xfId="61517"/>
    <cellStyle name="Обычный 8 63 2 4" xfId="40157"/>
    <cellStyle name="Обычный 8 63 3" xfId="13453"/>
    <cellStyle name="Обычный 8 63 3 2" xfId="45497"/>
    <cellStyle name="Обычный 8 63 4" xfId="24134"/>
    <cellStyle name="Обычный 8 63 4 2" xfId="56177"/>
    <cellStyle name="Обычный 8 63 5" xfId="34817"/>
    <cellStyle name="Обычный 8 64" xfId="2803"/>
    <cellStyle name="Обычный 8 64 2" xfId="8145"/>
    <cellStyle name="Обычный 8 64 2 2" xfId="18825"/>
    <cellStyle name="Обычный 8 64 2 2 2" xfId="50869"/>
    <cellStyle name="Обычный 8 64 2 3" xfId="29506"/>
    <cellStyle name="Обычный 8 64 2 3 2" xfId="61549"/>
    <cellStyle name="Обычный 8 64 2 4" xfId="40189"/>
    <cellStyle name="Обычный 8 64 3" xfId="13485"/>
    <cellStyle name="Обычный 8 64 3 2" xfId="45529"/>
    <cellStyle name="Обычный 8 64 4" xfId="24166"/>
    <cellStyle name="Обычный 8 64 4 2" xfId="56209"/>
    <cellStyle name="Обычный 8 64 5" xfId="34849"/>
    <cellStyle name="Обычный 8 65" xfId="2835"/>
    <cellStyle name="Обычный 8 65 2" xfId="8177"/>
    <cellStyle name="Обычный 8 65 2 2" xfId="18857"/>
    <cellStyle name="Обычный 8 65 2 2 2" xfId="50901"/>
    <cellStyle name="Обычный 8 65 2 3" xfId="29538"/>
    <cellStyle name="Обычный 8 65 2 3 2" xfId="61581"/>
    <cellStyle name="Обычный 8 65 2 4" xfId="40221"/>
    <cellStyle name="Обычный 8 65 3" xfId="13517"/>
    <cellStyle name="Обычный 8 65 3 2" xfId="45561"/>
    <cellStyle name="Обычный 8 65 4" xfId="24198"/>
    <cellStyle name="Обычный 8 65 4 2" xfId="56241"/>
    <cellStyle name="Обычный 8 65 5" xfId="34881"/>
    <cellStyle name="Обычный 8 66" xfId="2867"/>
    <cellStyle name="Обычный 8 66 2" xfId="8209"/>
    <cellStyle name="Обычный 8 66 2 2" xfId="18889"/>
    <cellStyle name="Обычный 8 66 2 2 2" xfId="50933"/>
    <cellStyle name="Обычный 8 66 2 3" xfId="29570"/>
    <cellStyle name="Обычный 8 66 2 3 2" xfId="61613"/>
    <cellStyle name="Обычный 8 66 2 4" xfId="40253"/>
    <cellStyle name="Обычный 8 66 3" xfId="13549"/>
    <cellStyle name="Обычный 8 66 3 2" xfId="45593"/>
    <cellStyle name="Обычный 8 66 4" xfId="24230"/>
    <cellStyle name="Обычный 8 66 4 2" xfId="56273"/>
    <cellStyle name="Обычный 8 66 5" xfId="34913"/>
    <cellStyle name="Обычный 8 67" xfId="2899"/>
    <cellStyle name="Обычный 8 67 2" xfId="8241"/>
    <cellStyle name="Обычный 8 67 2 2" xfId="18921"/>
    <cellStyle name="Обычный 8 67 2 2 2" xfId="50965"/>
    <cellStyle name="Обычный 8 67 2 3" xfId="29602"/>
    <cellStyle name="Обычный 8 67 2 3 2" xfId="61645"/>
    <cellStyle name="Обычный 8 67 2 4" xfId="40285"/>
    <cellStyle name="Обычный 8 67 3" xfId="13581"/>
    <cellStyle name="Обычный 8 67 3 2" xfId="45625"/>
    <cellStyle name="Обычный 8 67 4" xfId="24262"/>
    <cellStyle name="Обычный 8 67 4 2" xfId="56305"/>
    <cellStyle name="Обычный 8 67 5" xfId="34945"/>
    <cellStyle name="Обычный 8 68" xfId="2931"/>
    <cellStyle name="Обычный 8 68 2" xfId="8273"/>
    <cellStyle name="Обычный 8 68 2 2" xfId="18953"/>
    <cellStyle name="Обычный 8 68 2 2 2" xfId="50997"/>
    <cellStyle name="Обычный 8 68 2 3" xfId="29634"/>
    <cellStyle name="Обычный 8 68 2 3 2" xfId="61677"/>
    <cellStyle name="Обычный 8 68 2 4" xfId="40317"/>
    <cellStyle name="Обычный 8 68 3" xfId="13613"/>
    <cellStyle name="Обычный 8 68 3 2" xfId="45657"/>
    <cellStyle name="Обычный 8 68 4" xfId="24294"/>
    <cellStyle name="Обычный 8 68 4 2" xfId="56337"/>
    <cellStyle name="Обычный 8 68 5" xfId="34977"/>
    <cellStyle name="Обычный 8 69" xfId="2963"/>
    <cellStyle name="Обычный 8 69 2" xfId="8305"/>
    <cellStyle name="Обычный 8 69 2 2" xfId="18985"/>
    <cellStyle name="Обычный 8 69 2 2 2" xfId="51029"/>
    <cellStyle name="Обычный 8 69 2 3" xfId="29666"/>
    <cellStyle name="Обычный 8 69 2 3 2" xfId="61709"/>
    <cellStyle name="Обычный 8 69 2 4" xfId="40349"/>
    <cellStyle name="Обычный 8 69 3" xfId="13645"/>
    <cellStyle name="Обычный 8 69 3 2" xfId="45689"/>
    <cellStyle name="Обычный 8 69 4" xfId="24326"/>
    <cellStyle name="Обычный 8 69 4 2" xfId="56369"/>
    <cellStyle name="Обычный 8 69 5" xfId="35009"/>
    <cellStyle name="Обычный 8 7" xfId="1194"/>
    <cellStyle name="Обычный 8 7 2" xfId="6537"/>
    <cellStyle name="Обычный 8 7 2 2" xfId="17217"/>
    <cellStyle name="Обычный 8 7 2 2 2" xfId="49261"/>
    <cellStyle name="Обычный 8 7 2 3" xfId="27898"/>
    <cellStyle name="Обычный 8 7 2 3 2" xfId="59941"/>
    <cellStyle name="Обычный 8 7 2 4" xfId="38581"/>
    <cellStyle name="Обычный 8 7 3" xfId="11877"/>
    <cellStyle name="Обычный 8 7 3 2" xfId="43921"/>
    <cellStyle name="Обычный 8 7 4" xfId="22558"/>
    <cellStyle name="Обычный 8 7 4 2" xfId="54601"/>
    <cellStyle name="Обычный 8 7 5" xfId="33241"/>
    <cellStyle name="Обычный 8 70" xfId="2995"/>
    <cellStyle name="Обычный 8 70 2" xfId="8337"/>
    <cellStyle name="Обычный 8 70 2 2" xfId="19017"/>
    <cellStyle name="Обычный 8 70 2 2 2" xfId="51061"/>
    <cellStyle name="Обычный 8 70 2 3" xfId="29698"/>
    <cellStyle name="Обычный 8 70 2 3 2" xfId="61741"/>
    <cellStyle name="Обычный 8 70 2 4" xfId="40381"/>
    <cellStyle name="Обычный 8 70 3" xfId="13677"/>
    <cellStyle name="Обычный 8 70 3 2" xfId="45721"/>
    <cellStyle name="Обычный 8 70 4" xfId="24358"/>
    <cellStyle name="Обычный 8 70 4 2" xfId="56401"/>
    <cellStyle name="Обычный 8 70 5" xfId="35041"/>
    <cellStyle name="Обычный 8 71" xfId="3027"/>
    <cellStyle name="Обычный 8 71 2" xfId="8369"/>
    <cellStyle name="Обычный 8 71 2 2" xfId="19049"/>
    <cellStyle name="Обычный 8 71 2 2 2" xfId="51093"/>
    <cellStyle name="Обычный 8 71 2 3" xfId="29730"/>
    <cellStyle name="Обычный 8 71 2 3 2" xfId="61773"/>
    <cellStyle name="Обычный 8 71 2 4" xfId="40413"/>
    <cellStyle name="Обычный 8 71 3" xfId="13709"/>
    <cellStyle name="Обычный 8 71 3 2" xfId="45753"/>
    <cellStyle name="Обычный 8 71 4" xfId="24390"/>
    <cellStyle name="Обычный 8 71 4 2" xfId="56433"/>
    <cellStyle name="Обычный 8 71 5" xfId="35073"/>
    <cellStyle name="Обычный 8 72" xfId="3059"/>
    <cellStyle name="Обычный 8 72 2" xfId="8401"/>
    <cellStyle name="Обычный 8 72 2 2" xfId="19081"/>
    <cellStyle name="Обычный 8 72 2 2 2" xfId="51125"/>
    <cellStyle name="Обычный 8 72 2 3" xfId="29762"/>
    <cellStyle name="Обычный 8 72 2 3 2" xfId="61805"/>
    <cellStyle name="Обычный 8 72 2 4" xfId="40445"/>
    <cellStyle name="Обычный 8 72 3" xfId="13741"/>
    <cellStyle name="Обычный 8 72 3 2" xfId="45785"/>
    <cellStyle name="Обычный 8 72 4" xfId="24422"/>
    <cellStyle name="Обычный 8 72 4 2" xfId="56465"/>
    <cellStyle name="Обычный 8 72 5" xfId="35105"/>
    <cellStyle name="Обычный 8 73" xfId="3091"/>
    <cellStyle name="Обычный 8 73 2" xfId="8433"/>
    <cellStyle name="Обычный 8 73 2 2" xfId="19113"/>
    <cellStyle name="Обычный 8 73 2 2 2" xfId="51157"/>
    <cellStyle name="Обычный 8 73 2 3" xfId="29794"/>
    <cellStyle name="Обычный 8 73 2 3 2" xfId="61837"/>
    <cellStyle name="Обычный 8 73 2 4" xfId="40477"/>
    <cellStyle name="Обычный 8 73 3" xfId="13773"/>
    <cellStyle name="Обычный 8 73 3 2" xfId="45817"/>
    <cellStyle name="Обычный 8 73 4" xfId="24454"/>
    <cellStyle name="Обычный 8 73 4 2" xfId="56497"/>
    <cellStyle name="Обычный 8 73 5" xfId="35137"/>
    <cellStyle name="Обычный 8 74" xfId="3124"/>
    <cellStyle name="Обычный 8 74 2" xfId="8465"/>
    <cellStyle name="Обычный 8 74 2 2" xfId="19145"/>
    <cellStyle name="Обычный 8 74 2 2 2" xfId="51189"/>
    <cellStyle name="Обычный 8 74 2 3" xfId="29826"/>
    <cellStyle name="Обычный 8 74 2 3 2" xfId="61869"/>
    <cellStyle name="Обычный 8 74 2 4" xfId="40509"/>
    <cellStyle name="Обычный 8 74 3" xfId="13805"/>
    <cellStyle name="Обычный 8 74 3 2" xfId="45849"/>
    <cellStyle name="Обычный 8 74 4" xfId="24486"/>
    <cellStyle name="Обычный 8 74 4 2" xfId="56529"/>
    <cellStyle name="Обычный 8 74 5" xfId="35169"/>
    <cellStyle name="Обычный 8 75" xfId="3156"/>
    <cellStyle name="Обычный 8 75 2" xfId="8497"/>
    <cellStyle name="Обычный 8 75 2 2" xfId="19177"/>
    <cellStyle name="Обычный 8 75 2 2 2" xfId="51221"/>
    <cellStyle name="Обычный 8 75 2 3" xfId="29858"/>
    <cellStyle name="Обычный 8 75 2 3 2" xfId="61901"/>
    <cellStyle name="Обычный 8 75 2 4" xfId="40541"/>
    <cellStyle name="Обычный 8 75 3" xfId="13837"/>
    <cellStyle name="Обычный 8 75 3 2" xfId="45881"/>
    <cellStyle name="Обычный 8 75 4" xfId="24518"/>
    <cellStyle name="Обычный 8 75 4 2" xfId="56561"/>
    <cellStyle name="Обычный 8 75 5" xfId="35201"/>
    <cellStyle name="Обычный 8 76" xfId="3188"/>
    <cellStyle name="Обычный 8 76 2" xfId="8529"/>
    <cellStyle name="Обычный 8 76 2 2" xfId="19209"/>
    <cellStyle name="Обычный 8 76 2 2 2" xfId="51253"/>
    <cellStyle name="Обычный 8 76 2 3" xfId="29890"/>
    <cellStyle name="Обычный 8 76 2 3 2" xfId="61933"/>
    <cellStyle name="Обычный 8 76 2 4" xfId="40573"/>
    <cellStyle name="Обычный 8 76 3" xfId="13869"/>
    <cellStyle name="Обычный 8 76 3 2" xfId="45913"/>
    <cellStyle name="Обычный 8 76 4" xfId="24550"/>
    <cellStyle name="Обычный 8 76 4 2" xfId="56593"/>
    <cellStyle name="Обычный 8 76 5" xfId="35233"/>
    <cellStyle name="Обычный 8 77" xfId="3220"/>
    <cellStyle name="Обычный 8 77 2" xfId="8561"/>
    <cellStyle name="Обычный 8 77 2 2" xfId="19241"/>
    <cellStyle name="Обычный 8 77 2 2 2" xfId="51285"/>
    <cellStyle name="Обычный 8 77 2 3" xfId="29922"/>
    <cellStyle name="Обычный 8 77 2 3 2" xfId="61965"/>
    <cellStyle name="Обычный 8 77 2 4" xfId="40605"/>
    <cellStyle name="Обычный 8 77 3" xfId="13901"/>
    <cellStyle name="Обычный 8 77 3 2" xfId="45945"/>
    <cellStyle name="Обычный 8 77 4" xfId="24582"/>
    <cellStyle name="Обычный 8 77 4 2" xfId="56625"/>
    <cellStyle name="Обычный 8 77 5" xfId="35265"/>
    <cellStyle name="Обычный 8 78" xfId="3252"/>
    <cellStyle name="Обычный 8 78 2" xfId="8593"/>
    <cellStyle name="Обычный 8 78 2 2" xfId="19273"/>
    <cellStyle name="Обычный 8 78 2 2 2" xfId="51317"/>
    <cellStyle name="Обычный 8 78 2 3" xfId="29954"/>
    <cellStyle name="Обычный 8 78 2 3 2" xfId="61997"/>
    <cellStyle name="Обычный 8 78 2 4" xfId="40637"/>
    <cellStyle name="Обычный 8 78 3" xfId="13933"/>
    <cellStyle name="Обычный 8 78 3 2" xfId="45977"/>
    <cellStyle name="Обычный 8 78 4" xfId="24614"/>
    <cellStyle name="Обычный 8 78 4 2" xfId="56657"/>
    <cellStyle name="Обычный 8 78 5" xfId="35297"/>
    <cellStyle name="Обычный 8 79" xfId="3284"/>
    <cellStyle name="Обычный 8 79 2" xfId="8625"/>
    <cellStyle name="Обычный 8 79 2 2" xfId="19305"/>
    <cellStyle name="Обычный 8 79 2 2 2" xfId="51349"/>
    <cellStyle name="Обычный 8 79 2 3" xfId="29986"/>
    <cellStyle name="Обычный 8 79 2 3 2" xfId="62029"/>
    <cellStyle name="Обычный 8 79 2 4" xfId="40669"/>
    <cellStyle name="Обычный 8 79 3" xfId="13965"/>
    <cellStyle name="Обычный 8 79 3 2" xfId="46009"/>
    <cellStyle name="Обычный 8 79 4" xfId="24646"/>
    <cellStyle name="Обычный 8 79 4 2" xfId="56689"/>
    <cellStyle name="Обычный 8 79 5" xfId="35329"/>
    <cellStyle name="Обычный 8 8" xfId="1220"/>
    <cellStyle name="Обычный 8 8 2" xfId="6563"/>
    <cellStyle name="Обычный 8 8 2 2" xfId="17243"/>
    <cellStyle name="Обычный 8 8 2 2 2" xfId="49287"/>
    <cellStyle name="Обычный 8 8 2 3" xfId="27924"/>
    <cellStyle name="Обычный 8 8 2 3 2" xfId="59967"/>
    <cellStyle name="Обычный 8 8 2 4" xfId="38607"/>
    <cellStyle name="Обычный 8 8 3" xfId="11903"/>
    <cellStyle name="Обычный 8 8 3 2" xfId="43947"/>
    <cellStyle name="Обычный 8 8 4" xfId="22584"/>
    <cellStyle name="Обычный 8 8 4 2" xfId="54627"/>
    <cellStyle name="Обычный 8 8 5" xfId="33267"/>
    <cellStyle name="Обычный 8 80" xfId="3316"/>
    <cellStyle name="Обычный 8 80 2" xfId="8657"/>
    <cellStyle name="Обычный 8 80 2 2" xfId="19337"/>
    <cellStyle name="Обычный 8 80 2 2 2" xfId="51381"/>
    <cellStyle name="Обычный 8 80 2 3" xfId="30018"/>
    <cellStyle name="Обычный 8 80 2 3 2" xfId="62061"/>
    <cellStyle name="Обычный 8 80 2 4" xfId="40701"/>
    <cellStyle name="Обычный 8 80 3" xfId="13997"/>
    <cellStyle name="Обычный 8 80 3 2" xfId="46041"/>
    <cellStyle name="Обычный 8 80 4" xfId="24678"/>
    <cellStyle name="Обычный 8 80 4 2" xfId="56721"/>
    <cellStyle name="Обычный 8 80 5" xfId="35361"/>
    <cellStyle name="Обычный 8 81" xfId="3348"/>
    <cellStyle name="Обычный 8 81 2" xfId="8689"/>
    <cellStyle name="Обычный 8 81 2 2" xfId="19369"/>
    <cellStyle name="Обычный 8 81 2 2 2" xfId="51413"/>
    <cellStyle name="Обычный 8 81 2 3" xfId="30050"/>
    <cellStyle name="Обычный 8 81 2 3 2" xfId="62093"/>
    <cellStyle name="Обычный 8 81 2 4" xfId="40733"/>
    <cellStyle name="Обычный 8 81 3" xfId="14029"/>
    <cellStyle name="Обычный 8 81 3 2" xfId="46073"/>
    <cellStyle name="Обычный 8 81 4" xfId="24710"/>
    <cellStyle name="Обычный 8 81 4 2" xfId="56753"/>
    <cellStyle name="Обычный 8 81 5" xfId="35393"/>
    <cellStyle name="Обычный 8 82" xfId="3380"/>
    <cellStyle name="Обычный 8 82 2" xfId="8721"/>
    <cellStyle name="Обычный 8 82 2 2" xfId="19401"/>
    <cellStyle name="Обычный 8 82 2 2 2" xfId="51445"/>
    <cellStyle name="Обычный 8 82 2 3" xfId="30082"/>
    <cellStyle name="Обычный 8 82 2 3 2" xfId="62125"/>
    <cellStyle name="Обычный 8 82 2 4" xfId="40765"/>
    <cellStyle name="Обычный 8 82 3" xfId="14061"/>
    <cellStyle name="Обычный 8 82 3 2" xfId="46105"/>
    <cellStyle name="Обычный 8 82 4" xfId="24742"/>
    <cellStyle name="Обычный 8 82 4 2" xfId="56785"/>
    <cellStyle name="Обычный 8 82 5" xfId="35425"/>
    <cellStyle name="Обычный 8 83" xfId="3412"/>
    <cellStyle name="Обычный 8 83 2" xfId="8753"/>
    <cellStyle name="Обычный 8 83 2 2" xfId="19433"/>
    <cellStyle name="Обычный 8 83 2 2 2" xfId="51477"/>
    <cellStyle name="Обычный 8 83 2 3" xfId="30114"/>
    <cellStyle name="Обычный 8 83 2 3 2" xfId="62157"/>
    <cellStyle name="Обычный 8 83 2 4" xfId="40797"/>
    <cellStyle name="Обычный 8 83 3" xfId="14093"/>
    <cellStyle name="Обычный 8 83 3 2" xfId="46137"/>
    <cellStyle name="Обычный 8 83 4" xfId="24774"/>
    <cellStyle name="Обычный 8 83 4 2" xfId="56817"/>
    <cellStyle name="Обычный 8 83 5" xfId="35457"/>
    <cellStyle name="Обычный 8 84" xfId="3444"/>
    <cellStyle name="Обычный 8 84 2" xfId="8785"/>
    <cellStyle name="Обычный 8 84 2 2" xfId="19465"/>
    <cellStyle name="Обычный 8 84 2 2 2" xfId="51509"/>
    <cellStyle name="Обычный 8 84 2 3" xfId="30146"/>
    <cellStyle name="Обычный 8 84 2 3 2" xfId="62189"/>
    <cellStyle name="Обычный 8 84 2 4" xfId="40829"/>
    <cellStyle name="Обычный 8 84 3" xfId="14125"/>
    <cellStyle name="Обычный 8 84 3 2" xfId="46169"/>
    <cellStyle name="Обычный 8 84 4" xfId="24806"/>
    <cellStyle name="Обычный 8 84 4 2" xfId="56849"/>
    <cellStyle name="Обычный 8 84 5" xfId="35489"/>
    <cellStyle name="Обычный 8 85" xfId="3476"/>
    <cellStyle name="Обычный 8 85 2" xfId="8817"/>
    <cellStyle name="Обычный 8 85 2 2" xfId="19497"/>
    <cellStyle name="Обычный 8 85 2 2 2" xfId="51541"/>
    <cellStyle name="Обычный 8 85 2 3" xfId="30178"/>
    <cellStyle name="Обычный 8 85 2 3 2" xfId="62221"/>
    <cellStyle name="Обычный 8 85 2 4" xfId="40861"/>
    <cellStyle name="Обычный 8 85 3" xfId="14157"/>
    <cellStyle name="Обычный 8 85 3 2" xfId="46201"/>
    <cellStyle name="Обычный 8 85 4" xfId="24838"/>
    <cellStyle name="Обычный 8 85 4 2" xfId="56881"/>
    <cellStyle name="Обычный 8 85 5" xfId="35521"/>
    <cellStyle name="Обычный 8 86" xfId="3508"/>
    <cellStyle name="Обычный 8 86 2" xfId="8849"/>
    <cellStyle name="Обычный 8 86 2 2" xfId="19529"/>
    <cellStyle name="Обычный 8 86 2 2 2" xfId="51573"/>
    <cellStyle name="Обычный 8 86 2 3" xfId="30210"/>
    <cellStyle name="Обычный 8 86 2 3 2" xfId="62253"/>
    <cellStyle name="Обычный 8 86 2 4" xfId="40893"/>
    <cellStyle name="Обычный 8 86 3" xfId="14189"/>
    <cellStyle name="Обычный 8 86 3 2" xfId="46233"/>
    <cellStyle name="Обычный 8 86 4" xfId="24870"/>
    <cellStyle name="Обычный 8 86 4 2" xfId="56913"/>
    <cellStyle name="Обычный 8 86 5" xfId="35553"/>
    <cellStyle name="Обычный 8 87" xfId="3540"/>
    <cellStyle name="Обычный 8 87 2" xfId="8881"/>
    <cellStyle name="Обычный 8 87 2 2" xfId="19561"/>
    <cellStyle name="Обычный 8 87 2 2 2" xfId="51605"/>
    <cellStyle name="Обычный 8 87 2 3" xfId="30242"/>
    <cellStyle name="Обычный 8 87 2 3 2" xfId="62285"/>
    <cellStyle name="Обычный 8 87 2 4" xfId="40925"/>
    <cellStyle name="Обычный 8 87 3" xfId="14221"/>
    <cellStyle name="Обычный 8 87 3 2" xfId="46265"/>
    <cellStyle name="Обычный 8 87 4" xfId="24902"/>
    <cellStyle name="Обычный 8 87 4 2" xfId="56945"/>
    <cellStyle name="Обычный 8 87 5" xfId="35585"/>
    <cellStyle name="Обычный 8 88" xfId="3572"/>
    <cellStyle name="Обычный 8 88 2" xfId="8913"/>
    <cellStyle name="Обычный 8 88 2 2" xfId="19593"/>
    <cellStyle name="Обычный 8 88 2 2 2" xfId="51637"/>
    <cellStyle name="Обычный 8 88 2 3" xfId="30274"/>
    <cellStyle name="Обычный 8 88 2 3 2" xfId="62317"/>
    <cellStyle name="Обычный 8 88 2 4" xfId="40957"/>
    <cellStyle name="Обычный 8 88 3" xfId="14253"/>
    <cellStyle name="Обычный 8 88 3 2" xfId="46297"/>
    <cellStyle name="Обычный 8 88 4" xfId="24934"/>
    <cellStyle name="Обычный 8 88 4 2" xfId="56977"/>
    <cellStyle name="Обычный 8 88 5" xfId="35617"/>
    <cellStyle name="Обычный 8 89" xfId="3604"/>
    <cellStyle name="Обычный 8 89 2" xfId="8945"/>
    <cellStyle name="Обычный 8 89 2 2" xfId="19625"/>
    <cellStyle name="Обычный 8 89 2 2 2" xfId="51669"/>
    <cellStyle name="Обычный 8 89 2 3" xfId="30306"/>
    <cellStyle name="Обычный 8 89 2 3 2" xfId="62349"/>
    <cellStyle name="Обычный 8 89 2 4" xfId="40989"/>
    <cellStyle name="Обычный 8 89 3" xfId="14285"/>
    <cellStyle name="Обычный 8 89 3 2" xfId="46329"/>
    <cellStyle name="Обычный 8 89 4" xfId="24966"/>
    <cellStyle name="Обычный 8 89 4 2" xfId="57009"/>
    <cellStyle name="Обычный 8 89 5" xfId="35649"/>
    <cellStyle name="Обычный 8 9" xfId="1246"/>
    <cellStyle name="Обычный 8 9 2" xfId="6589"/>
    <cellStyle name="Обычный 8 9 2 2" xfId="17269"/>
    <cellStyle name="Обычный 8 9 2 2 2" xfId="49313"/>
    <cellStyle name="Обычный 8 9 2 3" xfId="27950"/>
    <cellStyle name="Обычный 8 9 2 3 2" xfId="59993"/>
    <cellStyle name="Обычный 8 9 2 4" xfId="38633"/>
    <cellStyle name="Обычный 8 9 3" xfId="11929"/>
    <cellStyle name="Обычный 8 9 3 2" xfId="43973"/>
    <cellStyle name="Обычный 8 9 4" xfId="22610"/>
    <cellStyle name="Обычный 8 9 4 2" xfId="54653"/>
    <cellStyle name="Обычный 8 9 5" xfId="33293"/>
    <cellStyle name="Обычный 8 90" xfId="3636"/>
    <cellStyle name="Обычный 8 90 2" xfId="8977"/>
    <cellStyle name="Обычный 8 90 2 2" xfId="19657"/>
    <cellStyle name="Обычный 8 90 2 2 2" xfId="51701"/>
    <cellStyle name="Обычный 8 90 2 3" xfId="30338"/>
    <cellStyle name="Обычный 8 90 2 3 2" xfId="62381"/>
    <cellStyle name="Обычный 8 90 2 4" xfId="41021"/>
    <cellStyle name="Обычный 8 90 3" xfId="14317"/>
    <cellStyle name="Обычный 8 90 3 2" xfId="46361"/>
    <cellStyle name="Обычный 8 90 4" xfId="24998"/>
    <cellStyle name="Обычный 8 90 4 2" xfId="57041"/>
    <cellStyle name="Обычный 8 90 5" xfId="35681"/>
    <cellStyle name="Обычный 8 91" xfId="3668"/>
    <cellStyle name="Обычный 8 91 2" xfId="9009"/>
    <cellStyle name="Обычный 8 91 2 2" xfId="19689"/>
    <cellStyle name="Обычный 8 91 2 2 2" xfId="51733"/>
    <cellStyle name="Обычный 8 91 2 3" xfId="30370"/>
    <cellStyle name="Обычный 8 91 2 3 2" xfId="62413"/>
    <cellStyle name="Обычный 8 91 2 4" xfId="41053"/>
    <cellStyle name="Обычный 8 91 3" xfId="14349"/>
    <cellStyle name="Обычный 8 91 3 2" xfId="46393"/>
    <cellStyle name="Обычный 8 91 4" xfId="25030"/>
    <cellStyle name="Обычный 8 91 4 2" xfId="57073"/>
    <cellStyle name="Обычный 8 91 5" xfId="35713"/>
    <cellStyle name="Обычный 8 92" xfId="3700"/>
    <cellStyle name="Обычный 8 92 2" xfId="9041"/>
    <cellStyle name="Обычный 8 92 2 2" xfId="19721"/>
    <cellStyle name="Обычный 8 92 2 2 2" xfId="51765"/>
    <cellStyle name="Обычный 8 92 2 3" xfId="30402"/>
    <cellStyle name="Обычный 8 92 2 3 2" xfId="62445"/>
    <cellStyle name="Обычный 8 92 2 4" xfId="41085"/>
    <cellStyle name="Обычный 8 92 3" xfId="14381"/>
    <cellStyle name="Обычный 8 92 3 2" xfId="46425"/>
    <cellStyle name="Обычный 8 92 4" xfId="25062"/>
    <cellStyle name="Обычный 8 92 4 2" xfId="57105"/>
    <cellStyle name="Обычный 8 92 5" xfId="35745"/>
    <cellStyle name="Обычный 8 93" xfId="3732"/>
    <cellStyle name="Обычный 8 93 2" xfId="9073"/>
    <cellStyle name="Обычный 8 93 2 2" xfId="19753"/>
    <cellStyle name="Обычный 8 93 2 2 2" xfId="51797"/>
    <cellStyle name="Обычный 8 93 2 3" xfId="30434"/>
    <cellStyle name="Обычный 8 93 2 3 2" xfId="62477"/>
    <cellStyle name="Обычный 8 93 2 4" xfId="41117"/>
    <cellStyle name="Обычный 8 93 3" xfId="14413"/>
    <cellStyle name="Обычный 8 93 3 2" xfId="46457"/>
    <cellStyle name="Обычный 8 93 4" xfId="25094"/>
    <cellStyle name="Обычный 8 93 4 2" xfId="57137"/>
    <cellStyle name="Обычный 8 93 5" xfId="35777"/>
    <cellStyle name="Обычный 8 94" xfId="3764"/>
    <cellStyle name="Обычный 8 94 2" xfId="9105"/>
    <cellStyle name="Обычный 8 94 2 2" xfId="19785"/>
    <cellStyle name="Обычный 8 94 2 2 2" xfId="51829"/>
    <cellStyle name="Обычный 8 94 2 3" xfId="30466"/>
    <cellStyle name="Обычный 8 94 2 3 2" xfId="62509"/>
    <cellStyle name="Обычный 8 94 2 4" xfId="41149"/>
    <cellStyle name="Обычный 8 94 3" xfId="14445"/>
    <cellStyle name="Обычный 8 94 3 2" xfId="46489"/>
    <cellStyle name="Обычный 8 94 4" xfId="25126"/>
    <cellStyle name="Обычный 8 94 4 2" xfId="57169"/>
    <cellStyle name="Обычный 8 94 5" xfId="35809"/>
    <cellStyle name="Обычный 8 95" xfId="3796"/>
    <cellStyle name="Обычный 8 95 2" xfId="9137"/>
    <cellStyle name="Обычный 8 95 2 2" xfId="19817"/>
    <cellStyle name="Обычный 8 95 2 2 2" xfId="51861"/>
    <cellStyle name="Обычный 8 95 2 3" xfId="30498"/>
    <cellStyle name="Обычный 8 95 2 3 2" xfId="62541"/>
    <cellStyle name="Обычный 8 95 2 4" xfId="41181"/>
    <cellStyle name="Обычный 8 95 3" xfId="14477"/>
    <cellStyle name="Обычный 8 95 3 2" xfId="46521"/>
    <cellStyle name="Обычный 8 95 4" xfId="25158"/>
    <cellStyle name="Обычный 8 95 4 2" xfId="57201"/>
    <cellStyle name="Обычный 8 95 5" xfId="35841"/>
    <cellStyle name="Обычный 8 96" xfId="3828"/>
    <cellStyle name="Обычный 8 96 2" xfId="9169"/>
    <cellStyle name="Обычный 8 96 2 2" xfId="19849"/>
    <cellStyle name="Обычный 8 96 2 2 2" xfId="51893"/>
    <cellStyle name="Обычный 8 96 2 3" xfId="30530"/>
    <cellStyle name="Обычный 8 96 2 3 2" xfId="62573"/>
    <cellStyle name="Обычный 8 96 2 4" xfId="41213"/>
    <cellStyle name="Обычный 8 96 3" xfId="14509"/>
    <cellStyle name="Обычный 8 96 3 2" xfId="46553"/>
    <cellStyle name="Обычный 8 96 4" xfId="25190"/>
    <cellStyle name="Обычный 8 96 4 2" xfId="57233"/>
    <cellStyle name="Обычный 8 96 5" xfId="35873"/>
    <cellStyle name="Обычный 8 97" xfId="3860"/>
    <cellStyle name="Обычный 8 97 2" xfId="9201"/>
    <cellStyle name="Обычный 8 97 2 2" xfId="19881"/>
    <cellStyle name="Обычный 8 97 2 2 2" xfId="51925"/>
    <cellStyle name="Обычный 8 97 2 3" xfId="30562"/>
    <cellStyle name="Обычный 8 97 2 3 2" xfId="62605"/>
    <cellStyle name="Обычный 8 97 2 4" xfId="41245"/>
    <cellStyle name="Обычный 8 97 3" xfId="14541"/>
    <cellStyle name="Обычный 8 97 3 2" xfId="46585"/>
    <cellStyle name="Обычный 8 97 4" xfId="25222"/>
    <cellStyle name="Обычный 8 97 4 2" xfId="57265"/>
    <cellStyle name="Обычный 8 97 5" xfId="35905"/>
    <cellStyle name="Обычный 8 98" xfId="3892"/>
    <cellStyle name="Обычный 8 98 2" xfId="9233"/>
    <cellStyle name="Обычный 8 98 2 2" xfId="19913"/>
    <cellStyle name="Обычный 8 98 2 2 2" xfId="51957"/>
    <cellStyle name="Обычный 8 98 2 3" xfId="30594"/>
    <cellStyle name="Обычный 8 98 2 3 2" xfId="62637"/>
    <cellStyle name="Обычный 8 98 2 4" xfId="41277"/>
    <cellStyle name="Обычный 8 98 3" xfId="14573"/>
    <cellStyle name="Обычный 8 98 3 2" xfId="46617"/>
    <cellStyle name="Обычный 8 98 4" xfId="25254"/>
    <cellStyle name="Обычный 8 98 4 2" xfId="57297"/>
    <cellStyle name="Обычный 8 98 5" xfId="35937"/>
    <cellStyle name="Обычный 8 99" xfId="3924"/>
    <cellStyle name="Обычный 8 99 2" xfId="9265"/>
    <cellStyle name="Обычный 8 99 2 2" xfId="19945"/>
    <cellStyle name="Обычный 8 99 2 2 2" xfId="51989"/>
    <cellStyle name="Обычный 8 99 2 3" xfId="30626"/>
    <cellStyle name="Обычный 8 99 2 3 2" xfId="62669"/>
    <cellStyle name="Обычный 8 99 2 4" xfId="41309"/>
    <cellStyle name="Обычный 8 99 3" xfId="14605"/>
    <cellStyle name="Обычный 8 99 3 2" xfId="46649"/>
    <cellStyle name="Обычный 8 99 4" xfId="25286"/>
    <cellStyle name="Обычный 8 99 4 2" xfId="57329"/>
    <cellStyle name="Обычный 8 99 5" xfId="35969"/>
    <cellStyle name="Обычный 9" xfId="1925"/>
    <cellStyle name="Обычный 9 10" xfId="2181"/>
    <cellStyle name="Обычный 9 10 2" xfId="7523"/>
    <cellStyle name="Обычный 9 10 2 2" xfId="18203"/>
    <cellStyle name="Обычный 9 10 2 2 2" xfId="50247"/>
    <cellStyle name="Обычный 9 10 2 3" xfId="28884"/>
    <cellStyle name="Обычный 9 10 2 3 2" xfId="60927"/>
    <cellStyle name="Обычный 9 10 2 4" xfId="39567"/>
    <cellStyle name="Обычный 9 10 3" xfId="12863"/>
    <cellStyle name="Обычный 9 10 3 2" xfId="44907"/>
    <cellStyle name="Обычный 9 10 4" xfId="23544"/>
    <cellStyle name="Обычный 9 10 4 2" xfId="55587"/>
    <cellStyle name="Обычный 9 10 5" xfId="34227"/>
    <cellStyle name="Обычный 9 100" xfId="5048"/>
    <cellStyle name="Обычный 9 100 2" xfId="10389"/>
    <cellStyle name="Обычный 9 100 2 2" xfId="21069"/>
    <cellStyle name="Обычный 9 100 2 2 2" xfId="53113"/>
    <cellStyle name="Обычный 9 100 2 3" xfId="31750"/>
    <cellStyle name="Обычный 9 100 2 3 2" xfId="63793"/>
    <cellStyle name="Обычный 9 100 2 4" xfId="42433"/>
    <cellStyle name="Обычный 9 100 3" xfId="15729"/>
    <cellStyle name="Обычный 9 100 3 2" xfId="47773"/>
    <cellStyle name="Обычный 9 100 4" xfId="26410"/>
    <cellStyle name="Обычный 9 100 4 2" xfId="58453"/>
    <cellStyle name="Обычный 9 100 5" xfId="37093"/>
    <cellStyle name="Обычный 9 101" xfId="5080"/>
    <cellStyle name="Обычный 9 101 2" xfId="10421"/>
    <cellStyle name="Обычный 9 101 2 2" xfId="21101"/>
    <cellStyle name="Обычный 9 101 2 2 2" xfId="53145"/>
    <cellStyle name="Обычный 9 101 2 3" xfId="31782"/>
    <cellStyle name="Обычный 9 101 2 3 2" xfId="63825"/>
    <cellStyle name="Обычный 9 101 2 4" xfId="42465"/>
    <cellStyle name="Обычный 9 101 3" xfId="15761"/>
    <cellStyle name="Обычный 9 101 3 2" xfId="47805"/>
    <cellStyle name="Обычный 9 101 4" xfId="26442"/>
    <cellStyle name="Обычный 9 101 4 2" xfId="58485"/>
    <cellStyle name="Обычный 9 101 5" xfId="37125"/>
    <cellStyle name="Обычный 9 102" xfId="5112"/>
    <cellStyle name="Обычный 9 102 2" xfId="10453"/>
    <cellStyle name="Обычный 9 102 2 2" xfId="21133"/>
    <cellStyle name="Обычный 9 102 2 2 2" xfId="53177"/>
    <cellStyle name="Обычный 9 102 2 3" xfId="31814"/>
    <cellStyle name="Обычный 9 102 2 3 2" xfId="63857"/>
    <cellStyle name="Обычный 9 102 2 4" xfId="42497"/>
    <cellStyle name="Обычный 9 102 3" xfId="15793"/>
    <cellStyle name="Обычный 9 102 3 2" xfId="47837"/>
    <cellStyle name="Обычный 9 102 4" xfId="26474"/>
    <cellStyle name="Обычный 9 102 4 2" xfId="58517"/>
    <cellStyle name="Обычный 9 102 5" xfId="37157"/>
    <cellStyle name="Обычный 9 103" xfId="5144"/>
    <cellStyle name="Обычный 9 103 2" xfId="10485"/>
    <cellStyle name="Обычный 9 103 2 2" xfId="21165"/>
    <cellStyle name="Обычный 9 103 2 2 2" xfId="53209"/>
    <cellStyle name="Обычный 9 103 2 3" xfId="31846"/>
    <cellStyle name="Обычный 9 103 2 3 2" xfId="63889"/>
    <cellStyle name="Обычный 9 103 2 4" xfId="42529"/>
    <cellStyle name="Обычный 9 103 3" xfId="15825"/>
    <cellStyle name="Обычный 9 103 3 2" xfId="47869"/>
    <cellStyle name="Обычный 9 103 4" xfId="26506"/>
    <cellStyle name="Обычный 9 103 4 2" xfId="58549"/>
    <cellStyle name="Обычный 9 103 5" xfId="37189"/>
    <cellStyle name="Обычный 9 104" xfId="5176"/>
    <cellStyle name="Обычный 9 104 2" xfId="10517"/>
    <cellStyle name="Обычный 9 104 2 2" xfId="21197"/>
    <cellStyle name="Обычный 9 104 2 2 2" xfId="53241"/>
    <cellStyle name="Обычный 9 104 2 3" xfId="31878"/>
    <cellStyle name="Обычный 9 104 2 3 2" xfId="63921"/>
    <cellStyle name="Обычный 9 104 2 4" xfId="42561"/>
    <cellStyle name="Обычный 9 104 3" xfId="15857"/>
    <cellStyle name="Обычный 9 104 3 2" xfId="47901"/>
    <cellStyle name="Обычный 9 104 4" xfId="26538"/>
    <cellStyle name="Обычный 9 104 4 2" xfId="58581"/>
    <cellStyle name="Обычный 9 104 5" xfId="37221"/>
    <cellStyle name="Обычный 9 105" xfId="5208"/>
    <cellStyle name="Обычный 9 105 2" xfId="10549"/>
    <cellStyle name="Обычный 9 105 2 2" xfId="21229"/>
    <cellStyle name="Обычный 9 105 2 2 2" xfId="53273"/>
    <cellStyle name="Обычный 9 105 2 3" xfId="31910"/>
    <cellStyle name="Обычный 9 105 2 3 2" xfId="63953"/>
    <cellStyle name="Обычный 9 105 2 4" xfId="42593"/>
    <cellStyle name="Обычный 9 105 3" xfId="15889"/>
    <cellStyle name="Обычный 9 105 3 2" xfId="47933"/>
    <cellStyle name="Обычный 9 105 4" xfId="26570"/>
    <cellStyle name="Обычный 9 105 4 2" xfId="58613"/>
    <cellStyle name="Обычный 9 105 5" xfId="37253"/>
    <cellStyle name="Обычный 9 106" xfId="5240"/>
    <cellStyle name="Обычный 9 106 2" xfId="10581"/>
    <cellStyle name="Обычный 9 106 2 2" xfId="21261"/>
    <cellStyle name="Обычный 9 106 2 2 2" xfId="53305"/>
    <cellStyle name="Обычный 9 106 2 3" xfId="31942"/>
    <cellStyle name="Обычный 9 106 2 3 2" xfId="63985"/>
    <cellStyle name="Обычный 9 106 2 4" xfId="42625"/>
    <cellStyle name="Обычный 9 106 3" xfId="15921"/>
    <cellStyle name="Обычный 9 106 3 2" xfId="47965"/>
    <cellStyle name="Обычный 9 106 4" xfId="26602"/>
    <cellStyle name="Обычный 9 106 4 2" xfId="58645"/>
    <cellStyle name="Обычный 9 106 5" xfId="37285"/>
    <cellStyle name="Обычный 9 107" xfId="5272"/>
    <cellStyle name="Обычный 9 107 2" xfId="10613"/>
    <cellStyle name="Обычный 9 107 2 2" xfId="21293"/>
    <cellStyle name="Обычный 9 107 2 2 2" xfId="53337"/>
    <cellStyle name="Обычный 9 107 2 3" xfId="31974"/>
    <cellStyle name="Обычный 9 107 2 3 2" xfId="64017"/>
    <cellStyle name="Обычный 9 107 2 4" xfId="42657"/>
    <cellStyle name="Обычный 9 107 3" xfId="15953"/>
    <cellStyle name="Обычный 9 107 3 2" xfId="47997"/>
    <cellStyle name="Обычный 9 107 4" xfId="26634"/>
    <cellStyle name="Обычный 9 107 4 2" xfId="58677"/>
    <cellStyle name="Обычный 9 107 5" xfId="37317"/>
    <cellStyle name="Обычный 9 108" xfId="5304"/>
    <cellStyle name="Обычный 9 108 2" xfId="10645"/>
    <cellStyle name="Обычный 9 108 2 2" xfId="21325"/>
    <cellStyle name="Обычный 9 108 2 2 2" xfId="53369"/>
    <cellStyle name="Обычный 9 108 2 3" xfId="32006"/>
    <cellStyle name="Обычный 9 108 2 3 2" xfId="64049"/>
    <cellStyle name="Обычный 9 108 2 4" xfId="42689"/>
    <cellStyle name="Обычный 9 108 3" xfId="15985"/>
    <cellStyle name="Обычный 9 108 3 2" xfId="48029"/>
    <cellStyle name="Обычный 9 108 4" xfId="26666"/>
    <cellStyle name="Обычный 9 108 4 2" xfId="58709"/>
    <cellStyle name="Обычный 9 108 5" xfId="37349"/>
    <cellStyle name="Обычный 9 109" xfId="5336"/>
    <cellStyle name="Обычный 9 109 2" xfId="10677"/>
    <cellStyle name="Обычный 9 109 2 2" xfId="21357"/>
    <cellStyle name="Обычный 9 109 2 2 2" xfId="53401"/>
    <cellStyle name="Обычный 9 109 2 3" xfId="32038"/>
    <cellStyle name="Обычный 9 109 2 3 2" xfId="64081"/>
    <cellStyle name="Обычный 9 109 2 4" xfId="42721"/>
    <cellStyle name="Обычный 9 109 3" xfId="16017"/>
    <cellStyle name="Обычный 9 109 3 2" xfId="48061"/>
    <cellStyle name="Обычный 9 109 4" xfId="26698"/>
    <cellStyle name="Обычный 9 109 4 2" xfId="58741"/>
    <cellStyle name="Обычный 9 109 5" xfId="37381"/>
    <cellStyle name="Обычный 9 11" xfId="2211"/>
    <cellStyle name="Обычный 9 11 2" xfId="7553"/>
    <cellStyle name="Обычный 9 11 2 2" xfId="18233"/>
    <cellStyle name="Обычный 9 11 2 2 2" xfId="50277"/>
    <cellStyle name="Обычный 9 11 2 3" xfId="28914"/>
    <cellStyle name="Обычный 9 11 2 3 2" xfId="60957"/>
    <cellStyle name="Обычный 9 11 2 4" xfId="39597"/>
    <cellStyle name="Обычный 9 11 3" xfId="12893"/>
    <cellStyle name="Обычный 9 11 3 2" xfId="44937"/>
    <cellStyle name="Обычный 9 11 4" xfId="23574"/>
    <cellStyle name="Обычный 9 11 4 2" xfId="55617"/>
    <cellStyle name="Обычный 9 11 5" xfId="34257"/>
    <cellStyle name="Обычный 9 110" xfId="5368"/>
    <cellStyle name="Обычный 9 110 2" xfId="10709"/>
    <cellStyle name="Обычный 9 110 2 2" xfId="21389"/>
    <cellStyle name="Обычный 9 110 2 2 2" xfId="53433"/>
    <cellStyle name="Обычный 9 110 2 3" xfId="32070"/>
    <cellStyle name="Обычный 9 110 2 3 2" xfId="64113"/>
    <cellStyle name="Обычный 9 110 2 4" xfId="42753"/>
    <cellStyle name="Обычный 9 110 3" xfId="16049"/>
    <cellStyle name="Обычный 9 110 3 2" xfId="48093"/>
    <cellStyle name="Обычный 9 110 4" xfId="26730"/>
    <cellStyle name="Обычный 9 110 4 2" xfId="58773"/>
    <cellStyle name="Обычный 9 110 5" xfId="37413"/>
    <cellStyle name="Обычный 9 111" xfId="7267"/>
    <cellStyle name="Обычный 9 111 2" xfId="17947"/>
    <cellStyle name="Обычный 9 111 2 2" xfId="49991"/>
    <cellStyle name="Обычный 9 111 3" xfId="28628"/>
    <cellStyle name="Обычный 9 111 3 2" xfId="60671"/>
    <cellStyle name="Обычный 9 111 4" xfId="39311"/>
    <cellStyle name="Обычный 9 112" xfId="12607"/>
    <cellStyle name="Обычный 9 112 2" xfId="44651"/>
    <cellStyle name="Обычный 9 113" xfId="23288"/>
    <cellStyle name="Обычный 9 113 2" xfId="55331"/>
    <cellStyle name="Обычный 9 114" xfId="33971"/>
    <cellStyle name="Обычный 9 12" xfId="2241"/>
    <cellStyle name="Обычный 9 12 2" xfId="7583"/>
    <cellStyle name="Обычный 9 12 2 2" xfId="18263"/>
    <cellStyle name="Обычный 9 12 2 2 2" xfId="50307"/>
    <cellStyle name="Обычный 9 12 2 3" xfId="28944"/>
    <cellStyle name="Обычный 9 12 2 3 2" xfId="60987"/>
    <cellStyle name="Обычный 9 12 2 4" xfId="39627"/>
    <cellStyle name="Обычный 9 12 3" xfId="12923"/>
    <cellStyle name="Обычный 9 12 3 2" xfId="44967"/>
    <cellStyle name="Обычный 9 12 4" xfId="23604"/>
    <cellStyle name="Обычный 9 12 4 2" xfId="55647"/>
    <cellStyle name="Обычный 9 12 5" xfId="34287"/>
    <cellStyle name="Обычный 9 13" xfId="2271"/>
    <cellStyle name="Обычный 9 13 2" xfId="7613"/>
    <cellStyle name="Обычный 9 13 2 2" xfId="18293"/>
    <cellStyle name="Обычный 9 13 2 2 2" xfId="50337"/>
    <cellStyle name="Обычный 9 13 2 3" xfId="28974"/>
    <cellStyle name="Обычный 9 13 2 3 2" xfId="61017"/>
    <cellStyle name="Обычный 9 13 2 4" xfId="39657"/>
    <cellStyle name="Обычный 9 13 3" xfId="12953"/>
    <cellStyle name="Обычный 9 13 3 2" xfId="44997"/>
    <cellStyle name="Обычный 9 13 4" xfId="23634"/>
    <cellStyle name="Обычный 9 13 4 2" xfId="55677"/>
    <cellStyle name="Обычный 9 13 5" xfId="34317"/>
    <cellStyle name="Обычный 9 14" xfId="2301"/>
    <cellStyle name="Обычный 9 14 2" xfId="7643"/>
    <cellStyle name="Обычный 9 14 2 2" xfId="18323"/>
    <cellStyle name="Обычный 9 14 2 2 2" xfId="50367"/>
    <cellStyle name="Обычный 9 14 2 3" xfId="29004"/>
    <cellStyle name="Обычный 9 14 2 3 2" xfId="61047"/>
    <cellStyle name="Обычный 9 14 2 4" xfId="39687"/>
    <cellStyle name="Обычный 9 14 3" xfId="12983"/>
    <cellStyle name="Обычный 9 14 3 2" xfId="45027"/>
    <cellStyle name="Обычный 9 14 4" xfId="23664"/>
    <cellStyle name="Обычный 9 14 4 2" xfId="55707"/>
    <cellStyle name="Обычный 9 14 5" xfId="34347"/>
    <cellStyle name="Обычный 9 15" xfId="2331"/>
    <cellStyle name="Обычный 9 15 2" xfId="7673"/>
    <cellStyle name="Обычный 9 15 2 2" xfId="18353"/>
    <cellStyle name="Обычный 9 15 2 2 2" xfId="50397"/>
    <cellStyle name="Обычный 9 15 2 3" xfId="29034"/>
    <cellStyle name="Обычный 9 15 2 3 2" xfId="61077"/>
    <cellStyle name="Обычный 9 15 2 4" xfId="39717"/>
    <cellStyle name="Обычный 9 15 3" xfId="13013"/>
    <cellStyle name="Обычный 9 15 3 2" xfId="45057"/>
    <cellStyle name="Обычный 9 15 4" xfId="23694"/>
    <cellStyle name="Обычный 9 15 4 2" xfId="55737"/>
    <cellStyle name="Обычный 9 15 5" xfId="34377"/>
    <cellStyle name="Обычный 9 16" xfId="2361"/>
    <cellStyle name="Обычный 9 16 2" xfId="7703"/>
    <cellStyle name="Обычный 9 16 2 2" xfId="18383"/>
    <cellStyle name="Обычный 9 16 2 2 2" xfId="50427"/>
    <cellStyle name="Обычный 9 16 2 3" xfId="29064"/>
    <cellStyle name="Обычный 9 16 2 3 2" xfId="61107"/>
    <cellStyle name="Обычный 9 16 2 4" xfId="39747"/>
    <cellStyle name="Обычный 9 16 3" xfId="13043"/>
    <cellStyle name="Обычный 9 16 3 2" xfId="45087"/>
    <cellStyle name="Обычный 9 16 4" xfId="23724"/>
    <cellStyle name="Обычный 9 16 4 2" xfId="55767"/>
    <cellStyle name="Обычный 9 16 5" xfId="34407"/>
    <cellStyle name="Обычный 9 17" xfId="2391"/>
    <cellStyle name="Обычный 9 17 2" xfId="7733"/>
    <cellStyle name="Обычный 9 17 2 2" xfId="18413"/>
    <cellStyle name="Обычный 9 17 2 2 2" xfId="50457"/>
    <cellStyle name="Обычный 9 17 2 3" xfId="29094"/>
    <cellStyle name="Обычный 9 17 2 3 2" xfId="61137"/>
    <cellStyle name="Обычный 9 17 2 4" xfId="39777"/>
    <cellStyle name="Обычный 9 17 3" xfId="13073"/>
    <cellStyle name="Обычный 9 17 3 2" xfId="45117"/>
    <cellStyle name="Обычный 9 17 4" xfId="23754"/>
    <cellStyle name="Обычный 9 17 4 2" xfId="55797"/>
    <cellStyle name="Обычный 9 17 5" xfId="34437"/>
    <cellStyle name="Обычный 9 18" xfId="2421"/>
    <cellStyle name="Обычный 9 18 2" xfId="7763"/>
    <cellStyle name="Обычный 9 18 2 2" xfId="18443"/>
    <cellStyle name="Обычный 9 18 2 2 2" xfId="50487"/>
    <cellStyle name="Обычный 9 18 2 3" xfId="29124"/>
    <cellStyle name="Обычный 9 18 2 3 2" xfId="61167"/>
    <cellStyle name="Обычный 9 18 2 4" xfId="39807"/>
    <cellStyle name="Обычный 9 18 3" xfId="13103"/>
    <cellStyle name="Обычный 9 18 3 2" xfId="45147"/>
    <cellStyle name="Обычный 9 18 4" xfId="23784"/>
    <cellStyle name="Обычный 9 18 4 2" xfId="55827"/>
    <cellStyle name="Обычный 9 18 5" xfId="34467"/>
    <cellStyle name="Обычный 9 19" xfId="2451"/>
    <cellStyle name="Обычный 9 19 2" xfId="7793"/>
    <cellStyle name="Обычный 9 19 2 2" xfId="18473"/>
    <cellStyle name="Обычный 9 19 2 2 2" xfId="50517"/>
    <cellStyle name="Обычный 9 19 2 3" xfId="29154"/>
    <cellStyle name="Обычный 9 19 2 3 2" xfId="61197"/>
    <cellStyle name="Обычный 9 19 2 4" xfId="39837"/>
    <cellStyle name="Обычный 9 19 3" xfId="13133"/>
    <cellStyle name="Обычный 9 19 3 2" xfId="45177"/>
    <cellStyle name="Обычный 9 19 4" xfId="23814"/>
    <cellStyle name="Обычный 9 19 4 2" xfId="55857"/>
    <cellStyle name="Обычный 9 19 5" xfId="34497"/>
    <cellStyle name="Обычный 9 2" xfId="1953"/>
    <cellStyle name="Обычный 9 2 2" xfId="7295"/>
    <cellStyle name="Обычный 9 2 2 2" xfId="17975"/>
    <cellStyle name="Обычный 9 2 2 2 2" xfId="50019"/>
    <cellStyle name="Обычный 9 2 2 3" xfId="28656"/>
    <cellStyle name="Обычный 9 2 2 3 2" xfId="60699"/>
    <cellStyle name="Обычный 9 2 2 4" xfId="39339"/>
    <cellStyle name="Обычный 9 2 3" xfId="12635"/>
    <cellStyle name="Обычный 9 2 3 2" xfId="44679"/>
    <cellStyle name="Обычный 9 2 4" xfId="23316"/>
    <cellStyle name="Обычный 9 2 4 2" xfId="55359"/>
    <cellStyle name="Обычный 9 2 5" xfId="33999"/>
    <cellStyle name="Обычный 9 20" xfId="2481"/>
    <cellStyle name="Обычный 9 20 2" xfId="7823"/>
    <cellStyle name="Обычный 9 20 2 2" xfId="18503"/>
    <cellStyle name="Обычный 9 20 2 2 2" xfId="50547"/>
    <cellStyle name="Обычный 9 20 2 3" xfId="29184"/>
    <cellStyle name="Обычный 9 20 2 3 2" xfId="61227"/>
    <cellStyle name="Обычный 9 20 2 4" xfId="39867"/>
    <cellStyle name="Обычный 9 20 3" xfId="13163"/>
    <cellStyle name="Обычный 9 20 3 2" xfId="45207"/>
    <cellStyle name="Обычный 9 20 4" xfId="23844"/>
    <cellStyle name="Обычный 9 20 4 2" xfId="55887"/>
    <cellStyle name="Обычный 9 20 5" xfId="34527"/>
    <cellStyle name="Обычный 9 21" xfId="2513"/>
    <cellStyle name="Обычный 9 21 2" xfId="7855"/>
    <cellStyle name="Обычный 9 21 2 2" xfId="18535"/>
    <cellStyle name="Обычный 9 21 2 2 2" xfId="50579"/>
    <cellStyle name="Обычный 9 21 2 3" xfId="29216"/>
    <cellStyle name="Обычный 9 21 2 3 2" xfId="61259"/>
    <cellStyle name="Обычный 9 21 2 4" xfId="39899"/>
    <cellStyle name="Обычный 9 21 3" xfId="13195"/>
    <cellStyle name="Обычный 9 21 3 2" xfId="45239"/>
    <cellStyle name="Обычный 9 21 4" xfId="23876"/>
    <cellStyle name="Обычный 9 21 4 2" xfId="55919"/>
    <cellStyle name="Обычный 9 21 5" xfId="34559"/>
    <cellStyle name="Обычный 9 22" xfId="2547"/>
    <cellStyle name="Обычный 9 22 2" xfId="7889"/>
    <cellStyle name="Обычный 9 22 2 2" xfId="18569"/>
    <cellStyle name="Обычный 9 22 2 2 2" xfId="50613"/>
    <cellStyle name="Обычный 9 22 2 3" xfId="29250"/>
    <cellStyle name="Обычный 9 22 2 3 2" xfId="61293"/>
    <cellStyle name="Обычный 9 22 2 4" xfId="39933"/>
    <cellStyle name="Обычный 9 22 3" xfId="13229"/>
    <cellStyle name="Обычный 9 22 3 2" xfId="45273"/>
    <cellStyle name="Обычный 9 22 4" xfId="23910"/>
    <cellStyle name="Обычный 9 22 4 2" xfId="55953"/>
    <cellStyle name="Обычный 9 22 5" xfId="34593"/>
    <cellStyle name="Обычный 9 23" xfId="2579"/>
    <cellStyle name="Обычный 9 23 2" xfId="7921"/>
    <cellStyle name="Обычный 9 23 2 2" xfId="18601"/>
    <cellStyle name="Обычный 9 23 2 2 2" xfId="50645"/>
    <cellStyle name="Обычный 9 23 2 3" xfId="29282"/>
    <cellStyle name="Обычный 9 23 2 3 2" xfId="61325"/>
    <cellStyle name="Обычный 9 23 2 4" xfId="39965"/>
    <cellStyle name="Обычный 9 23 3" xfId="13261"/>
    <cellStyle name="Обычный 9 23 3 2" xfId="45305"/>
    <cellStyle name="Обычный 9 23 4" xfId="23942"/>
    <cellStyle name="Обычный 9 23 4 2" xfId="55985"/>
    <cellStyle name="Обычный 9 23 5" xfId="34625"/>
    <cellStyle name="Обычный 9 24" xfId="2611"/>
    <cellStyle name="Обычный 9 24 2" xfId="7953"/>
    <cellStyle name="Обычный 9 24 2 2" xfId="18633"/>
    <cellStyle name="Обычный 9 24 2 2 2" xfId="50677"/>
    <cellStyle name="Обычный 9 24 2 3" xfId="29314"/>
    <cellStyle name="Обычный 9 24 2 3 2" xfId="61357"/>
    <cellStyle name="Обычный 9 24 2 4" xfId="39997"/>
    <cellStyle name="Обычный 9 24 3" xfId="13293"/>
    <cellStyle name="Обычный 9 24 3 2" xfId="45337"/>
    <cellStyle name="Обычный 9 24 4" xfId="23974"/>
    <cellStyle name="Обычный 9 24 4 2" xfId="56017"/>
    <cellStyle name="Обычный 9 24 5" xfId="34657"/>
    <cellStyle name="Обычный 9 25" xfId="2643"/>
    <cellStyle name="Обычный 9 25 2" xfId="7985"/>
    <cellStyle name="Обычный 9 25 2 2" xfId="18665"/>
    <cellStyle name="Обычный 9 25 2 2 2" xfId="50709"/>
    <cellStyle name="Обычный 9 25 2 3" xfId="29346"/>
    <cellStyle name="Обычный 9 25 2 3 2" xfId="61389"/>
    <cellStyle name="Обычный 9 25 2 4" xfId="40029"/>
    <cellStyle name="Обычный 9 25 3" xfId="13325"/>
    <cellStyle name="Обычный 9 25 3 2" xfId="45369"/>
    <cellStyle name="Обычный 9 25 4" xfId="24006"/>
    <cellStyle name="Обычный 9 25 4 2" xfId="56049"/>
    <cellStyle name="Обычный 9 25 5" xfId="34689"/>
    <cellStyle name="Обычный 9 26" xfId="2675"/>
    <cellStyle name="Обычный 9 26 2" xfId="8017"/>
    <cellStyle name="Обычный 9 26 2 2" xfId="18697"/>
    <cellStyle name="Обычный 9 26 2 2 2" xfId="50741"/>
    <cellStyle name="Обычный 9 26 2 3" xfId="29378"/>
    <cellStyle name="Обычный 9 26 2 3 2" xfId="61421"/>
    <cellStyle name="Обычный 9 26 2 4" xfId="40061"/>
    <cellStyle name="Обычный 9 26 3" xfId="13357"/>
    <cellStyle name="Обычный 9 26 3 2" xfId="45401"/>
    <cellStyle name="Обычный 9 26 4" xfId="24038"/>
    <cellStyle name="Обычный 9 26 4 2" xfId="56081"/>
    <cellStyle name="Обычный 9 26 5" xfId="34721"/>
    <cellStyle name="Обычный 9 27" xfId="2707"/>
    <cellStyle name="Обычный 9 27 2" xfId="8049"/>
    <cellStyle name="Обычный 9 27 2 2" xfId="18729"/>
    <cellStyle name="Обычный 9 27 2 2 2" xfId="50773"/>
    <cellStyle name="Обычный 9 27 2 3" xfId="29410"/>
    <cellStyle name="Обычный 9 27 2 3 2" xfId="61453"/>
    <cellStyle name="Обычный 9 27 2 4" xfId="40093"/>
    <cellStyle name="Обычный 9 27 3" xfId="13389"/>
    <cellStyle name="Обычный 9 27 3 2" xfId="45433"/>
    <cellStyle name="Обычный 9 27 4" xfId="24070"/>
    <cellStyle name="Обычный 9 27 4 2" xfId="56113"/>
    <cellStyle name="Обычный 9 27 5" xfId="34753"/>
    <cellStyle name="Обычный 9 28" xfId="2739"/>
    <cellStyle name="Обычный 9 28 2" xfId="8081"/>
    <cellStyle name="Обычный 9 28 2 2" xfId="18761"/>
    <cellStyle name="Обычный 9 28 2 2 2" xfId="50805"/>
    <cellStyle name="Обычный 9 28 2 3" xfId="29442"/>
    <cellStyle name="Обычный 9 28 2 3 2" xfId="61485"/>
    <cellStyle name="Обычный 9 28 2 4" xfId="40125"/>
    <cellStyle name="Обычный 9 28 3" xfId="13421"/>
    <cellStyle name="Обычный 9 28 3 2" xfId="45465"/>
    <cellStyle name="Обычный 9 28 4" xfId="24102"/>
    <cellStyle name="Обычный 9 28 4 2" xfId="56145"/>
    <cellStyle name="Обычный 9 28 5" xfId="34785"/>
    <cellStyle name="Обычный 9 29" xfId="2773"/>
    <cellStyle name="Обычный 9 29 2" xfId="8115"/>
    <cellStyle name="Обычный 9 29 2 2" xfId="18795"/>
    <cellStyle name="Обычный 9 29 2 2 2" xfId="50839"/>
    <cellStyle name="Обычный 9 29 2 3" xfId="29476"/>
    <cellStyle name="Обычный 9 29 2 3 2" xfId="61519"/>
    <cellStyle name="Обычный 9 29 2 4" xfId="40159"/>
    <cellStyle name="Обычный 9 29 3" xfId="13455"/>
    <cellStyle name="Обычный 9 29 3 2" xfId="45499"/>
    <cellStyle name="Обычный 9 29 4" xfId="24136"/>
    <cellStyle name="Обычный 9 29 4 2" xfId="56179"/>
    <cellStyle name="Обычный 9 29 5" xfId="34819"/>
    <cellStyle name="Обычный 9 3" xfId="1981"/>
    <cellStyle name="Обычный 9 3 2" xfId="7323"/>
    <cellStyle name="Обычный 9 3 2 2" xfId="18003"/>
    <cellStyle name="Обычный 9 3 2 2 2" xfId="50047"/>
    <cellStyle name="Обычный 9 3 2 3" xfId="28684"/>
    <cellStyle name="Обычный 9 3 2 3 2" xfId="60727"/>
    <cellStyle name="Обычный 9 3 2 4" xfId="39367"/>
    <cellStyle name="Обычный 9 3 3" xfId="12663"/>
    <cellStyle name="Обычный 9 3 3 2" xfId="44707"/>
    <cellStyle name="Обычный 9 3 4" xfId="23344"/>
    <cellStyle name="Обычный 9 3 4 2" xfId="55387"/>
    <cellStyle name="Обычный 9 3 5" xfId="34027"/>
    <cellStyle name="Обычный 9 30" xfId="2805"/>
    <cellStyle name="Обычный 9 30 2" xfId="8147"/>
    <cellStyle name="Обычный 9 30 2 2" xfId="18827"/>
    <cellStyle name="Обычный 9 30 2 2 2" xfId="50871"/>
    <cellStyle name="Обычный 9 30 2 3" xfId="29508"/>
    <cellStyle name="Обычный 9 30 2 3 2" xfId="61551"/>
    <cellStyle name="Обычный 9 30 2 4" xfId="40191"/>
    <cellStyle name="Обычный 9 30 3" xfId="13487"/>
    <cellStyle name="Обычный 9 30 3 2" xfId="45531"/>
    <cellStyle name="Обычный 9 30 4" xfId="24168"/>
    <cellStyle name="Обычный 9 30 4 2" xfId="56211"/>
    <cellStyle name="Обычный 9 30 5" xfId="34851"/>
    <cellStyle name="Обычный 9 31" xfId="2837"/>
    <cellStyle name="Обычный 9 31 2" xfId="8179"/>
    <cellStyle name="Обычный 9 31 2 2" xfId="18859"/>
    <cellStyle name="Обычный 9 31 2 2 2" xfId="50903"/>
    <cellStyle name="Обычный 9 31 2 3" xfId="29540"/>
    <cellStyle name="Обычный 9 31 2 3 2" xfId="61583"/>
    <cellStyle name="Обычный 9 31 2 4" xfId="40223"/>
    <cellStyle name="Обычный 9 31 3" xfId="13519"/>
    <cellStyle name="Обычный 9 31 3 2" xfId="45563"/>
    <cellStyle name="Обычный 9 31 4" xfId="24200"/>
    <cellStyle name="Обычный 9 31 4 2" xfId="56243"/>
    <cellStyle name="Обычный 9 31 5" xfId="34883"/>
    <cellStyle name="Обычный 9 32" xfId="2869"/>
    <cellStyle name="Обычный 9 32 2" xfId="8211"/>
    <cellStyle name="Обычный 9 32 2 2" xfId="18891"/>
    <cellStyle name="Обычный 9 32 2 2 2" xfId="50935"/>
    <cellStyle name="Обычный 9 32 2 3" xfId="29572"/>
    <cellStyle name="Обычный 9 32 2 3 2" xfId="61615"/>
    <cellStyle name="Обычный 9 32 2 4" xfId="40255"/>
    <cellStyle name="Обычный 9 32 3" xfId="13551"/>
    <cellStyle name="Обычный 9 32 3 2" xfId="45595"/>
    <cellStyle name="Обычный 9 32 4" xfId="24232"/>
    <cellStyle name="Обычный 9 32 4 2" xfId="56275"/>
    <cellStyle name="Обычный 9 32 5" xfId="34915"/>
    <cellStyle name="Обычный 9 33" xfId="2901"/>
    <cellStyle name="Обычный 9 33 2" xfId="8243"/>
    <cellStyle name="Обычный 9 33 2 2" xfId="18923"/>
    <cellStyle name="Обычный 9 33 2 2 2" xfId="50967"/>
    <cellStyle name="Обычный 9 33 2 3" xfId="29604"/>
    <cellStyle name="Обычный 9 33 2 3 2" xfId="61647"/>
    <cellStyle name="Обычный 9 33 2 4" xfId="40287"/>
    <cellStyle name="Обычный 9 33 3" xfId="13583"/>
    <cellStyle name="Обычный 9 33 3 2" xfId="45627"/>
    <cellStyle name="Обычный 9 33 4" xfId="24264"/>
    <cellStyle name="Обычный 9 33 4 2" xfId="56307"/>
    <cellStyle name="Обычный 9 33 5" xfId="34947"/>
    <cellStyle name="Обычный 9 34" xfId="2933"/>
    <cellStyle name="Обычный 9 34 2" xfId="8275"/>
    <cellStyle name="Обычный 9 34 2 2" xfId="18955"/>
    <cellStyle name="Обычный 9 34 2 2 2" xfId="50999"/>
    <cellStyle name="Обычный 9 34 2 3" xfId="29636"/>
    <cellStyle name="Обычный 9 34 2 3 2" xfId="61679"/>
    <cellStyle name="Обычный 9 34 2 4" xfId="40319"/>
    <cellStyle name="Обычный 9 34 3" xfId="13615"/>
    <cellStyle name="Обычный 9 34 3 2" xfId="45659"/>
    <cellStyle name="Обычный 9 34 4" xfId="24296"/>
    <cellStyle name="Обычный 9 34 4 2" xfId="56339"/>
    <cellStyle name="Обычный 9 34 5" xfId="34979"/>
    <cellStyle name="Обычный 9 35" xfId="2965"/>
    <cellStyle name="Обычный 9 35 2" xfId="8307"/>
    <cellStyle name="Обычный 9 35 2 2" xfId="18987"/>
    <cellStyle name="Обычный 9 35 2 2 2" xfId="51031"/>
    <cellStyle name="Обычный 9 35 2 3" xfId="29668"/>
    <cellStyle name="Обычный 9 35 2 3 2" xfId="61711"/>
    <cellStyle name="Обычный 9 35 2 4" xfId="40351"/>
    <cellStyle name="Обычный 9 35 3" xfId="13647"/>
    <cellStyle name="Обычный 9 35 3 2" xfId="45691"/>
    <cellStyle name="Обычный 9 35 4" xfId="24328"/>
    <cellStyle name="Обычный 9 35 4 2" xfId="56371"/>
    <cellStyle name="Обычный 9 35 5" xfId="35011"/>
    <cellStyle name="Обычный 9 36" xfId="2997"/>
    <cellStyle name="Обычный 9 36 2" xfId="8339"/>
    <cellStyle name="Обычный 9 36 2 2" xfId="19019"/>
    <cellStyle name="Обычный 9 36 2 2 2" xfId="51063"/>
    <cellStyle name="Обычный 9 36 2 3" xfId="29700"/>
    <cellStyle name="Обычный 9 36 2 3 2" xfId="61743"/>
    <cellStyle name="Обычный 9 36 2 4" xfId="40383"/>
    <cellStyle name="Обычный 9 36 3" xfId="13679"/>
    <cellStyle name="Обычный 9 36 3 2" xfId="45723"/>
    <cellStyle name="Обычный 9 36 4" xfId="24360"/>
    <cellStyle name="Обычный 9 36 4 2" xfId="56403"/>
    <cellStyle name="Обычный 9 36 5" xfId="35043"/>
    <cellStyle name="Обычный 9 37" xfId="3029"/>
    <cellStyle name="Обычный 9 37 2" xfId="8371"/>
    <cellStyle name="Обычный 9 37 2 2" xfId="19051"/>
    <cellStyle name="Обычный 9 37 2 2 2" xfId="51095"/>
    <cellStyle name="Обычный 9 37 2 3" xfId="29732"/>
    <cellStyle name="Обычный 9 37 2 3 2" xfId="61775"/>
    <cellStyle name="Обычный 9 37 2 4" xfId="40415"/>
    <cellStyle name="Обычный 9 37 3" xfId="13711"/>
    <cellStyle name="Обычный 9 37 3 2" xfId="45755"/>
    <cellStyle name="Обычный 9 37 4" xfId="24392"/>
    <cellStyle name="Обычный 9 37 4 2" xfId="56435"/>
    <cellStyle name="Обычный 9 37 5" xfId="35075"/>
    <cellStyle name="Обычный 9 38" xfId="3061"/>
    <cellStyle name="Обычный 9 38 2" xfId="8403"/>
    <cellStyle name="Обычный 9 38 2 2" xfId="19083"/>
    <cellStyle name="Обычный 9 38 2 2 2" xfId="51127"/>
    <cellStyle name="Обычный 9 38 2 3" xfId="29764"/>
    <cellStyle name="Обычный 9 38 2 3 2" xfId="61807"/>
    <cellStyle name="Обычный 9 38 2 4" xfId="40447"/>
    <cellStyle name="Обычный 9 38 3" xfId="13743"/>
    <cellStyle name="Обычный 9 38 3 2" xfId="45787"/>
    <cellStyle name="Обычный 9 38 4" xfId="24424"/>
    <cellStyle name="Обычный 9 38 4 2" xfId="56467"/>
    <cellStyle name="Обычный 9 38 5" xfId="35107"/>
    <cellStyle name="Обычный 9 39" xfId="3093"/>
    <cellStyle name="Обычный 9 39 2" xfId="8435"/>
    <cellStyle name="Обычный 9 39 2 2" xfId="19115"/>
    <cellStyle name="Обычный 9 39 2 2 2" xfId="51159"/>
    <cellStyle name="Обычный 9 39 2 3" xfId="29796"/>
    <cellStyle name="Обычный 9 39 2 3 2" xfId="61839"/>
    <cellStyle name="Обычный 9 39 2 4" xfId="40479"/>
    <cellStyle name="Обычный 9 39 3" xfId="13775"/>
    <cellStyle name="Обычный 9 39 3 2" xfId="45819"/>
    <cellStyle name="Обычный 9 39 4" xfId="24456"/>
    <cellStyle name="Обычный 9 39 4 2" xfId="56499"/>
    <cellStyle name="Обычный 9 39 5" xfId="35139"/>
    <cellStyle name="Обычный 9 4" xfId="2009"/>
    <cellStyle name="Обычный 9 4 2" xfId="7351"/>
    <cellStyle name="Обычный 9 4 2 2" xfId="18031"/>
    <cellStyle name="Обычный 9 4 2 2 2" xfId="50075"/>
    <cellStyle name="Обычный 9 4 2 3" xfId="28712"/>
    <cellStyle name="Обычный 9 4 2 3 2" xfId="60755"/>
    <cellStyle name="Обычный 9 4 2 4" xfId="39395"/>
    <cellStyle name="Обычный 9 4 3" xfId="12691"/>
    <cellStyle name="Обычный 9 4 3 2" xfId="44735"/>
    <cellStyle name="Обычный 9 4 4" xfId="23372"/>
    <cellStyle name="Обычный 9 4 4 2" xfId="55415"/>
    <cellStyle name="Обычный 9 4 5" xfId="34055"/>
    <cellStyle name="Обычный 9 40" xfId="3126"/>
    <cellStyle name="Обычный 9 40 2" xfId="8467"/>
    <cellStyle name="Обычный 9 40 2 2" xfId="19147"/>
    <cellStyle name="Обычный 9 40 2 2 2" xfId="51191"/>
    <cellStyle name="Обычный 9 40 2 3" xfId="29828"/>
    <cellStyle name="Обычный 9 40 2 3 2" xfId="61871"/>
    <cellStyle name="Обычный 9 40 2 4" xfId="40511"/>
    <cellStyle name="Обычный 9 40 3" xfId="13807"/>
    <cellStyle name="Обычный 9 40 3 2" xfId="45851"/>
    <cellStyle name="Обычный 9 40 4" xfId="24488"/>
    <cellStyle name="Обычный 9 40 4 2" xfId="56531"/>
    <cellStyle name="Обычный 9 40 5" xfId="35171"/>
    <cellStyle name="Обычный 9 41" xfId="3158"/>
    <cellStyle name="Обычный 9 41 2" xfId="8499"/>
    <cellStyle name="Обычный 9 41 2 2" xfId="19179"/>
    <cellStyle name="Обычный 9 41 2 2 2" xfId="51223"/>
    <cellStyle name="Обычный 9 41 2 3" xfId="29860"/>
    <cellStyle name="Обычный 9 41 2 3 2" xfId="61903"/>
    <cellStyle name="Обычный 9 41 2 4" xfId="40543"/>
    <cellStyle name="Обычный 9 41 3" xfId="13839"/>
    <cellStyle name="Обычный 9 41 3 2" xfId="45883"/>
    <cellStyle name="Обычный 9 41 4" xfId="24520"/>
    <cellStyle name="Обычный 9 41 4 2" xfId="56563"/>
    <cellStyle name="Обычный 9 41 5" xfId="35203"/>
    <cellStyle name="Обычный 9 42" xfId="3190"/>
    <cellStyle name="Обычный 9 42 2" xfId="8531"/>
    <cellStyle name="Обычный 9 42 2 2" xfId="19211"/>
    <cellStyle name="Обычный 9 42 2 2 2" xfId="51255"/>
    <cellStyle name="Обычный 9 42 2 3" xfId="29892"/>
    <cellStyle name="Обычный 9 42 2 3 2" xfId="61935"/>
    <cellStyle name="Обычный 9 42 2 4" xfId="40575"/>
    <cellStyle name="Обычный 9 42 3" xfId="13871"/>
    <cellStyle name="Обычный 9 42 3 2" xfId="45915"/>
    <cellStyle name="Обычный 9 42 4" xfId="24552"/>
    <cellStyle name="Обычный 9 42 4 2" xfId="56595"/>
    <cellStyle name="Обычный 9 42 5" xfId="35235"/>
    <cellStyle name="Обычный 9 43" xfId="3222"/>
    <cellStyle name="Обычный 9 43 2" xfId="8563"/>
    <cellStyle name="Обычный 9 43 2 2" xfId="19243"/>
    <cellStyle name="Обычный 9 43 2 2 2" xfId="51287"/>
    <cellStyle name="Обычный 9 43 2 3" xfId="29924"/>
    <cellStyle name="Обычный 9 43 2 3 2" xfId="61967"/>
    <cellStyle name="Обычный 9 43 2 4" xfId="40607"/>
    <cellStyle name="Обычный 9 43 3" xfId="13903"/>
    <cellStyle name="Обычный 9 43 3 2" xfId="45947"/>
    <cellStyle name="Обычный 9 43 4" xfId="24584"/>
    <cellStyle name="Обычный 9 43 4 2" xfId="56627"/>
    <cellStyle name="Обычный 9 43 5" xfId="35267"/>
    <cellStyle name="Обычный 9 44" xfId="3254"/>
    <cellStyle name="Обычный 9 44 2" xfId="8595"/>
    <cellStyle name="Обычный 9 44 2 2" xfId="19275"/>
    <cellStyle name="Обычный 9 44 2 2 2" xfId="51319"/>
    <cellStyle name="Обычный 9 44 2 3" xfId="29956"/>
    <cellStyle name="Обычный 9 44 2 3 2" xfId="61999"/>
    <cellStyle name="Обычный 9 44 2 4" xfId="40639"/>
    <cellStyle name="Обычный 9 44 3" xfId="13935"/>
    <cellStyle name="Обычный 9 44 3 2" xfId="45979"/>
    <cellStyle name="Обычный 9 44 4" xfId="24616"/>
    <cellStyle name="Обычный 9 44 4 2" xfId="56659"/>
    <cellStyle name="Обычный 9 44 5" xfId="35299"/>
    <cellStyle name="Обычный 9 45" xfId="3286"/>
    <cellStyle name="Обычный 9 45 2" xfId="8627"/>
    <cellStyle name="Обычный 9 45 2 2" xfId="19307"/>
    <cellStyle name="Обычный 9 45 2 2 2" xfId="51351"/>
    <cellStyle name="Обычный 9 45 2 3" xfId="29988"/>
    <cellStyle name="Обычный 9 45 2 3 2" xfId="62031"/>
    <cellStyle name="Обычный 9 45 2 4" xfId="40671"/>
    <cellStyle name="Обычный 9 45 3" xfId="13967"/>
    <cellStyle name="Обычный 9 45 3 2" xfId="46011"/>
    <cellStyle name="Обычный 9 45 4" xfId="24648"/>
    <cellStyle name="Обычный 9 45 4 2" xfId="56691"/>
    <cellStyle name="Обычный 9 45 5" xfId="35331"/>
    <cellStyle name="Обычный 9 46" xfId="3318"/>
    <cellStyle name="Обычный 9 46 2" xfId="8659"/>
    <cellStyle name="Обычный 9 46 2 2" xfId="19339"/>
    <cellStyle name="Обычный 9 46 2 2 2" xfId="51383"/>
    <cellStyle name="Обычный 9 46 2 3" xfId="30020"/>
    <cellStyle name="Обычный 9 46 2 3 2" xfId="62063"/>
    <cellStyle name="Обычный 9 46 2 4" xfId="40703"/>
    <cellStyle name="Обычный 9 46 3" xfId="13999"/>
    <cellStyle name="Обычный 9 46 3 2" xfId="46043"/>
    <cellStyle name="Обычный 9 46 4" xfId="24680"/>
    <cellStyle name="Обычный 9 46 4 2" xfId="56723"/>
    <cellStyle name="Обычный 9 46 5" xfId="35363"/>
    <cellStyle name="Обычный 9 47" xfId="3350"/>
    <cellStyle name="Обычный 9 47 2" xfId="8691"/>
    <cellStyle name="Обычный 9 47 2 2" xfId="19371"/>
    <cellStyle name="Обычный 9 47 2 2 2" xfId="51415"/>
    <cellStyle name="Обычный 9 47 2 3" xfId="30052"/>
    <cellStyle name="Обычный 9 47 2 3 2" xfId="62095"/>
    <cellStyle name="Обычный 9 47 2 4" xfId="40735"/>
    <cellStyle name="Обычный 9 47 3" xfId="14031"/>
    <cellStyle name="Обычный 9 47 3 2" xfId="46075"/>
    <cellStyle name="Обычный 9 47 4" xfId="24712"/>
    <cellStyle name="Обычный 9 47 4 2" xfId="56755"/>
    <cellStyle name="Обычный 9 47 5" xfId="35395"/>
    <cellStyle name="Обычный 9 48" xfId="3382"/>
    <cellStyle name="Обычный 9 48 2" xfId="8723"/>
    <cellStyle name="Обычный 9 48 2 2" xfId="19403"/>
    <cellStyle name="Обычный 9 48 2 2 2" xfId="51447"/>
    <cellStyle name="Обычный 9 48 2 3" xfId="30084"/>
    <cellStyle name="Обычный 9 48 2 3 2" xfId="62127"/>
    <cellStyle name="Обычный 9 48 2 4" xfId="40767"/>
    <cellStyle name="Обычный 9 48 3" xfId="14063"/>
    <cellStyle name="Обычный 9 48 3 2" xfId="46107"/>
    <cellStyle name="Обычный 9 48 4" xfId="24744"/>
    <cellStyle name="Обычный 9 48 4 2" xfId="56787"/>
    <cellStyle name="Обычный 9 48 5" xfId="35427"/>
    <cellStyle name="Обычный 9 49" xfId="3414"/>
    <cellStyle name="Обычный 9 49 2" xfId="8755"/>
    <cellStyle name="Обычный 9 49 2 2" xfId="19435"/>
    <cellStyle name="Обычный 9 49 2 2 2" xfId="51479"/>
    <cellStyle name="Обычный 9 49 2 3" xfId="30116"/>
    <cellStyle name="Обычный 9 49 2 3 2" xfId="62159"/>
    <cellStyle name="Обычный 9 49 2 4" xfId="40799"/>
    <cellStyle name="Обычный 9 49 3" xfId="14095"/>
    <cellStyle name="Обычный 9 49 3 2" xfId="46139"/>
    <cellStyle name="Обычный 9 49 4" xfId="24776"/>
    <cellStyle name="Обычный 9 49 4 2" xfId="56819"/>
    <cellStyle name="Обычный 9 49 5" xfId="35459"/>
    <cellStyle name="Обычный 9 5" xfId="2037"/>
    <cellStyle name="Обычный 9 5 2" xfId="7379"/>
    <cellStyle name="Обычный 9 5 2 2" xfId="18059"/>
    <cellStyle name="Обычный 9 5 2 2 2" xfId="50103"/>
    <cellStyle name="Обычный 9 5 2 3" xfId="28740"/>
    <cellStyle name="Обычный 9 5 2 3 2" xfId="60783"/>
    <cellStyle name="Обычный 9 5 2 4" xfId="39423"/>
    <cellStyle name="Обычный 9 5 3" xfId="12719"/>
    <cellStyle name="Обычный 9 5 3 2" xfId="44763"/>
    <cellStyle name="Обычный 9 5 4" xfId="23400"/>
    <cellStyle name="Обычный 9 5 4 2" xfId="55443"/>
    <cellStyle name="Обычный 9 5 5" xfId="34083"/>
    <cellStyle name="Обычный 9 50" xfId="3446"/>
    <cellStyle name="Обычный 9 50 2" xfId="8787"/>
    <cellStyle name="Обычный 9 50 2 2" xfId="19467"/>
    <cellStyle name="Обычный 9 50 2 2 2" xfId="51511"/>
    <cellStyle name="Обычный 9 50 2 3" xfId="30148"/>
    <cellStyle name="Обычный 9 50 2 3 2" xfId="62191"/>
    <cellStyle name="Обычный 9 50 2 4" xfId="40831"/>
    <cellStyle name="Обычный 9 50 3" xfId="14127"/>
    <cellStyle name="Обычный 9 50 3 2" xfId="46171"/>
    <cellStyle name="Обычный 9 50 4" xfId="24808"/>
    <cellStyle name="Обычный 9 50 4 2" xfId="56851"/>
    <cellStyle name="Обычный 9 50 5" xfId="35491"/>
    <cellStyle name="Обычный 9 51" xfId="3478"/>
    <cellStyle name="Обычный 9 51 2" xfId="8819"/>
    <cellStyle name="Обычный 9 51 2 2" xfId="19499"/>
    <cellStyle name="Обычный 9 51 2 2 2" xfId="51543"/>
    <cellStyle name="Обычный 9 51 2 3" xfId="30180"/>
    <cellStyle name="Обычный 9 51 2 3 2" xfId="62223"/>
    <cellStyle name="Обычный 9 51 2 4" xfId="40863"/>
    <cellStyle name="Обычный 9 51 3" xfId="14159"/>
    <cellStyle name="Обычный 9 51 3 2" xfId="46203"/>
    <cellStyle name="Обычный 9 51 4" xfId="24840"/>
    <cellStyle name="Обычный 9 51 4 2" xfId="56883"/>
    <cellStyle name="Обычный 9 51 5" xfId="35523"/>
    <cellStyle name="Обычный 9 52" xfId="3510"/>
    <cellStyle name="Обычный 9 52 2" xfId="8851"/>
    <cellStyle name="Обычный 9 52 2 2" xfId="19531"/>
    <cellStyle name="Обычный 9 52 2 2 2" xfId="51575"/>
    <cellStyle name="Обычный 9 52 2 3" xfId="30212"/>
    <cellStyle name="Обычный 9 52 2 3 2" xfId="62255"/>
    <cellStyle name="Обычный 9 52 2 4" xfId="40895"/>
    <cellStyle name="Обычный 9 52 3" xfId="14191"/>
    <cellStyle name="Обычный 9 52 3 2" xfId="46235"/>
    <cellStyle name="Обычный 9 52 4" xfId="24872"/>
    <cellStyle name="Обычный 9 52 4 2" xfId="56915"/>
    <cellStyle name="Обычный 9 52 5" xfId="35555"/>
    <cellStyle name="Обычный 9 53" xfId="3542"/>
    <cellStyle name="Обычный 9 53 2" xfId="8883"/>
    <cellStyle name="Обычный 9 53 2 2" xfId="19563"/>
    <cellStyle name="Обычный 9 53 2 2 2" xfId="51607"/>
    <cellStyle name="Обычный 9 53 2 3" xfId="30244"/>
    <cellStyle name="Обычный 9 53 2 3 2" xfId="62287"/>
    <cellStyle name="Обычный 9 53 2 4" xfId="40927"/>
    <cellStyle name="Обычный 9 53 3" xfId="14223"/>
    <cellStyle name="Обычный 9 53 3 2" xfId="46267"/>
    <cellStyle name="Обычный 9 53 4" xfId="24904"/>
    <cellStyle name="Обычный 9 53 4 2" xfId="56947"/>
    <cellStyle name="Обычный 9 53 5" xfId="35587"/>
    <cellStyle name="Обычный 9 54" xfId="3574"/>
    <cellStyle name="Обычный 9 54 2" xfId="8915"/>
    <cellStyle name="Обычный 9 54 2 2" xfId="19595"/>
    <cellStyle name="Обычный 9 54 2 2 2" xfId="51639"/>
    <cellStyle name="Обычный 9 54 2 3" xfId="30276"/>
    <cellStyle name="Обычный 9 54 2 3 2" xfId="62319"/>
    <cellStyle name="Обычный 9 54 2 4" xfId="40959"/>
    <cellStyle name="Обычный 9 54 3" xfId="14255"/>
    <cellStyle name="Обычный 9 54 3 2" xfId="46299"/>
    <cellStyle name="Обычный 9 54 4" xfId="24936"/>
    <cellStyle name="Обычный 9 54 4 2" xfId="56979"/>
    <cellStyle name="Обычный 9 54 5" xfId="35619"/>
    <cellStyle name="Обычный 9 55" xfId="3606"/>
    <cellStyle name="Обычный 9 55 2" xfId="8947"/>
    <cellStyle name="Обычный 9 55 2 2" xfId="19627"/>
    <cellStyle name="Обычный 9 55 2 2 2" xfId="51671"/>
    <cellStyle name="Обычный 9 55 2 3" xfId="30308"/>
    <cellStyle name="Обычный 9 55 2 3 2" xfId="62351"/>
    <cellStyle name="Обычный 9 55 2 4" xfId="40991"/>
    <cellStyle name="Обычный 9 55 3" xfId="14287"/>
    <cellStyle name="Обычный 9 55 3 2" xfId="46331"/>
    <cellStyle name="Обычный 9 55 4" xfId="24968"/>
    <cellStyle name="Обычный 9 55 4 2" xfId="57011"/>
    <cellStyle name="Обычный 9 55 5" xfId="35651"/>
    <cellStyle name="Обычный 9 56" xfId="3638"/>
    <cellStyle name="Обычный 9 56 2" xfId="8979"/>
    <cellStyle name="Обычный 9 56 2 2" xfId="19659"/>
    <cellStyle name="Обычный 9 56 2 2 2" xfId="51703"/>
    <cellStyle name="Обычный 9 56 2 3" xfId="30340"/>
    <cellStyle name="Обычный 9 56 2 3 2" xfId="62383"/>
    <cellStyle name="Обычный 9 56 2 4" xfId="41023"/>
    <cellStyle name="Обычный 9 56 3" xfId="14319"/>
    <cellStyle name="Обычный 9 56 3 2" xfId="46363"/>
    <cellStyle name="Обычный 9 56 4" xfId="25000"/>
    <cellStyle name="Обычный 9 56 4 2" xfId="57043"/>
    <cellStyle name="Обычный 9 56 5" xfId="35683"/>
    <cellStyle name="Обычный 9 57" xfId="3670"/>
    <cellStyle name="Обычный 9 57 2" xfId="9011"/>
    <cellStyle name="Обычный 9 57 2 2" xfId="19691"/>
    <cellStyle name="Обычный 9 57 2 2 2" xfId="51735"/>
    <cellStyle name="Обычный 9 57 2 3" xfId="30372"/>
    <cellStyle name="Обычный 9 57 2 3 2" xfId="62415"/>
    <cellStyle name="Обычный 9 57 2 4" xfId="41055"/>
    <cellStyle name="Обычный 9 57 3" xfId="14351"/>
    <cellStyle name="Обычный 9 57 3 2" xfId="46395"/>
    <cellStyle name="Обычный 9 57 4" xfId="25032"/>
    <cellStyle name="Обычный 9 57 4 2" xfId="57075"/>
    <cellStyle name="Обычный 9 57 5" xfId="35715"/>
    <cellStyle name="Обычный 9 58" xfId="3702"/>
    <cellStyle name="Обычный 9 58 2" xfId="9043"/>
    <cellStyle name="Обычный 9 58 2 2" xfId="19723"/>
    <cellStyle name="Обычный 9 58 2 2 2" xfId="51767"/>
    <cellStyle name="Обычный 9 58 2 3" xfId="30404"/>
    <cellStyle name="Обычный 9 58 2 3 2" xfId="62447"/>
    <cellStyle name="Обычный 9 58 2 4" xfId="41087"/>
    <cellStyle name="Обычный 9 58 3" xfId="14383"/>
    <cellStyle name="Обычный 9 58 3 2" xfId="46427"/>
    <cellStyle name="Обычный 9 58 4" xfId="25064"/>
    <cellStyle name="Обычный 9 58 4 2" xfId="57107"/>
    <cellStyle name="Обычный 9 58 5" xfId="35747"/>
    <cellStyle name="Обычный 9 59" xfId="3734"/>
    <cellStyle name="Обычный 9 59 2" xfId="9075"/>
    <cellStyle name="Обычный 9 59 2 2" xfId="19755"/>
    <cellStyle name="Обычный 9 59 2 2 2" xfId="51799"/>
    <cellStyle name="Обычный 9 59 2 3" xfId="30436"/>
    <cellStyle name="Обычный 9 59 2 3 2" xfId="62479"/>
    <cellStyle name="Обычный 9 59 2 4" xfId="41119"/>
    <cellStyle name="Обычный 9 59 3" xfId="14415"/>
    <cellStyle name="Обычный 9 59 3 2" xfId="46459"/>
    <cellStyle name="Обычный 9 59 4" xfId="25096"/>
    <cellStyle name="Обычный 9 59 4 2" xfId="57139"/>
    <cellStyle name="Обычный 9 59 5" xfId="35779"/>
    <cellStyle name="Обычный 9 6" xfId="2065"/>
    <cellStyle name="Обычный 9 6 2" xfId="7407"/>
    <cellStyle name="Обычный 9 6 2 2" xfId="18087"/>
    <cellStyle name="Обычный 9 6 2 2 2" xfId="50131"/>
    <cellStyle name="Обычный 9 6 2 3" xfId="28768"/>
    <cellStyle name="Обычный 9 6 2 3 2" xfId="60811"/>
    <cellStyle name="Обычный 9 6 2 4" xfId="39451"/>
    <cellStyle name="Обычный 9 6 3" xfId="12747"/>
    <cellStyle name="Обычный 9 6 3 2" xfId="44791"/>
    <cellStyle name="Обычный 9 6 4" xfId="23428"/>
    <cellStyle name="Обычный 9 6 4 2" xfId="55471"/>
    <cellStyle name="Обычный 9 6 5" xfId="34111"/>
    <cellStyle name="Обычный 9 60" xfId="3766"/>
    <cellStyle name="Обычный 9 60 2" xfId="9107"/>
    <cellStyle name="Обычный 9 60 2 2" xfId="19787"/>
    <cellStyle name="Обычный 9 60 2 2 2" xfId="51831"/>
    <cellStyle name="Обычный 9 60 2 3" xfId="30468"/>
    <cellStyle name="Обычный 9 60 2 3 2" xfId="62511"/>
    <cellStyle name="Обычный 9 60 2 4" xfId="41151"/>
    <cellStyle name="Обычный 9 60 3" xfId="14447"/>
    <cellStyle name="Обычный 9 60 3 2" xfId="46491"/>
    <cellStyle name="Обычный 9 60 4" xfId="25128"/>
    <cellStyle name="Обычный 9 60 4 2" xfId="57171"/>
    <cellStyle name="Обычный 9 60 5" xfId="35811"/>
    <cellStyle name="Обычный 9 61" xfId="3798"/>
    <cellStyle name="Обычный 9 61 2" xfId="9139"/>
    <cellStyle name="Обычный 9 61 2 2" xfId="19819"/>
    <cellStyle name="Обычный 9 61 2 2 2" xfId="51863"/>
    <cellStyle name="Обычный 9 61 2 3" xfId="30500"/>
    <cellStyle name="Обычный 9 61 2 3 2" xfId="62543"/>
    <cellStyle name="Обычный 9 61 2 4" xfId="41183"/>
    <cellStyle name="Обычный 9 61 3" xfId="14479"/>
    <cellStyle name="Обычный 9 61 3 2" xfId="46523"/>
    <cellStyle name="Обычный 9 61 4" xfId="25160"/>
    <cellStyle name="Обычный 9 61 4 2" xfId="57203"/>
    <cellStyle name="Обычный 9 61 5" xfId="35843"/>
    <cellStyle name="Обычный 9 62" xfId="3830"/>
    <cellStyle name="Обычный 9 62 2" xfId="9171"/>
    <cellStyle name="Обычный 9 62 2 2" xfId="19851"/>
    <cellStyle name="Обычный 9 62 2 2 2" xfId="51895"/>
    <cellStyle name="Обычный 9 62 2 3" xfId="30532"/>
    <cellStyle name="Обычный 9 62 2 3 2" xfId="62575"/>
    <cellStyle name="Обычный 9 62 2 4" xfId="41215"/>
    <cellStyle name="Обычный 9 62 3" xfId="14511"/>
    <cellStyle name="Обычный 9 62 3 2" xfId="46555"/>
    <cellStyle name="Обычный 9 62 4" xfId="25192"/>
    <cellStyle name="Обычный 9 62 4 2" xfId="57235"/>
    <cellStyle name="Обычный 9 62 5" xfId="35875"/>
    <cellStyle name="Обычный 9 63" xfId="3862"/>
    <cellStyle name="Обычный 9 63 2" xfId="9203"/>
    <cellStyle name="Обычный 9 63 2 2" xfId="19883"/>
    <cellStyle name="Обычный 9 63 2 2 2" xfId="51927"/>
    <cellStyle name="Обычный 9 63 2 3" xfId="30564"/>
    <cellStyle name="Обычный 9 63 2 3 2" xfId="62607"/>
    <cellStyle name="Обычный 9 63 2 4" xfId="41247"/>
    <cellStyle name="Обычный 9 63 3" xfId="14543"/>
    <cellStyle name="Обычный 9 63 3 2" xfId="46587"/>
    <cellStyle name="Обычный 9 63 4" xfId="25224"/>
    <cellStyle name="Обычный 9 63 4 2" xfId="57267"/>
    <cellStyle name="Обычный 9 63 5" xfId="35907"/>
    <cellStyle name="Обычный 9 64" xfId="3894"/>
    <cellStyle name="Обычный 9 64 2" xfId="9235"/>
    <cellStyle name="Обычный 9 64 2 2" xfId="19915"/>
    <cellStyle name="Обычный 9 64 2 2 2" xfId="51959"/>
    <cellStyle name="Обычный 9 64 2 3" xfId="30596"/>
    <cellStyle name="Обычный 9 64 2 3 2" xfId="62639"/>
    <cellStyle name="Обычный 9 64 2 4" xfId="41279"/>
    <cellStyle name="Обычный 9 64 3" xfId="14575"/>
    <cellStyle name="Обычный 9 64 3 2" xfId="46619"/>
    <cellStyle name="Обычный 9 64 4" xfId="25256"/>
    <cellStyle name="Обычный 9 64 4 2" xfId="57299"/>
    <cellStyle name="Обычный 9 64 5" xfId="35939"/>
    <cellStyle name="Обычный 9 65" xfId="3926"/>
    <cellStyle name="Обычный 9 65 2" xfId="9267"/>
    <cellStyle name="Обычный 9 65 2 2" xfId="19947"/>
    <cellStyle name="Обычный 9 65 2 2 2" xfId="51991"/>
    <cellStyle name="Обычный 9 65 2 3" xfId="30628"/>
    <cellStyle name="Обычный 9 65 2 3 2" xfId="62671"/>
    <cellStyle name="Обычный 9 65 2 4" xfId="41311"/>
    <cellStyle name="Обычный 9 65 3" xfId="14607"/>
    <cellStyle name="Обычный 9 65 3 2" xfId="46651"/>
    <cellStyle name="Обычный 9 65 4" xfId="25288"/>
    <cellStyle name="Обычный 9 65 4 2" xfId="57331"/>
    <cellStyle name="Обычный 9 65 5" xfId="35971"/>
    <cellStyle name="Обычный 9 66" xfId="3958"/>
    <cellStyle name="Обычный 9 66 2" xfId="9299"/>
    <cellStyle name="Обычный 9 66 2 2" xfId="19979"/>
    <cellStyle name="Обычный 9 66 2 2 2" xfId="52023"/>
    <cellStyle name="Обычный 9 66 2 3" xfId="30660"/>
    <cellStyle name="Обычный 9 66 2 3 2" xfId="62703"/>
    <cellStyle name="Обычный 9 66 2 4" xfId="41343"/>
    <cellStyle name="Обычный 9 66 3" xfId="14639"/>
    <cellStyle name="Обычный 9 66 3 2" xfId="46683"/>
    <cellStyle name="Обычный 9 66 4" xfId="25320"/>
    <cellStyle name="Обычный 9 66 4 2" xfId="57363"/>
    <cellStyle name="Обычный 9 66 5" xfId="36003"/>
    <cellStyle name="Обычный 9 67" xfId="3990"/>
    <cellStyle name="Обычный 9 67 2" xfId="9331"/>
    <cellStyle name="Обычный 9 67 2 2" xfId="20011"/>
    <cellStyle name="Обычный 9 67 2 2 2" xfId="52055"/>
    <cellStyle name="Обычный 9 67 2 3" xfId="30692"/>
    <cellStyle name="Обычный 9 67 2 3 2" xfId="62735"/>
    <cellStyle name="Обычный 9 67 2 4" xfId="41375"/>
    <cellStyle name="Обычный 9 67 3" xfId="14671"/>
    <cellStyle name="Обычный 9 67 3 2" xfId="46715"/>
    <cellStyle name="Обычный 9 67 4" xfId="25352"/>
    <cellStyle name="Обычный 9 67 4 2" xfId="57395"/>
    <cellStyle name="Обычный 9 67 5" xfId="36035"/>
    <cellStyle name="Обычный 9 68" xfId="4022"/>
    <cellStyle name="Обычный 9 68 2" xfId="9363"/>
    <cellStyle name="Обычный 9 68 2 2" xfId="20043"/>
    <cellStyle name="Обычный 9 68 2 2 2" xfId="52087"/>
    <cellStyle name="Обычный 9 68 2 3" xfId="30724"/>
    <cellStyle name="Обычный 9 68 2 3 2" xfId="62767"/>
    <cellStyle name="Обычный 9 68 2 4" xfId="41407"/>
    <cellStyle name="Обычный 9 68 3" xfId="14703"/>
    <cellStyle name="Обычный 9 68 3 2" xfId="46747"/>
    <cellStyle name="Обычный 9 68 4" xfId="25384"/>
    <cellStyle name="Обычный 9 68 4 2" xfId="57427"/>
    <cellStyle name="Обычный 9 68 5" xfId="36067"/>
    <cellStyle name="Обычный 9 69" xfId="4054"/>
    <cellStyle name="Обычный 9 69 2" xfId="9395"/>
    <cellStyle name="Обычный 9 69 2 2" xfId="20075"/>
    <cellStyle name="Обычный 9 69 2 2 2" xfId="52119"/>
    <cellStyle name="Обычный 9 69 2 3" xfId="30756"/>
    <cellStyle name="Обычный 9 69 2 3 2" xfId="62799"/>
    <cellStyle name="Обычный 9 69 2 4" xfId="41439"/>
    <cellStyle name="Обычный 9 69 3" xfId="14735"/>
    <cellStyle name="Обычный 9 69 3 2" xfId="46779"/>
    <cellStyle name="Обычный 9 69 4" xfId="25416"/>
    <cellStyle name="Обычный 9 69 4 2" xfId="57459"/>
    <cellStyle name="Обычный 9 69 5" xfId="36099"/>
    <cellStyle name="Обычный 9 7" xfId="2093"/>
    <cellStyle name="Обычный 9 7 2" xfId="7435"/>
    <cellStyle name="Обычный 9 7 2 2" xfId="18115"/>
    <cellStyle name="Обычный 9 7 2 2 2" xfId="50159"/>
    <cellStyle name="Обычный 9 7 2 3" xfId="28796"/>
    <cellStyle name="Обычный 9 7 2 3 2" xfId="60839"/>
    <cellStyle name="Обычный 9 7 2 4" xfId="39479"/>
    <cellStyle name="Обычный 9 7 3" xfId="12775"/>
    <cellStyle name="Обычный 9 7 3 2" xfId="44819"/>
    <cellStyle name="Обычный 9 7 4" xfId="23456"/>
    <cellStyle name="Обычный 9 7 4 2" xfId="55499"/>
    <cellStyle name="Обычный 9 7 5" xfId="34139"/>
    <cellStyle name="Обычный 9 70" xfId="4086"/>
    <cellStyle name="Обычный 9 70 2" xfId="9427"/>
    <cellStyle name="Обычный 9 70 2 2" xfId="20107"/>
    <cellStyle name="Обычный 9 70 2 2 2" xfId="52151"/>
    <cellStyle name="Обычный 9 70 2 3" xfId="30788"/>
    <cellStyle name="Обычный 9 70 2 3 2" xfId="62831"/>
    <cellStyle name="Обычный 9 70 2 4" xfId="41471"/>
    <cellStyle name="Обычный 9 70 3" xfId="14767"/>
    <cellStyle name="Обычный 9 70 3 2" xfId="46811"/>
    <cellStyle name="Обычный 9 70 4" xfId="25448"/>
    <cellStyle name="Обычный 9 70 4 2" xfId="57491"/>
    <cellStyle name="Обычный 9 70 5" xfId="36131"/>
    <cellStyle name="Обычный 9 71" xfId="4118"/>
    <cellStyle name="Обычный 9 71 2" xfId="9459"/>
    <cellStyle name="Обычный 9 71 2 2" xfId="20139"/>
    <cellStyle name="Обычный 9 71 2 2 2" xfId="52183"/>
    <cellStyle name="Обычный 9 71 2 3" xfId="30820"/>
    <cellStyle name="Обычный 9 71 2 3 2" xfId="62863"/>
    <cellStyle name="Обычный 9 71 2 4" xfId="41503"/>
    <cellStyle name="Обычный 9 71 3" xfId="14799"/>
    <cellStyle name="Обычный 9 71 3 2" xfId="46843"/>
    <cellStyle name="Обычный 9 71 4" xfId="25480"/>
    <cellStyle name="Обычный 9 71 4 2" xfId="57523"/>
    <cellStyle name="Обычный 9 71 5" xfId="36163"/>
    <cellStyle name="Обычный 9 72" xfId="4150"/>
    <cellStyle name="Обычный 9 72 2" xfId="9491"/>
    <cellStyle name="Обычный 9 72 2 2" xfId="20171"/>
    <cellStyle name="Обычный 9 72 2 2 2" xfId="52215"/>
    <cellStyle name="Обычный 9 72 2 3" xfId="30852"/>
    <cellStyle name="Обычный 9 72 2 3 2" xfId="62895"/>
    <cellStyle name="Обычный 9 72 2 4" xfId="41535"/>
    <cellStyle name="Обычный 9 72 3" xfId="14831"/>
    <cellStyle name="Обычный 9 72 3 2" xfId="46875"/>
    <cellStyle name="Обычный 9 72 4" xfId="25512"/>
    <cellStyle name="Обычный 9 72 4 2" xfId="57555"/>
    <cellStyle name="Обычный 9 72 5" xfId="36195"/>
    <cellStyle name="Обычный 9 73" xfId="4182"/>
    <cellStyle name="Обычный 9 73 2" xfId="9523"/>
    <cellStyle name="Обычный 9 73 2 2" xfId="20203"/>
    <cellStyle name="Обычный 9 73 2 2 2" xfId="52247"/>
    <cellStyle name="Обычный 9 73 2 3" xfId="30884"/>
    <cellStyle name="Обычный 9 73 2 3 2" xfId="62927"/>
    <cellStyle name="Обычный 9 73 2 4" xfId="41567"/>
    <cellStyle name="Обычный 9 73 3" xfId="14863"/>
    <cellStyle name="Обычный 9 73 3 2" xfId="46907"/>
    <cellStyle name="Обычный 9 73 4" xfId="25544"/>
    <cellStyle name="Обычный 9 73 4 2" xfId="57587"/>
    <cellStyle name="Обычный 9 73 5" xfId="36227"/>
    <cellStyle name="Обычный 9 74" xfId="4214"/>
    <cellStyle name="Обычный 9 74 2" xfId="9555"/>
    <cellStyle name="Обычный 9 74 2 2" xfId="20235"/>
    <cellStyle name="Обычный 9 74 2 2 2" xfId="52279"/>
    <cellStyle name="Обычный 9 74 2 3" xfId="30916"/>
    <cellStyle name="Обычный 9 74 2 3 2" xfId="62959"/>
    <cellStyle name="Обычный 9 74 2 4" xfId="41599"/>
    <cellStyle name="Обычный 9 74 3" xfId="14895"/>
    <cellStyle name="Обычный 9 74 3 2" xfId="46939"/>
    <cellStyle name="Обычный 9 74 4" xfId="25576"/>
    <cellStyle name="Обычный 9 74 4 2" xfId="57619"/>
    <cellStyle name="Обычный 9 74 5" xfId="36259"/>
    <cellStyle name="Обычный 9 75" xfId="4246"/>
    <cellStyle name="Обычный 9 75 2" xfId="9587"/>
    <cellStyle name="Обычный 9 75 2 2" xfId="20267"/>
    <cellStyle name="Обычный 9 75 2 2 2" xfId="52311"/>
    <cellStyle name="Обычный 9 75 2 3" xfId="30948"/>
    <cellStyle name="Обычный 9 75 2 3 2" xfId="62991"/>
    <cellStyle name="Обычный 9 75 2 4" xfId="41631"/>
    <cellStyle name="Обычный 9 75 3" xfId="14927"/>
    <cellStyle name="Обычный 9 75 3 2" xfId="46971"/>
    <cellStyle name="Обычный 9 75 4" xfId="25608"/>
    <cellStyle name="Обычный 9 75 4 2" xfId="57651"/>
    <cellStyle name="Обычный 9 75 5" xfId="36291"/>
    <cellStyle name="Обычный 9 76" xfId="4278"/>
    <cellStyle name="Обычный 9 76 2" xfId="9619"/>
    <cellStyle name="Обычный 9 76 2 2" xfId="20299"/>
    <cellStyle name="Обычный 9 76 2 2 2" xfId="52343"/>
    <cellStyle name="Обычный 9 76 2 3" xfId="30980"/>
    <cellStyle name="Обычный 9 76 2 3 2" xfId="63023"/>
    <cellStyle name="Обычный 9 76 2 4" xfId="41663"/>
    <cellStyle name="Обычный 9 76 3" xfId="14959"/>
    <cellStyle name="Обычный 9 76 3 2" xfId="47003"/>
    <cellStyle name="Обычный 9 76 4" xfId="25640"/>
    <cellStyle name="Обычный 9 76 4 2" xfId="57683"/>
    <cellStyle name="Обычный 9 76 5" xfId="36323"/>
    <cellStyle name="Обычный 9 77" xfId="4310"/>
    <cellStyle name="Обычный 9 77 2" xfId="9651"/>
    <cellStyle name="Обычный 9 77 2 2" xfId="20331"/>
    <cellStyle name="Обычный 9 77 2 2 2" xfId="52375"/>
    <cellStyle name="Обычный 9 77 2 3" xfId="31012"/>
    <cellStyle name="Обычный 9 77 2 3 2" xfId="63055"/>
    <cellStyle name="Обычный 9 77 2 4" xfId="41695"/>
    <cellStyle name="Обычный 9 77 3" xfId="14991"/>
    <cellStyle name="Обычный 9 77 3 2" xfId="47035"/>
    <cellStyle name="Обычный 9 77 4" xfId="25672"/>
    <cellStyle name="Обычный 9 77 4 2" xfId="57715"/>
    <cellStyle name="Обычный 9 77 5" xfId="36355"/>
    <cellStyle name="Обычный 9 78" xfId="4342"/>
    <cellStyle name="Обычный 9 78 2" xfId="9683"/>
    <cellStyle name="Обычный 9 78 2 2" xfId="20363"/>
    <cellStyle name="Обычный 9 78 2 2 2" xfId="52407"/>
    <cellStyle name="Обычный 9 78 2 3" xfId="31044"/>
    <cellStyle name="Обычный 9 78 2 3 2" xfId="63087"/>
    <cellStyle name="Обычный 9 78 2 4" xfId="41727"/>
    <cellStyle name="Обычный 9 78 3" xfId="15023"/>
    <cellStyle name="Обычный 9 78 3 2" xfId="47067"/>
    <cellStyle name="Обычный 9 78 4" xfId="25704"/>
    <cellStyle name="Обычный 9 78 4 2" xfId="57747"/>
    <cellStyle name="Обычный 9 78 5" xfId="36387"/>
    <cellStyle name="Обычный 9 79" xfId="4374"/>
    <cellStyle name="Обычный 9 79 2" xfId="9715"/>
    <cellStyle name="Обычный 9 79 2 2" xfId="20395"/>
    <cellStyle name="Обычный 9 79 2 2 2" xfId="52439"/>
    <cellStyle name="Обычный 9 79 2 3" xfId="31076"/>
    <cellStyle name="Обычный 9 79 2 3 2" xfId="63119"/>
    <cellStyle name="Обычный 9 79 2 4" xfId="41759"/>
    <cellStyle name="Обычный 9 79 3" xfId="15055"/>
    <cellStyle name="Обычный 9 79 3 2" xfId="47099"/>
    <cellStyle name="Обычный 9 79 4" xfId="25736"/>
    <cellStyle name="Обычный 9 79 4 2" xfId="57779"/>
    <cellStyle name="Обычный 9 79 5" xfId="36419"/>
    <cellStyle name="Обычный 9 8" xfId="2121"/>
    <cellStyle name="Обычный 9 8 2" xfId="7463"/>
    <cellStyle name="Обычный 9 8 2 2" xfId="18143"/>
    <cellStyle name="Обычный 9 8 2 2 2" xfId="50187"/>
    <cellStyle name="Обычный 9 8 2 3" xfId="28824"/>
    <cellStyle name="Обычный 9 8 2 3 2" xfId="60867"/>
    <cellStyle name="Обычный 9 8 2 4" xfId="39507"/>
    <cellStyle name="Обычный 9 8 3" xfId="12803"/>
    <cellStyle name="Обычный 9 8 3 2" xfId="44847"/>
    <cellStyle name="Обычный 9 8 4" xfId="23484"/>
    <cellStyle name="Обычный 9 8 4 2" xfId="55527"/>
    <cellStyle name="Обычный 9 8 5" xfId="34167"/>
    <cellStyle name="Обычный 9 80" xfId="4406"/>
    <cellStyle name="Обычный 9 80 2" xfId="9747"/>
    <cellStyle name="Обычный 9 80 2 2" xfId="20427"/>
    <cellStyle name="Обычный 9 80 2 2 2" xfId="52471"/>
    <cellStyle name="Обычный 9 80 2 3" xfId="31108"/>
    <cellStyle name="Обычный 9 80 2 3 2" xfId="63151"/>
    <cellStyle name="Обычный 9 80 2 4" xfId="41791"/>
    <cellStyle name="Обычный 9 80 3" xfId="15087"/>
    <cellStyle name="Обычный 9 80 3 2" xfId="47131"/>
    <cellStyle name="Обычный 9 80 4" xfId="25768"/>
    <cellStyle name="Обычный 9 80 4 2" xfId="57811"/>
    <cellStyle name="Обычный 9 80 5" xfId="36451"/>
    <cellStyle name="Обычный 9 81" xfId="4438"/>
    <cellStyle name="Обычный 9 81 2" xfId="9779"/>
    <cellStyle name="Обычный 9 81 2 2" xfId="20459"/>
    <cellStyle name="Обычный 9 81 2 2 2" xfId="52503"/>
    <cellStyle name="Обычный 9 81 2 3" xfId="31140"/>
    <cellStyle name="Обычный 9 81 2 3 2" xfId="63183"/>
    <cellStyle name="Обычный 9 81 2 4" xfId="41823"/>
    <cellStyle name="Обычный 9 81 3" xfId="15119"/>
    <cellStyle name="Обычный 9 81 3 2" xfId="47163"/>
    <cellStyle name="Обычный 9 81 4" xfId="25800"/>
    <cellStyle name="Обычный 9 81 4 2" xfId="57843"/>
    <cellStyle name="Обычный 9 81 5" xfId="36483"/>
    <cellStyle name="Обычный 9 82" xfId="4470"/>
    <cellStyle name="Обычный 9 82 2" xfId="9811"/>
    <cellStyle name="Обычный 9 82 2 2" xfId="20491"/>
    <cellStyle name="Обычный 9 82 2 2 2" xfId="52535"/>
    <cellStyle name="Обычный 9 82 2 3" xfId="31172"/>
    <cellStyle name="Обычный 9 82 2 3 2" xfId="63215"/>
    <cellStyle name="Обычный 9 82 2 4" xfId="41855"/>
    <cellStyle name="Обычный 9 82 3" xfId="15151"/>
    <cellStyle name="Обычный 9 82 3 2" xfId="47195"/>
    <cellStyle name="Обычный 9 82 4" xfId="25832"/>
    <cellStyle name="Обычный 9 82 4 2" xfId="57875"/>
    <cellStyle name="Обычный 9 82 5" xfId="36515"/>
    <cellStyle name="Обычный 9 83" xfId="4502"/>
    <cellStyle name="Обычный 9 83 2" xfId="9843"/>
    <cellStyle name="Обычный 9 83 2 2" xfId="20523"/>
    <cellStyle name="Обычный 9 83 2 2 2" xfId="52567"/>
    <cellStyle name="Обычный 9 83 2 3" xfId="31204"/>
    <cellStyle name="Обычный 9 83 2 3 2" xfId="63247"/>
    <cellStyle name="Обычный 9 83 2 4" xfId="41887"/>
    <cellStyle name="Обычный 9 83 3" xfId="15183"/>
    <cellStyle name="Обычный 9 83 3 2" xfId="47227"/>
    <cellStyle name="Обычный 9 83 4" xfId="25864"/>
    <cellStyle name="Обычный 9 83 4 2" xfId="57907"/>
    <cellStyle name="Обычный 9 83 5" xfId="36547"/>
    <cellStyle name="Обычный 9 84" xfId="4534"/>
    <cellStyle name="Обычный 9 84 2" xfId="9875"/>
    <cellStyle name="Обычный 9 84 2 2" xfId="20555"/>
    <cellStyle name="Обычный 9 84 2 2 2" xfId="52599"/>
    <cellStyle name="Обычный 9 84 2 3" xfId="31236"/>
    <cellStyle name="Обычный 9 84 2 3 2" xfId="63279"/>
    <cellStyle name="Обычный 9 84 2 4" xfId="41919"/>
    <cellStyle name="Обычный 9 84 3" xfId="15215"/>
    <cellStyle name="Обычный 9 84 3 2" xfId="47259"/>
    <cellStyle name="Обычный 9 84 4" xfId="25896"/>
    <cellStyle name="Обычный 9 84 4 2" xfId="57939"/>
    <cellStyle name="Обычный 9 84 5" xfId="36579"/>
    <cellStyle name="Обычный 9 85" xfId="4566"/>
    <cellStyle name="Обычный 9 85 2" xfId="9907"/>
    <cellStyle name="Обычный 9 85 2 2" xfId="20587"/>
    <cellStyle name="Обычный 9 85 2 2 2" xfId="52631"/>
    <cellStyle name="Обычный 9 85 2 3" xfId="31268"/>
    <cellStyle name="Обычный 9 85 2 3 2" xfId="63311"/>
    <cellStyle name="Обычный 9 85 2 4" xfId="41951"/>
    <cellStyle name="Обычный 9 85 3" xfId="15247"/>
    <cellStyle name="Обычный 9 85 3 2" xfId="47291"/>
    <cellStyle name="Обычный 9 85 4" xfId="25928"/>
    <cellStyle name="Обычный 9 85 4 2" xfId="57971"/>
    <cellStyle name="Обычный 9 85 5" xfId="36611"/>
    <cellStyle name="Обычный 9 86" xfId="4598"/>
    <cellStyle name="Обычный 9 86 2" xfId="9939"/>
    <cellStyle name="Обычный 9 86 2 2" xfId="20619"/>
    <cellStyle name="Обычный 9 86 2 2 2" xfId="52663"/>
    <cellStyle name="Обычный 9 86 2 3" xfId="31300"/>
    <cellStyle name="Обычный 9 86 2 3 2" xfId="63343"/>
    <cellStyle name="Обычный 9 86 2 4" xfId="41983"/>
    <cellStyle name="Обычный 9 86 3" xfId="15279"/>
    <cellStyle name="Обычный 9 86 3 2" xfId="47323"/>
    <cellStyle name="Обычный 9 86 4" xfId="25960"/>
    <cellStyle name="Обычный 9 86 4 2" xfId="58003"/>
    <cellStyle name="Обычный 9 86 5" xfId="36643"/>
    <cellStyle name="Обычный 9 87" xfId="4630"/>
    <cellStyle name="Обычный 9 87 2" xfId="9971"/>
    <cellStyle name="Обычный 9 87 2 2" xfId="20651"/>
    <cellStyle name="Обычный 9 87 2 2 2" xfId="52695"/>
    <cellStyle name="Обычный 9 87 2 3" xfId="31332"/>
    <cellStyle name="Обычный 9 87 2 3 2" xfId="63375"/>
    <cellStyle name="Обычный 9 87 2 4" xfId="42015"/>
    <cellStyle name="Обычный 9 87 3" xfId="15311"/>
    <cellStyle name="Обычный 9 87 3 2" xfId="47355"/>
    <cellStyle name="Обычный 9 87 4" xfId="25992"/>
    <cellStyle name="Обычный 9 87 4 2" xfId="58035"/>
    <cellStyle name="Обычный 9 87 5" xfId="36675"/>
    <cellStyle name="Обычный 9 88" xfId="4662"/>
    <cellStyle name="Обычный 9 88 2" xfId="10003"/>
    <cellStyle name="Обычный 9 88 2 2" xfId="20683"/>
    <cellStyle name="Обычный 9 88 2 2 2" xfId="52727"/>
    <cellStyle name="Обычный 9 88 2 3" xfId="31364"/>
    <cellStyle name="Обычный 9 88 2 3 2" xfId="63407"/>
    <cellStyle name="Обычный 9 88 2 4" xfId="42047"/>
    <cellStyle name="Обычный 9 88 3" xfId="15343"/>
    <cellStyle name="Обычный 9 88 3 2" xfId="47387"/>
    <cellStyle name="Обычный 9 88 4" xfId="26024"/>
    <cellStyle name="Обычный 9 88 4 2" xfId="58067"/>
    <cellStyle name="Обычный 9 88 5" xfId="36707"/>
    <cellStyle name="Обычный 9 89" xfId="4694"/>
    <cellStyle name="Обычный 9 89 2" xfId="10035"/>
    <cellStyle name="Обычный 9 89 2 2" xfId="20715"/>
    <cellStyle name="Обычный 9 89 2 2 2" xfId="52759"/>
    <cellStyle name="Обычный 9 89 2 3" xfId="31396"/>
    <cellStyle name="Обычный 9 89 2 3 2" xfId="63439"/>
    <cellStyle name="Обычный 9 89 2 4" xfId="42079"/>
    <cellStyle name="Обычный 9 89 3" xfId="15375"/>
    <cellStyle name="Обычный 9 89 3 2" xfId="47419"/>
    <cellStyle name="Обычный 9 89 4" xfId="26056"/>
    <cellStyle name="Обычный 9 89 4 2" xfId="58099"/>
    <cellStyle name="Обычный 9 89 5" xfId="36739"/>
    <cellStyle name="Обычный 9 9" xfId="2151"/>
    <cellStyle name="Обычный 9 9 2" xfId="7493"/>
    <cellStyle name="Обычный 9 9 2 2" xfId="18173"/>
    <cellStyle name="Обычный 9 9 2 2 2" xfId="50217"/>
    <cellStyle name="Обычный 9 9 2 3" xfId="28854"/>
    <cellStyle name="Обычный 9 9 2 3 2" xfId="60897"/>
    <cellStyle name="Обычный 9 9 2 4" xfId="39537"/>
    <cellStyle name="Обычный 9 9 3" xfId="12833"/>
    <cellStyle name="Обычный 9 9 3 2" xfId="44877"/>
    <cellStyle name="Обычный 9 9 4" xfId="23514"/>
    <cellStyle name="Обычный 9 9 4 2" xfId="55557"/>
    <cellStyle name="Обычный 9 9 5" xfId="34197"/>
    <cellStyle name="Обычный 9 90" xfId="4728"/>
    <cellStyle name="Обычный 9 90 2" xfId="10069"/>
    <cellStyle name="Обычный 9 90 2 2" xfId="20749"/>
    <cellStyle name="Обычный 9 90 2 2 2" xfId="52793"/>
    <cellStyle name="Обычный 9 90 2 3" xfId="31430"/>
    <cellStyle name="Обычный 9 90 2 3 2" xfId="63473"/>
    <cellStyle name="Обычный 9 90 2 4" xfId="42113"/>
    <cellStyle name="Обычный 9 90 3" xfId="15409"/>
    <cellStyle name="Обычный 9 90 3 2" xfId="47453"/>
    <cellStyle name="Обычный 9 90 4" xfId="26090"/>
    <cellStyle name="Обычный 9 90 4 2" xfId="58133"/>
    <cellStyle name="Обычный 9 90 5" xfId="36773"/>
    <cellStyle name="Обычный 9 91" xfId="4760"/>
    <cellStyle name="Обычный 9 91 2" xfId="10101"/>
    <cellStyle name="Обычный 9 91 2 2" xfId="20781"/>
    <cellStyle name="Обычный 9 91 2 2 2" xfId="52825"/>
    <cellStyle name="Обычный 9 91 2 3" xfId="31462"/>
    <cellStyle name="Обычный 9 91 2 3 2" xfId="63505"/>
    <cellStyle name="Обычный 9 91 2 4" xfId="42145"/>
    <cellStyle name="Обычный 9 91 3" xfId="15441"/>
    <cellStyle name="Обычный 9 91 3 2" xfId="47485"/>
    <cellStyle name="Обычный 9 91 4" xfId="26122"/>
    <cellStyle name="Обычный 9 91 4 2" xfId="58165"/>
    <cellStyle name="Обычный 9 91 5" xfId="36805"/>
    <cellStyle name="Обычный 9 92" xfId="4792"/>
    <cellStyle name="Обычный 9 92 2" xfId="10133"/>
    <cellStyle name="Обычный 9 92 2 2" xfId="20813"/>
    <cellStyle name="Обычный 9 92 2 2 2" xfId="52857"/>
    <cellStyle name="Обычный 9 92 2 3" xfId="31494"/>
    <cellStyle name="Обычный 9 92 2 3 2" xfId="63537"/>
    <cellStyle name="Обычный 9 92 2 4" xfId="42177"/>
    <cellStyle name="Обычный 9 92 3" xfId="15473"/>
    <cellStyle name="Обычный 9 92 3 2" xfId="47517"/>
    <cellStyle name="Обычный 9 92 4" xfId="26154"/>
    <cellStyle name="Обычный 9 92 4 2" xfId="58197"/>
    <cellStyle name="Обычный 9 92 5" xfId="36837"/>
    <cellStyle name="Обычный 9 93" xfId="4824"/>
    <cellStyle name="Обычный 9 93 2" xfId="10165"/>
    <cellStyle name="Обычный 9 93 2 2" xfId="20845"/>
    <cellStyle name="Обычный 9 93 2 2 2" xfId="52889"/>
    <cellStyle name="Обычный 9 93 2 3" xfId="31526"/>
    <cellStyle name="Обычный 9 93 2 3 2" xfId="63569"/>
    <cellStyle name="Обычный 9 93 2 4" xfId="42209"/>
    <cellStyle name="Обычный 9 93 3" xfId="15505"/>
    <cellStyle name="Обычный 9 93 3 2" xfId="47549"/>
    <cellStyle name="Обычный 9 93 4" xfId="26186"/>
    <cellStyle name="Обычный 9 93 4 2" xfId="58229"/>
    <cellStyle name="Обычный 9 93 5" xfId="36869"/>
    <cellStyle name="Обычный 9 94" xfId="4856"/>
    <cellStyle name="Обычный 9 94 2" xfId="10197"/>
    <cellStyle name="Обычный 9 94 2 2" xfId="20877"/>
    <cellStyle name="Обычный 9 94 2 2 2" xfId="52921"/>
    <cellStyle name="Обычный 9 94 2 3" xfId="31558"/>
    <cellStyle name="Обычный 9 94 2 3 2" xfId="63601"/>
    <cellStyle name="Обычный 9 94 2 4" xfId="42241"/>
    <cellStyle name="Обычный 9 94 3" xfId="15537"/>
    <cellStyle name="Обычный 9 94 3 2" xfId="47581"/>
    <cellStyle name="Обычный 9 94 4" xfId="26218"/>
    <cellStyle name="Обычный 9 94 4 2" xfId="58261"/>
    <cellStyle name="Обычный 9 94 5" xfId="36901"/>
    <cellStyle name="Обычный 9 95" xfId="4888"/>
    <cellStyle name="Обычный 9 95 2" xfId="10229"/>
    <cellStyle name="Обычный 9 95 2 2" xfId="20909"/>
    <cellStyle name="Обычный 9 95 2 2 2" xfId="52953"/>
    <cellStyle name="Обычный 9 95 2 3" xfId="31590"/>
    <cellStyle name="Обычный 9 95 2 3 2" xfId="63633"/>
    <cellStyle name="Обычный 9 95 2 4" xfId="42273"/>
    <cellStyle name="Обычный 9 95 3" xfId="15569"/>
    <cellStyle name="Обычный 9 95 3 2" xfId="47613"/>
    <cellStyle name="Обычный 9 95 4" xfId="26250"/>
    <cellStyle name="Обычный 9 95 4 2" xfId="58293"/>
    <cellStyle name="Обычный 9 95 5" xfId="36933"/>
    <cellStyle name="Обычный 9 96" xfId="4920"/>
    <cellStyle name="Обычный 9 96 2" xfId="10261"/>
    <cellStyle name="Обычный 9 96 2 2" xfId="20941"/>
    <cellStyle name="Обычный 9 96 2 2 2" xfId="52985"/>
    <cellStyle name="Обычный 9 96 2 3" xfId="31622"/>
    <cellStyle name="Обычный 9 96 2 3 2" xfId="63665"/>
    <cellStyle name="Обычный 9 96 2 4" xfId="42305"/>
    <cellStyle name="Обычный 9 96 3" xfId="15601"/>
    <cellStyle name="Обычный 9 96 3 2" xfId="47645"/>
    <cellStyle name="Обычный 9 96 4" xfId="26282"/>
    <cellStyle name="Обычный 9 96 4 2" xfId="58325"/>
    <cellStyle name="Обычный 9 96 5" xfId="36965"/>
    <cellStyle name="Обычный 9 97" xfId="4952"/>
    <cellStyle name="Обычный 9 97 2" xfId="10293"/>
    <cellStyle name="Обычный 9 97 2 2" xfId="20973"/>
    <cellStyle name="Обычный 9 97 2 2 2" xfId="53017"/>
    <cellStyle name="Обычный 9 97 2 3" xfId="31654"/>
    <cellStyle name="Обычный 9 97 2 3 2" xfId="63697"/>
    <cellStyle name="Обычный 9 97 2 4" xfId="42337"/>
    <cellStyle name="Обычный 9 97 3" xfId="15633"/>
    <cellStyle name="Обычный 9 97 3 2" xfId="47677"/>
    <cellStyle name="Обычный 9 97 4" xfId="26314"/>
    <cellStyle name="Обычный 9 97 4 2" xfId="58357"/>
    <cellStyle name="Обычный 9 97 5" xfId="36997"/>
    <cellStyle name="Обычный 9 98" xfId="4984"/>
    <cellStyle name="Обычный 9 98 2" xfId="10325"/>
    <cellStyle name="Обычный 9 98 2 2" xfId="21005"/>
    <cellStyle name="Обычный 9 98 2 2 2" xfId="53049"/>
    <cellStyle name="Обычный 9 98 2 3" xfId="31686"/>
    <cellStyle name="Обычный 9 98 2 3 2" xfId="63729"/>
    <cellStyle name="Обычный 9 98 2 4" xfId="42369"/>
    <cellStyle name="Обычный 9 98 3" xfId="15665"/>
    <cellStyle name="Обычный 9 98 3 2" xfId="47709"/>
    <cellStyle name="Обычный 9 98 4" xfId="26346"/>
    <cellStyle name="Обычный 9 98 4 2" xfId="58389"/>
    <cellStyle name="Обычный 9 98 5" xfId="37029"/>
    <cellStyle name="Обычный 9 99" xfId="5016"/>
    <cellStyle name="Обычный 9 99 2" xfId="10357"/>
    <cellStyle name="Обычный 9 99 2 2" xfId="21037"/>
    <cellStyle name="Обычный 9 99 2 2 2" xfId="53081"/>
    <cellStyle name="Обычный 9 99 2 3" xfId="31718"/>
    <cellStyle name="Обычный 9 99 2 3 2" xfId="63761"/>
    <cellStyle name="Обычный 9 99 2 4" xfId="42401"/>
    <cellStyle name="Обычный 9 99 3" xfId="15697"/>
    <cellStyle name="Обычный 9 99 3 2" xfId="47741"/>
    <cellStyle name="Обычный 9 99 4" xfId="26378"/>
    <cellStyle name="Обычный 9 99 4 2" xfId="58421"/>
    <cellStyle name="Обычный 9 99 5" xfId="37061"/>
    <cellStyle name="Обычный_accounts" xfId="64123"/>
    <cellStyle name="Обычный_Memo Woyskovitsy" xfId="64122"/>
    <cellStyle name="Пояснение" xfId="4" builtinId="53"/>
    <cellStyle name="Пояснение 2" xfId="11"/>
    <cellStyle name="Пояснение 3" xfId="18"/>
    <cellStyle name="Пояснение 4" xfId="31"/>
    <cellStyle name="Процентный" xfId="64120" builtinId="5"/>
    <cellStyle name="Процентный 10" xfId="2124"/>
    <cellStyle name="Процентный 10 10" xfId="2394"/>
    <cellStyle name="Процентный 10 10 2" xfId="7736"/>
    <cellStyle name="Процентный 10 10 2 2" xfId="18416"/>
    <cellStyle name="Процентный 10 10 2 2 2" xfId="50460"/>
    <cellStyle name="Процентный 10 10 2 3" xfId="29097"/>
    <cellStyle name="Процентный 10 10 2 3 2" xfId="61140"/>
    <cellStyle name="Процентный 10 10 2 4" xfId="39780"/>
    <cellStyle name="Процентный 10 10 3" xfId="13076"/>
    <cellStyle name="Процентный 10 10 3 2" xfId="45120"/>
    <cellStyle name="Процентный 10 10 4" xfId="23757"/>
    <cellStyle name="Процентный 10 10 4 2" xfId="55800"/>
    <cellStyle name="Процентный 10 10 5" xfId="34440"/>
    <cellStyle name="Процентный 10 100" xfId="5275"/>
    <cellStyle name="Процентный 10 100 2" xfId="10616"/>
    <cellStyle name="Процентный 10 100 2 2" xfId="21296"/>
    <cellStyle name="Процентный 10 100 2 2 2" xfId="53340"/>
    <cellStyle name="Процентный 10 100 2 3" xfId="31977"/>
    <cellStyle name="Процентный 10 100 2 3 2" xfId="64020"/>
    <cellStyle name="Процентный 10 100 2 4" xfId="42660"/>
    <cellStyle name="Процентный 10 100 3" xfId="15956"/>
    <cellStyle name="Процентный 10 100 3 2" xfId="48000"/>
    <cellStyle name="Процентный 10 100 4" xfId="26637"/>
    <cellStyle name="Процентный 10 100 4 2" xfId="58680"/>
    <cellStyle name="Процентный 10 100 5" xfId="37320"/>
    <cellStyle name="Процентный 10 101" xfId="5307"/>
    <cellStyle name="Процентный 10 101 2" xfId="10648"/>
    <cellStyle name="Процентный 10 101 2 2" xfId="21328"/>
    <cellStyle name="Процентный 10 101 2 2 2" xfId="53372"/>
    <cellStyle name="Процентный 10 101 2 3" xfId="32009"/>
    <cellStyle name="Процентный 10 101 2 3 2" xfId="64052"/>
    <cellStyle name="Процентный 10 101 2 4" xfId="42692"/>
    <cellStyle name="Процентный 10 101 3" xfId="15988"/>
    <cellStyle name="Процентный 10 101 3 2" xfId="48032"/>
    <cellStyle name="Процентный 10 101 4" xfId="26669"/>
    <cellStyle name="Процентный 10 101 4 2" xfId="58712"/>
    <cellStyle name="Процентный 10 101 5" xfId="37352"/>
    <cellStyle name="Процентный 10 102" xfId="5339"/>
    <cellStyle name="Процентный 10 102 2" xfId="10680"/>
    <cellStyle name="Процентный 10 102 2 2" xfId="21360"/>
    <cellStyle name="Процентный 10 102 2 2 2" xfId="53404"/>
    <cellStyle name="Процентный 10 102 2 3" xfId="32041"/>
    <cellStyle name="Процентный 10 102 2 3 2" xfId="64084"/>
    <cellStyle name="Процентный 10 102 2 4" xfId="42724"/>
    <cellStyle name="Процентный 10 102 3" xfId="16020"/>
    <cellStyle name="Процентный 10 102 3 2" xfId="48064"/>
    <cellStyle name="Процентный 10 102 4" xfId="26701"/>
    <cellStyle name="Процентный 10 102 4 2" xfId="58744"/>
    <cellStyle name="Процентный 10 102 5" xfId="37384"/>
    <cellStyle name="Процентный 10 103" xfId="5371"/>
    <cellStyle name="Процентный 10 103 2" xfId="10712"/>
    <cellStyle name="Процентный 10 103 2 2" xfId="21392"/>
    <cellStyle name="Процентный 10 103 2 2 2" xfId="53436"/>
    <cellStyle name="Процентный 10 103 2 3" xfId="32073"/>
    <cellStyle name="Процентный 10 103 2 3 2" xfId="64116"/>
    <cellStyle name="Процентный 10 103 2 4" xfId="42756"/>
    <cellStyle name="Процентный 10 103 3" xfId="16052"/>
    <cellStyle name="Процентный 10 103 3 2" xfId="48096"/>
    <cellStyle name="Процентный 10 103 4" xfId="26733"/>
    <cellStyle name="Процентный 10 103 4 2" xfId="58776"/>
    <cellStyle name="Процентный 10 103 5" xfId="37416"/>
    <cellStyle name="Процентный 10 104" xfId="7466"/>
    <cellStyle name="Процентный 10 104 2" xfId="18146"/>
    <cellStyle name="Процентный 10 104 2 2" xfId="50190"/>
    <cellStyle name="Процентный 10 104 3" xfId="28827"/>
    <cellStyle name="Процентный 10 104 3 2" xfId="60870"/>
    <cellStyle name="Процентный 10 104 4" xfId="39510"/>
    <cellStyle name="Процентный 10 105" xfId="12806"/>
    <cellStyle name="Процентный 10 105 2" xfId="44850"/>
    <cellStyle name="Процентный 10 106" xfId="23487"/>
    <cellStyle name="Процентный 10 106 2" xfId="55530"/>
    <cellStyle name="Процентный 10 107" xfId="34170"/>
    <cellStyle name="Процентный 10 11" xfId="2424"/>
    <cellStyle name="Процентный 10 11 2" xfId="7766"/>
    <cellStyle name="Процентный 10 11 2 2" xfId="18446"/>
    <cellStyle name="Процентный 10 11 2 2 2" xfId="50490"/>
    <cellStyle name="Процентный 10 11 2 3" xfId="29127"/>
    <cellStyle name="Процентный 10 11 2 3 2" xfId="61170"/>
    <cellStyle name="Процентный 10 11 2 4" xfId="39810"/>
    <cellStyle name="Процентный 10 11 3" xfId="13106"/>
    <cellStyle name="Процентный 10 11 3 2" xfId="45150"/>
    <cellStyle name="Процентный 10 11 4" xfId="23787"/>
    <cellStyle name="Процентный 10 11 4 2" xfId="55830"/>
    <cellStyle name="Процентный 10 11 5" xfId="34470"/>
    <cellStyle name="Процентный 10 12" xfId="2454"/>
    <cellStyle name="Процентный 10 12 2" xfId="7796"/>
    <cellStyle name="Процентный 10 12 2 2" xfId="18476"/>
    <cellStyle name="Процентный 10 12 2 2 2" xfId="50520"/>
    <cellStyle name="Процентный 10 12 2 3" xfId="29157"/>
    <cellStyle name="Процентный 10 12 2 3 2" xfId="61200"/>
    <cellStyle name="Процентный 10 12 2 4" xfId="39840"/>
    <cellStyle name="Процентный 10 12 3" xfId="13136"/>
    <cellStyle name="Процентный 10 12 3 2" xfId="45180"/>
    <cellStyle name="Процентный 10 12 4" xfId="23817"/>
    <cellStyle name="Процентный 10 12 4 2" xfId="55860"/>
    <cellStyle name="Процентный 10 12 5" xfId="34500"/>
    <cellStyle name="Процентный 10 13" xfId="2484"/>
    <cellStyle name="Процентный 10 13 2" xfId="7826"/>
    <cellStyle name="Процентный 10 13 2 2" xfId="18506"/>
    <cellStyle name="Процентный 10 13 2 2 2" xfId="50550"/>
    <cellStyle name="Процентный 10 13 2 3" xfId="29187"/>
    <cellStyle name="Процентный 10 13 2 3 2" xfId="61230"/>
    <cellStyle name="Процентный 10 13 2 4" xfId="39870"/>
    <cellStyle name="Процентный 10 13 3" xfId="13166"/>
    <cellStyle name="Процентный 10 13 3 2" xfId="45210"/>
    <cellStyle name="Процентный 10 13 4" xfId="23847"/>
    <cellStyle name="Процентный 10 13 4 2" xfId="55890"/>
    <cellStyle name="Процентный 10 13 5" xfId="34530"/>
    <cellStyle name="Процентный 10 14" xfId="2516"/>
    <cellStyle name="Процентный 10 14 2" xfId="7858"/>
    <cellStyle name="Процентный 10 14 2 2" xfId="18538"/>
    <cellStyle name="Процентный 10 14 2 2 2" xfId="50582"/>
    <cellStyle name="Процентный 10 14 2 3" xfId="29219"/>
    <cellStyle name="Процентный 10 14 2 3 2" xfId="61262"/>
    <cellStyle name="Процентный 10 14 2 4" xfId="39902"/>
    <cellStyle name="Процентный 10 14 3" xfId="13198"/>
    <cellStyle name="Процентный 10 14 3 2" xfId="45242"/>
    <cellStyle name="Процентный 10 14 4" xfId="23879"/>
    <cellStyle name="Процентный 10 14 4 2" xfId="55922"/>
    <cellStyle name="Процентный 10 14 5" xfId="34562"/>
    <cellStyle name="Процентный 10 15" xfId="2550"/>
    <cellStyle name="Процентный 10 15 2" xfId="7892"/>
    <cellStyle name="Процентный 10 15 2 2" xfId="18572"/>
    <cellStyle name="Процентный 10 15 2 2 2" xfId="50616"/>
    <cellStyle name="Процентный 10 15 2 3" xfId="29253"/>
    <cellStyle name="Процентный 10 15 2 3 2" xfId="61296"/>
    <cellStyle name="Процентный 10 15 2 4" xfId="39936"/>
    <cellStyle name="Процентный 10 15 3" xfId="13232"/>
    <cellStyle name="Процентный 10 15 3 2" xfId="45276"/>
    <cellStyle name="Процентный 10 15 4" xfId="23913"/>
    <cellStyle name="Процентный 10 15 4 2" xfId="55956"/>
    <cellStyle name="Процентный 10 15 5" xfId="34596"/>
    <cellStyle name="Процентный 10 16" xfId="2582"/>
    <cellStyle name="Процентный 10 16 2" xfId="7924"/>
    <cellStyle name="Процентный 10 16 2 2" xfId="18604"/>
    <cellStyle name="Процентный 10 16 2 2 2" xfId="50648"/>
    <cellStyle name="Процентный 10 16 2 3" xfId="29285"/>
    <cellStyle name="Процентный 10 16 2 3 2" xfId="61328"/>
    <cellStyle name="Процентный 10 16 2 4" xfId="39968"/>
    <cellStyle name="Процентный 10 16 3" xfId="13264"/>
    <cellStyle name="Процентный 10 16 3 2" xfId="45308"/>
    <cellStyle name="Процентный 10 16 4" xfId="23945"/>
    <cellStyle name="Процентный 10 16 4 2" xfId="55988"/>
    <cellStyle name="Процентный 10 16 5" xfId="34628"/>
    <cellStyle name="Процентный 10 17" xfId="2614"/>
    <cellStyle name="Процентный 10 17 2" xfId="7956"/>
    <cellStyle name="Процентный 10 17 2 2" xfId="18636"/>
    <cellStyle name="Процентный 10 17 2 2 2" xfId="50680"/>
    <cellStyle name="Процентный 10 17 2 3" xfId="29317"/>
    <cellStyle name="Процентный 10 17 2 3 2" xfId="61360"/>
    <cellStyle name="Процентный 10 17 2 4" xfId="40000"/>
    <cellStyle name="Процентный 10 17 3" xfId="13296"/>
    <cellStyle name="Процентный 10 17 3 2" xfId="45340"/>
    <cellStyle name="Процентный 10 17 4" xfId="23977"/>
    <cellStyle name="Процентный 10 17 4 2" xfId="56020"/>
    <cellStyle name="Процентный 10 17 5" xfId="34660"/>
    <cellStyle name="Процентный 10 18" xfId="2646"/>
    <cellStyle name="Процентный 10 18 2" xfId="7988"/>
    <cellStyle name="Процентный 10 18 2 2" xfId="18668"/>
    <cellStyle name="Процентный 10 18 2 2 2" xfId="50712"/>
    <cellStyle name="Процентный 10 18 2 3" xfId="29349"/>
    <cellStyle name="Процентный 10 18 2 3 2" xfId="61392"/>
    <cellStyle name="Процентный 10 18 2 4" xfId="40032"/>
    <cellStyle name="Процентный 10 18 3" xfId="13328"/>
    <cellStyle name="Процентный 10 18 3 2" xfId="45372"/>
    <cellStyle name="Процентный 10 18 4" xfId="24009"/>
    <cellStyle name="Процентный 10 18 4 2" xfId="56052"/>
    <cellStyle name="Процентный 10 18 5" xfId="34692"/>
    <cellStyle name="Процентный 10 19" xfId="2678"/>
    <cellStyle name="Процентный 10 19 2" xfId="8020"/>
    <cellStyle name="Процентный 10 19 2 2" xfId="18700"/>
    <cellStyle name="Процентный 10 19 2 2 2" xfId="50744"/>
    <cellStyle name="Процентный 10 19 2 3" xfId="29381"/>
    <cellStyle name="Процентный 10 19 2 3 2" xfId="61424"/>
    <cellStyle name="Процентный 10 19 2 4" xfId="40064"/>
    <cellStyle name="Процентный 10 19 3" xfId="13360"/>
    <cellStyle name="Процентный 10 19 3 2" xfId="45404"/>
    <cellStyle name="Процентный 10 19 4" xfId="24041"/>
    <cellStyle name="Процентный 10 19 4 2" xfId="56084"/>
    <cellStyle name="Процентный 10 19 5" xfId="34724"/>
    <cellStyle name="Процентный 10 2" xfId="2154"/>
    <cellStyle name="Процентный 10 2 2" xfId="7496"/>
    <cellStyle name="Процентный 10 2 2 2" xfId="18176"/>
    <cellStyle name="Процентный 10 2 2 2 2" xfId="50220"/>
    <cellStyle name="Процентный 10 2 2 3" xfId="28857"/>
    <cellStyle name="Процентный 10 2 2 3 2" xfId="60900"/>
    <cellStyle name="Процентный 10 2 2 4" xfId="39540"/>
    <cellStyle name="Процентный 10 2 3" xfId="12836"/>
    <cellStyle name="Процентный 10 2 3 2" xfId="44880"/>
    <cellStyle name="Процентный 10 2 4" xfId="23517"/>
    <cellStyle name="Процентный 10 2 4 2" xfId="55560"/>
    <cellStyle name="Процентный 10 2 5" xfId="34200"/>
    <cellStyle name="Процентный 10 20" xfId="2710"/>
    <cellStyle name="Процентный 10 20 2" xfId="8052"/>
    <cellStyle name="Процентный 10 20 2 2" xfId="18732"/>
    <cellStyle name="Процентный 10 20 2 2 2" xfId="50776"/>
    <cellStyle name="Процентный 10 20 2 3" xfId="29413"/>
    <cellStyle name="Процентный 10 20 2 3 2" xfId="61456"/>
    <cellStyle name="Процентный 10 20 2 4" xfId="40096"/>
    <cellStyle name="Процентный 10 20 3" xfId="13392"/>
    <cellStyle name="Процентный 10 20 3 2" xfId="45436"/>
    <cellStyle name="Процентный 10 20 4" xfId="24073"/>
    <cellStyle name="Процентный 10 20 4 2" xfId="56116"/>
    <cellStyle name="Процентный 10 20 5" xfId="34756"/>
    <cellStyle name="Процентный 10 21" xfId="2742"/>
    <cellStyle name="Процентный 10 21 2" xfId="8084"/>
    <cellStyle name="Процентный 10 21 2 2" xfId="18764"/>
    <cellStyle name="Процентный 10 21 2 2 2" xfId="50808"/>
    <cellStyle name="Процентный 10 21 2 3" xfId="29445"/>
    <cellStyle name="Процентный 10 21 2 3 2" xfId="61488"/>
    <cellStyle name="Процентный 10 21 2 4" xfId="40128"/>
    <cellStyle name="Процентный 10 21 3" xfId="13424"/>
    <cellStyle name="Процентный 10 21 3 2" xfId="45468"/>
    <cellStyle name="Процентный 10 21 4" xfId="24105"/>
    <cellStyle name="Процентный 10 21 4 2" xfId="56148"/>
    <cellStyle name="Процентный 10 21 5" xfId="34788"/>
    <cellStyle name="Процентный 10 22" xfId="2776"/>
    <cellStyle name="Процентный 10 22 2" xfId="8118"/>
    <cellStyle name="Процентный 10 22 2 2" xfId="18798"/>
    <cellStyle name="Процентный 10 22 2 2 2" xfId="50842"/>
    <cellStyle name="Процентный 10 22 2 3" xfId="29479"/>
    <cellStyle name="Процентный 10 22 2 3 2" xfId="61522"/>
    <cellStyle name="Процентный 10 22 2 4" xfId="40162"/>
    <cellStyle name="Процентный 10 22 3" xfId="13458"/>
    <cellStyle name="Процентный 10 22 3 2" xfId="45502"/>
    <cellStyle name="Процентный 10 22 4" xfId="24139"/>
    <cellStyle name="Процентный 10 22 4 2" xfId="56182"/>
    <cellStyle name="Процентный 10 22 5" xfId="34822"/>
    <cellStyle name="Процентный 10 23" xfId="2808"/>
    <cellStyle name="Процентный 10 23 2" xfId="8150"/>
    <cellStyle name="Процентный 10 23 2 2" xfId="18830"/>
    <cellStyle name="Процентный 10 23 2 2 2" xfId="50874"/>
    <cellStyle name="Процентный 10 23 2 3" xfId="29511"/>
    <cellStyle name="Процентный 10 23 2 3 2" xfId="61554"/>
    <cellStyle name="Процентный 10 23 2 4" xfId="40194"/>
    <cellStyle name="Процентный 10 23 3" xfId="13490"/>
    <cellStyle name="Процентный 10 23 3 2" xfId="45534"/>
    <cellStyle name="Процентный 10 23 4" xfId="24171"/>
    <cellStyle name="Процентный 10 23 4 2" xfId="56214"/>
    <cellStyle name="Процентный 10 23 5" xfId="34854"/>
    <cellStyle name="Процентный 10 24" xfId="2840"/>
    <cellStyle name="Процентный 10 24 2" xfId="8182"/>
    <cellStyle name="Процентный 10 24 2 2" xfId="18862"/>
    <cellStyle name="Процентный 10 24 2 2 2" xfId="50906"/>
    <cellStyle name="Процентный 10 24 2 3" xfId="29543"/>
    <cellStyle name="Процентный 10 24 2 3 2" xfId="61586"/>
    <cellStyle name="Процентный 10 24 2 4" xfId="40226"/>
    <cellStyle name="Процентный 10 24 3" xfId="13522"/>
    <cellStyle name="Процентный 10 24 3 2" xfId="45566"/>
    <cellStyle name="Процентный 10 24 4" xfId="24203"/>
    <cellStyle name="Процентный 10 24 4 2" xfId="56246"/>
    <cellStyle name="Процентный 10 24 5" xfId="34886"/>
    <cellStyle name="Процентный 10 25" xfId="2872"/>
    <cellStyle name="Процентный 10 25 2" xfId="8214"/>
    <cellStyle name="Процентный 10 25 2 2" xfId="18894"/>
    <cellStyle name="Процентный 10 25 2 2 2" xfId="50938"/>
    <cellStyle name="Процентный 10 25 2 3" xfId="29575"/>
    <cellStyle name="Процентный 10 25 2 3 2" xfId="61618"/>
    <cellStyle name="Процентный 10 25 2 4" xfId="40258"/>
    <cellStyle name="Процентный 10 25 3" xfId="13554"/>
    <cellStyle name="Процентный 10 25 3 2" xfId="45598"/>
    <cellStyle name="Процентный 10 25 4" xfId="24235"/>
    <cellStyle name="Процентный 10 25 4 2" xfId="56278"/>
    <cellStyle name="Процентный 10 25 5" xfId="34918"/>
    <cellStyle name="Процентный 10 26" xfId="2904"/>
    <cellStyle name="Процентный 10 26 2" xfId="8246"/>
    <cellStyle name="Процентный 10 26 2 2" xfId="18926"/>
    <cellStyle name="Процентный 10 26 2 2 2" xfId="50970"/>
    <cellStyle name="Процентный 10 26 2 3" xfId="29607"/>
    <cellStyle name="Процентный 10 26 2 3 2" xfId="61650"/>
    <cellStyle name="Процентный 10 26 2 4" xfId="40290"/>
    <cellStyle name="Процентный 10 26 3" xfId="13586"/>
    <cellStyle name="Процентный 10 26 3 2" xfId="45630"/>
    <cellStyle name="Процентный 10 26 4" xfId="24267"/>
    <cellStyle name="Процентный 10 26 4 2" xfId="56310"/>
    <cellStyle name="Процентный 10 26 5" xfId="34950"/>
    <cellStyle name="Процентный 10 27" xfId="2936"/>
    <cellStyle name="Процентный 10 27 2" xfId="8278"/>
    <cellStyle name="Процентный 10 27 2 2" xfId="18958"/>
    <cellStyle name="Процентный 10 27 2 2 2" xfId="51002"/>
    <cellStyle name="Процентный 10 27 2 3" xfId="29639"/>
    <cellStyle name="Процентный 10 27 2 3 2" xfId="61682"/>
    <cellStyle name="Процентный 10 27 2 4" xfId="40322"/>
    <cellStyle name="Процентный 10 27 3" xfId="13618"/>
    <cellStyle name="Процентный 10 27 3 2" xfId="45662"/>
    <cellStyle name="Процентный 10 27 4" xfId="24299"/>
    <cellStyle name="Процентный 10 27 4 2" xfId="56342"/>
    <cellStyle name="Процентный 10 27 5" xfId="34982"/>
    <cellStyle name="Процентный 10 28" xfId="2968"/>
    <cellStyle name="Процентный 10 28 2" xfId="8310"/>
    <cellStyle name="Процентный 10 28 2 2" xfId="18990"/>
    <cellStyle name="Процентный 10 28 2 2 2" xfId="51034"/>
    <cellStyle name="Процентный 10 28 2 3" xfId="29671"/>
    <cellStyle name="Процентный 10 28 2 3 2" xfId="61714"/>
    <cellStyle name="Процентный 10 28 2 4" xfId="40354"/>
    <cellStyle name="Процентный 10 28 3" xfId="13650"/>
    <cellStyle name="Процентный 10 28 3 2" xfId="45694"/>
    <cellStyle name="Процентный 10 28 4" xfId="24331"/>
    <cellStyle name="Процентный 10 28 4 2" xfId="56374"/>
    <cellStyle name="Процентный 10 28 5" xfId="35014"/>
    <cellStyle name="Процентный 10 29" xfId="3000"/>
    <cellStyle name="Процентный 10 29 2" xfId="8342"/>
    <cellStyle name="Процентный 10 29 2 2" xfId="19022"/>
    <cellStyle name="Процентный 10 29 2 2 2" xfId="51066"/>
    <cellStyle name="Процентный 10 29 2 3" xfId="29703"/>
    <cellStyle name="Процентный 10 29 2 3 2" xfId="61746"/>
    <cellStyle name="Процентный 10 29 2 4" xfId="40386"/>
    <cellStyle name="Процентный 10 29 3" xfId="13682"/>
    <cellStyle name="Процентный 10 29 3 2" xfId="45726"/>
    <cellStyle name="Процентный 10 29 4" xfId="24363"/>
    <cellStyle name="Процентный 10 29 4 2" xfId="56406"/>
    <cellStyle name="Процентный 10 29 5" xfId="35046"/>
    <cellStyle name="Процентный 10 3" xfId="2184"/>
    <cellStyle name="Процентный 10 3 2" xfId="7526"/>
    <cellStyle name="Процентный 10 3 2 2" xfId="18206"/>
    <cellStyle name="Процентный 10 3 2 2 2" xfId="50250"/>
    <cellStyle name="Процентный 10 3 2 3" xfId="28887"/>
    <cellStyle name="Процентный 10 3 2 3 2" xfId="60930"/>
    <cellStyle name="Процентный 10 3 2 4" xfId="39570"/>
    <cellStyle name="Процентный 10 3 3" xfId="12866"/>
    <cellStyle name="Процентный 10 3 3 2" xfId="44910"/>
    <cellStyle name="Процентный 10 3 4" xfId="23547"/>
    <cellStyle name="Процентный 10 3 4 2" xfId="55590"/>
    <cellStyle name="Процентный 10 3 5" xfId="34230"/>
    <cellStyle name="Процентный 10 30" xfId="3032"/>
    <cellStyle name="Процентный 10 30 2" xfId="8374"/>
    <cellStyle name="Процентный 10 30 2 2" xfId="19054"/>
    <cellStyle name="Процентный 10 30 2 2 2" xfId="51098"/>
    <cellStyle name="Процентный 10 30 2 3" xfId="29735"/>
    <cellStyle name="Процентный 10 30 2 3 2" xfId="61778"/>
    <cellStyle name="Процентный 10 30 2 4" xfId="40418"/>
    <cellStyle name="Процентный 10 30 3" xfId="13714"/>
    <cellStyle name="Процентный 10 30 3 2" xfId="45758"/>
    <cellStyle name="Процентный 10 30 4" xfId="24395"/>
    <cellStyle name="Процентный 10 30 4 2" xfId="56438"/>
    <cellStyle name="Процентный 10 30 5" xfId="35078"/>
    <cellStyle name="Процентный 10 31" xfId="3064"/>
    <cellStyle name="Процентный 10 31 2" xfId="8406"/>
    <cellStyle name="Процентный 10 31 2 2" xfId="19086"/>
    <cellStyle name="Процентный 10 31 2 2 2" xfId="51130"/>
    <cellStyle name="Процентный 10 31 2 3" xfId="29767"/>
    <cellStyle name="Процентный 10 31 2 3 2" xfId="61810"/>
    <cellStyle name="Процентный 10 31 2 4" xfId="40450"/>
    <cellStyle name="Процентный 10 31 3" xfId="13746"/>
    <cellStyle name="Процентный 10 31 3 2" xfId="45790"/>
    <cellStyle name="Процентный 10 31 4" xfId="24427"/>
    <cellStyle name="Процентный 10 31 4 2" xfId="56470"/>
    <cellStyle name="Процентный 10 31 5" xfId="35110"/>
    <cellStyle name="Процентный 10 32" xfId="3096"/>
    <cellStyle name="Процентный 10 32 2" xfId="8438"/>
    <cellStyle name="Процентный 10 32 2 2" xfId="19118"/>
    <cellStyle name="Процентный 10 32 2 2 2" xfId="51162"/>
    <cellStyle name="Процентный 10 32 2 3" xfId="29799"/>
    <cellStyle name="Процентный 10 32 2 3 2" xfId="61842"/>
    <cellStyle name="Процентный 10 32 2 4" xfId="40482"/>
    <cellStyle name="Процентный 10 32 3" xfId="13778"/>
    <cellStyle name="Процентный 10 32 3 2" xfId="45822"/>
    <cellStyle name="Процентный 10 32 4" xfId="24459"/>
    <cellStyle name="Процентный 10 32 4 2" xfId="56502"/>
    <cellStyle name="Процентный 10 32 5" xfId="35142"/>
    <cellStyle name="Процентный 10 33" xfId="3129"/>
    <cellStyle name="Процентный 10 33 2" xfId="8470"/>
    <cellStyle name="Процентный 10 33 2 2" xfId="19150"/>
    <cellStyle name="Процентный 10 33 2 2 2" xfId="51194"/>
    <cellStyle name="Процентный 10 33 2 3" xfId="29831"/>
    <cellStyle name="Процентный 10 33 2 3 2" xfId="61874"/>
    <cellStyle name="Процентный 10 33 2 4" xfId="40514"/>
    <cellStyle name="Процентный 10 33 3" xfId="13810"/>
    <cellStyle name="Процентный 10 33 3 2" xfId="45854"/>
    <cellStyle name="Процентный 10 33 4" xfId="24491"/>
    <cellStyle name="Процентный 10 33 4 2" xfId="56534"/>
    <cellStyle name="Процентный 10 33 5" xfId="35174"/>
    <cellStyle name="Процентный 10 34" xfId="3161"/>
    <cellStyle name="Процентный 10 34 2" xfId="8502"/>
    <cellStyle name="Процентный 10 34 2 2" xfId="19182"/>
    <cellStyle name="Процентный 10 34 2 2 2" xfId="51226"/>
    <cellStyle name="Процентный 10 34 2 3" xfId="29863"/>
    <cellStyle name="Процентный 10 34 2 3 2" xfId="61906"/>
    <cellStyle name="Процентный 10 34 2 4" xfId="40546"/>
    <cellStyle name="Процентный 10 34 3" xfId="13842"/>
    <cellStyle name="Процентный 10 34 3 2" xfId="45886"/>
    <cellStyle name="Процентный 10 34 4" xfId="24523"/>
    <cellStyle name="Процентный 10 34 4 2" xfId="56566"/>
    <cellStyle name="Процентный 10 34 5" xfId="35206"/>
    <cellStyle name="Процентный 10 35" xfId="3193"/>
    <cellStyle name="Процентный 10 35 2" xfId="8534"/>
    <cellStyle name="Процентный 10 35 2 2" xfId="19214"/>
    <cellStyle name="Процентный 10 35 2 2 2" xfId="51258"/>
    <cellStyle name="Процентный 10 35 2 3" xfId="29895"/>
    <cellStyle name="Процентный 10 35 2 3 2" xfId="61938"/>
    <cellStyle name="Процентный 10 35 2 4" xfId="40578"/>
    <cellStyle name="Процентный 10 35 3" xfId="13874"/>
    <cellStyle name="Процентный 10 35 3 2" xfId="45918"/>
    <cellStyle name="Процентный 10 35 4" xfId="24555"/>
    <cellStyle name="Процентный 10 35 4 2" xfId="56598"/>
    <cellStyle name="Процентный 10 35 5" xfId="35238"/>
    <cellStyle name="Процентный 10 36" xfId="3225"/>
    <cellStyle name="Процентный 10 36 2" xfId="8566"/>
    <cellStyle name="Процентный 10 36 2 2" xfId="19246"/>
    <cellStyle name="Процентный 10 36 2 2 2" xfId="51290"/>
    <cellStyle name="Процентный 10 36 2 3" xfId="29927"/>
    <cellStyle name="Процентный 10 36 2 3 2" xfId="61970"/>
    <cellStyle name="Процентный 10 36 2 4" xfId="40610"/>
    <cellStyle name="Процентный 10 36 3" xfId="13906"/>
    <cellStyle name="Процентный 10 36 3 2" xfId="45950"/>
    <cellStyle name="Процентный 10 36 4" xfId="24587"/>
    <cellStyle name="Процентный 10 36 4 2" xfId="56630"/>
    <cellStyle name="Процентный 10 36 5" xfId="35270"/>
    <cellStyle name="Процентный 10 37" xfId="3257"/>
    <cellStyle name="Процентный 10 37 2" xfId="8598"/>
    <cellStyle name="Процентный 10 37 2 2" xfId="19278"/>
    <cellStyle name="Процентный 10 37 2 2 2" xfId="51322"/>
    <cellStyle name="Процентный 10 37 2 3" xfId="29959"/>
    <cellStyle name="Процентный 10 37 2 3 2" xfId="62002"/>
    <cellStyle name="Процентный 10 37 2 4" xfId="40642"/>
    <cellStyle name="Процентный 10 37 3" xfId="13938"/>
    <cellStyle name="Процентный 10 37 3 2" xfId="45982"/>
    <cellStyle name="Процентный 10 37 4" xfId="24619"/>
    <cellStyle name="Процентный 10 37 4 2" xfId="56662"/>
    <cellStyle name="Процентный 10 37 5" xfId="35302"/>
    <cellStyle name="Процентный 10 38" xfId="3289"/>
    <cellStyle name="Процентный 10 38 2" xfId="8630"/>
    <cellStyle name="Процентный 10 38 2 2" xfId="19310"/>
    <cellStyle name="Процентный 10 38 2 2 2" xfId="51354"/>
    <cellStyle name="Процентный 10 38 2 3" xfId="29991"/>
    <cellStyle name="Процентный 10 38 2 3 2" xfId="62034"/>
    <cellStyle name="Процентный 10 38 2 4" xfId="40674"/>
    <cellStyle name="Процентный 10 38 3" xfId="13970"/>
    <cellStyle name="Процентный 10 38 3 2" xfId="46014"/>
    <cellStyle name="Процентный 10 38 4" xfId="24651"/>
    <cellStyle name="Процентный 10 38 4 2" xfId="56694"/>
    <cellStyle name="Процентный 10 38 5" xfId="35334"/>
    <cellStyle name="Процентный 10 39" xfId="3321"/>
    <cellStyle name="Процентный 10 39 2" xfId="8662"/>
    <cellStyle name="Процентный 10 39 2 2" xfId="19342"/>
    <cellStyle name="Процентный 10 39 2 2 2" xfId="51386"/>
    <cellStyle name="Процентный 10 39 2 3" xfId="30023"/>
    <cellStyle name="Процентный 10 39 2 3 2" xfId="62066"/>
    <cellStyle name="Процентный 10 39 2 4" xfId="40706"/>
    <cellStyle name="Процентный 10 39 3" xfId="14002"/>
    <cellStyle name="Процентный 10 39 3 2" xfId="46046"/>
    <cellStyle name="Процентный 10 39 4" xfId="24683"/>
    <cellStyle name="Процентный 10 39 4 2" xfId="56726"/>
    <cellStyle name="Процентный 10 39 5" xfId="35366"/>
    <cellStyle name="Процентный 10 4" xfId="2214"/>
    <cellStyle name="Процентный 10 4 2" xfId="7556"/>
    <cellStyle name="Процентный 10 4 2 2" xfId="18236"/>
    <cellStyle name="Процентный 10 4 2 2 2" xfId="50280"/>
    <cellStyle name="Процентный 10 4 2 3" xfId="28917"/>
    <cellStyle name="Процентный 10 4 2 3 2" xfId="60960"/>
    <cellStyle name="Процентный 10 4 2 4" xfId="39600"/>
    <cellStyle name="Процентный 10 4 3" xfId="12896"/>
    <cellStyle name="Процентный 10 4 3 2" xfId="44940"/>
    <cellStyle name="Процентный 10 4 4" xfId="23577"/>
    <cellStyle name="Процентный 10 4 4 2" xfId="55620"/>
    <cellStyle name="Процентный 10 4 5" xfId="34260"/>
    <cellStyle name="Процентный 10 40" xfId="3353"/>
    <cellStyle name="Процентный 10 40 2" xfId="8694"/>
    <cellStyle name="Процентный 10 40 2 2" xfId="19374"/>
    <cellStyle name="Процентный 10 40 2 2 2" xfId="51418"/>
    <cellStyle name="Процентный 10 40 2 3" xfId="30055"/>
    <cellStyle name="Процентный 10 40 2 3 2" xfId="62098"/>
    <cellStyle name="Процентный 10 40 2 4" xfId="40738"/>
    <cellStyle name="Процентный 10 40 3" xfId="14034"/>
    <cellStyle name="Процентный 10 40 3 2" xfId="46078"/>
    <cellStyle name="Процентный 10 40 4" xfId="24715"/>
    <cellStyle name="Процентный 10 40 4 2" xfId="56758"/>
    <cellStyle name="Процентный 10 40 5" xfId="35398"/>
    <cellStyle name="Процентный 10 41" xfId="3385"/>
    <cellStyle name="Процентный 10 41 2" xfId="8726"/>
    <cellStyle name="Процентный 10 41 2 2" xfId="19406"/>
    <cellStyle name="Процентный 10 41 2 2 2" xfId="51450"/>
    <cellStyle name="Процентный 10 41 2 3" xfId="30087"/>
    <cellStyle name="Процентный 10 41 2 3 2" xfId="62130"/>
    <cellStyle name="Процентный 10 41 2 4" xfId="40770"/>
    <cellStyle name="Процентный 10 41 3" xfId="14066"/>
    <cellStyle name="Процентный 10 41 3 2" xfId="46110"/>
    <cellStyle name="Процентный 10 41 4" xfId="24747"/>
    <cellStyle name="Процентный 10 41 4 2" xfId="56790"/>
    <cellStyle name="Процентный 10 41 5" xfId="35430"/>
    <cellStyle name="Процентный 10 42" xfId="3417"/>
    <cellStyle name="Процентный 10 42 2" xfId="8758"/>
    <cellStyle name="Процентный 10 42 2 2" xfId="19438"/>
    <cellStyle name="Процентный 10 42 2 2 2" xfId="51482"/>
    <cellStyle name="Процентный 10 42 2 3" xfId="30119"/>
    <cellStyle name="Процентный 10 42 2 3 2" xfId="62162"/>
    <cellStyle name="Процентный 10 42 2 4" xfId="40802"/>
    <cellStyle name="Процентный 10 42 3" xfId="14098"/>
    <cellStyle name="Процентный 10 42 3 2" xfId="46142"/>
    <cellStyle name="Процентный 10 42 4" xfId="24779"/>
    <cellStyle name="Процентный 10 42 4 2" xfId="56822"/>
    <cellStyle name="Процентный 10 42 5" xfId="35462"/>
    <cellStyle name="Процентный 10 43" xfId="3449"/>
    <cellStyle name="Процентный 10 43 2" xfId="8790"/>
    <cellStyle name="Процентный 10 43 2 2" xfId="19470"/>
    <cellStyle name="Процентный 10 43 2 2 2" xfId="51514"/>
    <cellStyle name="Процентный 10 43 2 3" xfId="30151"/>
    <cellStyle name="Процентный 10 43 2 3 2" xfId="62194"/>
    <cellStyle name="Процентный 10 43 2 4" xfId="40834"/>
    <cellStyle name="Процентный 10 43 3" xfId="14130"/>
    <cellStyle name="Процентный 10 43 3 2" xfId="46174"/>
    <cellStyle name="Процентный 10 43 4" xfId="24811"/>
    <cellStyle name="Процентный 10 43 4 2" xfId="56854"/>
    <cellStyle name="Процентный 10 43 5" xfId="35494"/>
    <cellStyle name="Процентный 10 44" xfId="3481"/>
    <cellStyle name="Процентный 10 44 2" xfId="8822"/>
    <cellStyle name="Процентный 10 44 2 2" xfId="19502"/>
    <cellStyle name="Процентный 10 44 2 2 2" xfId="51546"/>
    <cellStyle name="Процентный 10 44 2 3" xfId="30183"/>
    <cellStyle name="Процентный 10 44 2 3 2" xfId="62226"/>
    <cellStyle name="Процентный 10 44 2 4" xfId="40866"/>
    <cellStyle name="Процентный 10 44 3" xfId="14162"/>
    <cellStyle name="Процентный 10 44 3 2" xfId="46206"/>
    <cellStyle name="Процентный 10 44 4" xfId="24843"/>
    <cellStyle name="Процентный 10 44 4 2" xfId="56886"/>
    <cellStyle name="Процентный 10 44 5" xfId="35526"/>
    <cellStyle name="Процентный 10 45" xfId="3513"/>
    <cellStyle name="Процентный 10 45 2" xfId="8854"/>
    <cellStyle name="Процентный 10 45 2 2" xfId="19534"/>
    <cellStyle name="Процентный 10 45 2 2 2" xfId="51578"/>
    <cellStyle name="Процентный 10 45 2 3" xfId="30215"/>
    <cellStyle name="Процентный 10 45 2 3 2" xfId="62258"/>
    <cellStyle name="Процентный 10 45 2 4" xfId="40898"/>
    <cellStyle name="Процентный 10 45 3" xfId="14194"/>
    <cellStyle name="Процентный 10 45 3 2" xfId="46238"/>
    <cellStyle name="Процентный 10 45 4" xfId="24875"/>
    <cellStyle name="Процентный 10 45 4 2" xfId="56918"/>
    <cellStyle name="Процентный 10 45 5" xfId="35558"/>
    <cellStyle name="Процентный 10 46" xfId="3545"/>
    <cellStyle name="Процентный 10 46 2" xfId="8886"/>
    <cellStyle name="Процентный 10 46 2 2" xfId="19566"/>
    <cellStyle name="Процентный 10 46 2 2 2" xfId="51610"/>
    <cellStyle name="Процентный 10 46 2 3" xfId="30247"/>
    <cellStyle name="Процентный 10 46 2 3 2" xfId="62290"/>
    <cellStyle name="Процентный 10 46 2 4" xfId="40930"/>
    <cellStyle name="Процентный 10 46 3" xfId="14226"/>
    <cellStyle name="Процентный 10 46 3 2" xfId="46270"/>
    <cellStyle name="Процентный 10 46 4" xfId="24907"/>
    <cellStyle name="Процентный 10 46 4 2" xfId="56950"/>
    <cellStyle name="Процентный 10 46 5" xfId="35590"/>
    <cellStyle name="Процентный 10 47" xfId="3577"/>
    <cellStyle name="Процентный 10 47 2" xfId="8918"/>
    <cellStyle name="Процентный 10 47 2 2" xfId="19598"/>
    <cellStyle name="Процентный 10 47 2 2 2" xfId="51642"/>
    <cellStyle name="Процентный 10 47 2 3" xfId="30279"/>
    <cellStyle name="Процентный 10 47 2 3 2" xfId="62322"/>
    <cellStyle name="Процентный 10 47 2 4" xfId="40962"/>
    <cellStyle name="Процентный 10 47 3" xfId="14258"/>
    <cellStyle name="Процентный 10 47 3 2" xfId="46302"/>
    <cellStyle name="Процентный 10 47 4" xfId="24939"/>
    <cellStyle name="Процентный 10 47 4 2" xfId="56982"/>
    <cellStyle name="Процентный 10 47 5" xfId="35622"/>
    <cellStyle name="Процентный 10 48" xfId="3609"/>
    <cellStyle name="Процентный 10 48 2" xfId="8950"/>
    <cellStyle name="Процентный 10 48 2 2" xfId="19630"/>
    <cellStyle name="Процентный 10 48 2 2 2" xfId="51674"/>
    <cellStyle name="Процентный 10 48 2 3" xfId="30311"/>
    <cellStyle name="Процентный 10 48 2 3 2" xfId="62354"/>
    <cellStyle name="Процентный 10 48 2 4" xfId="40994"/>
    <cellStyle name="Процентный 10 48 3" xfId="14290"/>
    <cellStyle name="Процентный 10 48 3 2" xfId="46334"/>
    <cellStyle name="Процентный 10 48 4" xfId="24971"/>
    <cellStyle name="Процентный 10 48 4 2" xfId="57014"/>
    <cellStyle name="Процентный 10 48 5" xfId="35654"/>
    <cellStyle name="Процентный 10 49" xfId="3641"/>
    <cellStyle name="Процентный 10 49 2" xfId="8982"/>
    <cellStyle name="Процентный 10 49 2 2" xfId="19662"/>
    <cellStyle name="Процентный 10 49 2 2 2" xfId="51706"/>
    <cellStyle name="Процентный 10 49 2 3" xfId="30343"/>
    <cellStyle name="Процентный 10 49 2 3 2" xfId="62386"/>
    <cellStyle name="Процентный 10 49 2 4" xfId="41026"/>
    <cellStyle name="Процентный 10 49 3" xfId="14322"/>
    <cellStyle name="Процентный 10 49 3 2" xfId="46366"/>
    <cellStyle name="Процентный 10 49 4" xfId="25003"/>
    <cellStyle name="Процентный 10 49 4 2" xfId="57046"/>
    <cellStyle name="Процентный 10 49 5" xfId="35686"/>
    <cellStyle name="Процентный 10 5" xfId="2244"/>
    <cellStyle name="Процентный 10 5 2" xfId="7586"/>
    <cellStyle name="Процентный 10 5 2 2" xfId="18266"/>
    <cellStyle name="Процентный 10 5 2 2 2" xfId="50310"/>
    <cellStyle name="Процентный 10 5 2 3" xfId="28947"/>
    <cellStyle name="Процентный 10 5 2 3 2" xfId="60990"/>
    <cellStyle name="Процентный 10 5 2 4" xfId="39630"/>
    <cellStyle name="Процентный 10 5 3" xfId="12926"/>
    <cellStyle name="Процентный 10 5 3 2" xfId="44970"/>
    <cellStyle name="Процентный 10 5 4" xfId="23607"/>
    <cellStyle name="Процентный 10 5 4 2" xfId="55650"/>
    <cellStyle name="Процентный 10 5 5" xfId="34290"/>
    <cellStyle name="Процентный 10 50" xfId="3673"/>
    <cellStyle name="Процентный 10 50 2" xfId="9014"/>
    <cellStyle name="Процентный 10 50 2 2" xfId="19694"/>
    <cellStyle name="Процентный 10 50 2 2 2" xfId="51738"/>
    <cellStyle name="Процентный 10 50 2 3" xfId="30375"/>
    <cellStyle name="Процентный 10 50 2 3 2" xfId="62418"/>
    <cellStyle name="Процентный 10 50 2 4" xfId="41058"/>
    <cellStyle name="Процентный 10 50 3" xfId="14354"/>
    <cellStyle name="Процентный 10 50 3 2" xfId="46398"/>
    <cellStyle name="Процентный 10 50 4" xfId="25035"/>
    <cellStyle name="Процентный 10 50 4 2" xfId="57078"/>
    <cellStyle name="Процентный 10 50 5" xfId="35718"/>
    <cellStyle name="Процентный 10 51" xfId="3705"/>
    <cellStyle name="Процентный 10 51 2" xfId="9046"/>
    <cellStyle name="Процентный 10 51 2 2" xfId="19726"/>
    <cellStyle name="Процентный 10 51 2 2 2" xfId="51770"/>
    <cellStyle name="Процентный 10 51 2 3" xfId="30407"/>
    <cellStyle name="Процентный 10 51 2 3 2" xfId="62450"/>
    <cellStyle name="Процентный 10 51 2 4" xfId="41090"/>
    <cellStyle name="Процентный 10 51 3" xfId="14386"/>
    <cellStyle name="Процентный 10 51 3 2" xfId="46430"/>
    <cellStyle name="Процентный 10 51 4" xfId="25067"/>
    <cellStyle name="Процентный 10 51 4 2" xfId="57110"/>
    <cellStyle name="Процентный 10 51 5" xfId="35750"/>
    <cellStyle name="Процентный 10 52" xfId="3737"/>
    <cellStyle name="Процентный 10 52 2" xfId="9078"/>
    <cellStyle name="Процентный 10 52 2 2" xfId="19758"/>
    <cellStyle name="Процентный 10 52 2 2 2" xfId="51802"/>
    <cellStyle name="Процентный 10 52 2 3" xfId="30439"/>
    <cellStyle name="Процентный 10 52 2 3 2" xfId="62482"/>
    <cellStyle name="Процентный 10 52 2 4" xfId="41122"/>
    <cellStyle name="Процентный 10 52 3" xfId="14418"/>
    <cellStyle name="Процентный 10 52 3 2" xfId="46462"/>
    <cellStyle name="Процентный 10 52 4" xfId="25099"/>
    <cellStyle name="Процентный 10 52 4 2" xfId="57142"/>
    <cellStyle name="Процентный 10 52 5" xfId="35782"/>
    <cellStyle name="Процентный 10 53" xfId="3769"/>
    <cellStyle name="Процентный 10 53 2" xfId="9110"/>
    <cellStyle name="Процентный 10 53 2 2" xfId="19790"/>
    <cellStyle name="Процентный 10 53 2 2 2" xfId="51834"/>
    <cellStyle name="Процентный 10 53 2 3" xfId="30471"/>
    <cellStyle name="Процентный 10 53 2 3 2" xfId="62514"/>
    <cellStyle name="Процентный 10 53 2 4" xfId="41154"/>
    <cellStyle name="Процентный 10 53 3" xfId="14450"/>
    <cellStyle name="Процентный 10 53 3 2" xfId="46494"/>
    <cellStyle name="Процентный 10 53 4" xfId="25131"/>
    <cellStyle name="Процентный 10 53 4 2" xfId="57174"/>
    <cellStyle name="Процентный 10 53 5" xfId="35814"/>
    <cellStyle name="Процентный 10 54" xfId="3801"/>
    <cellStyle name="Процентный 10 54 2" xfId="9142"/>
    <cellStyle name="Процентный 10 54 2 2" xfId="19822"/>
    <cellStyle name="Процентный 10 54 2 2 2" xfId="51866"/>
    <cellStyle name="Процентный 10 54 2 3" xfId="30503"/>
    <cellStyle name="Процентный 10 54 2 3 2" xfId="62546"/>
    <cellStyle name="Процентный 10 54 2 4" xfId="41186"/>
    <cellStyle name="Процентный 10 54 3" xfId="14482"/>
    <cellStyle name="Процентный 10 54 3 2" xfId="46526"/>
    <cellStyle name="Процентный 10 54 4" xfId="25163"/>
    <cellStyle name="Процентный 10 54 4 2" xfId="57206"/>
    <cellStyle name="Процентный 10 54 5" xfId="35846"/>
    <cellStyle name="Процентный 10 55" xfId="3833"/>
    <cellStyle name="Процентный 10 55 2" xfId="9174"/>
    <cellStyle name="Процентный 10 55 2 2" xfId="19854"/>
    <cellStyle name="Процентный 10 55 2 2 2" xfId="51898"/>
    <cellStyle name="Процентный 10 55 2 3" xfId="30535"/>
    <cellStyle name="Процентный 10 55 2 3 2" xfId="62578"/>
    <cellStyle name="Процентный 10 55 2 4" xfId="41218"/>
    <cellStyle name="Процентный 10 55 3" xfId="14514"/>
    <cellStyle name="Процентный 10 55 3 2" xfId="46558"/>
    <cellStyle name="Процентный 10 55 4" xfId="25195"/>
    <cellStyle name="Процентный 10 55 4 2" xfId="57238"/>
    <cellStyle name="Процентный 10 55 5" xfId="35878"/>
    <cellStyle name="Процентный 10 56" xfId="3865"/>
    <cellStyle name="Процентный 10 56 2" xfId="9206"/>
    <cellStyle name="Процентный 10 56 2 2" xfId="19886"/>
    <cellStyle name="Процентный 10 56 2 2 2" xfId="51930"/>
    <cellStyle name="Процентный 10 56 2 3" xfId="30567"/>
    <cellStyle name="Процентный 10 56 2 3 2" xfId="62610"/>
    <cellStyle name="Процентный 10 56 2 4" xfId="41250"/>
    <cellStyle name="Процентный 10 56 3" xfId="14546"/>
    <cellStyle name="Процентный 10 56 3 2" xfId="46590"/>
    <cellStyle name="Процентный 10 56 4" xfId="25227"/>
    <cellStyle name="Процентный 10 56 4 2" xfId="57270"/>
    <cellStyle name="Процентный 10 56 5" xfId="35910"/>
    <cellStyle name="Процентный 10 57" xfId="3897"/>
    <cellStyle name="Процентный 10 57 2" xfId="9238"/>
    <cellStyle name="Процентный 10 57 2 2" xfId="19918"/>
    <cellStyle name="Процентный 10 57 2 2 2" xfId="51962"/>
    <cellStyle name="Процентный 10 57 2 3" xfId="30599"/>
    <cellStyle name="Процентный 10 57 2 3 2" xfId="62642"/>
    <cellStyle name="Процентный 10 57 2 4" xfId="41282"/>
    <cellStyle name="Процентный 10 57 3" xfId="14578"/>
    <cellStyle name="Процентный 10 57 3 2" xfId="46622"/>
    <cellStyle name="Процентный 10 57 4" xfId="25259"/>
    <cellStyle name="Процентный 10 57 4 2" xfId="57302"/>
    <cellStyle name="Процентный 10 57 5" xfId="35942"/>
    <cellStyle name="Процентный 10 58" xfId="3929"/>
    <cellStyle name="Процентный 10 58 2" xfId="9270"/>
    <cellStyle name="Процентный 10 58 2 2" xfId="19950"/>
    <cellStyle name="Процентный 10 58 2 2 2" xfId="51994"/>
    <cellStyle name="Процентный 10 58 2 3" xfId="30631"/>
    <cellStyle name="Процентный 10 58 2 3 2" xfId="62674"/>
    <cellStyle name="Процентный 10 58 2 4" xfId="41314"/>
    <cellStyle name="Процентный 10 58 3" xfId="14610"/>
    <cellStyle name="Процентный 10 58 3 2" xfId="46654"/>
    <cellStyle name="Процентный 10 58 4" xfId="25291"/>
    <cellStyle name="Процентный 10 58 4 2" xfId="57334"/>
    <cellStyle name="Процентный 10 58 5" xfId="35974"/>
    <cellStyle name="Процентный 10 59" xfId="3961"/>
    <cellStyle name="Процентный 10 59 2" xfId="9302"/>
    <cellStyle name="Процентный 10 59 2 2" xfId="19982"/>
    <cellStyle name="Процентный 10 59 2 2 2" xfId="52026"/>
    <cellStyle name="Процентный 10 59 2 3" xfId="30663"/>
    <cellStyle name="Процентный 10 59 2 3 2" xfId="62706"/>
    <cellStyle name="Процентный 10 59 2 4" xfId="41346"/>
    <cellStyle name="Процентный 10 59 3" xfId="14642"/>
    <cellStyle name="Процентный 10 59 3 2" xfId="46686"/>
    <cellStyle name="Процентный 10 59 4" xfId="25323"/>
    <cellStyle name="Процентный 10 59 4 2" xfId="57366"/>
    <cellStyle name="Процентный 10 59 5" xfId="36006"/>
    <cellStyle name="Процентный 10 6" xfId="2274"/>
    <cellStyle name="Процентный 10 6 2" xfId="7616"/>
    <cellStyle name="Процентный 10 6 2 2" xfId="18296"/>
    <cellStyle name="Процентный 10 6 2 2 2" xfId="50340"/>
    <cellStyle name="Процентный 10 6 2 3" xfId="28977"/>
    <cellStyle name="Процентный 10 6 2 3 2" xfId="61020"/>
    <cellStyle name="Процентный 10 6 2 4" xfId="39660"/>
    <cellStyle name="Процентный 10 6 3" xfId="12956"/>
    <cellStyle name="Процентный 10 6 3 2" xfId="45000"/>
    <cellStyle name="Процентный 10 6 4" xfId="23637"/>
    <cellStyle name="Процентный 10 6 4 2" xfId="55680"/>
    <cellStyle name="Процентный 10 6 5" xfId="34320"/>
    <cellStyle name="Процентный 10 60" xfId="3993"/>
    <cellStyle name="Процентный 10 60 2" xfId="9334"/>
    <cellStyle name="Процентный 10 60 2 2" xfId="20014"/>
    <cellStyle name="Процентный 10 60 2 2 2" xfId="52058"/>
    <cellStyle name="Процентный 10 60 2 3" xfId="30695"/>
    <cellStyle name="Процентный 10 60 2 3 2" xfId="62738"/>
    <cellStyle name="Процентный 10 60 2 4" xfId="41378"/>
    <cellStyle name="Процентный 10 60 3" xfId="14674"/>
    <cellStyle name="Процентный 10 60 3 2" xfId="46718"/>
    <cellStyle name="Процентный 10 60 4" xfId="25355"/>
    <cellStyle name="Процентный 10 60 4 2" xfId="57398"/>
    <cellStyle name="Процентный 10 60 5" xfId="36038"/>
    <cellStyle name="Процентный 10 61" xfId="4025"/>
    <cellStyle name="Процентный 10 61 2" xfId="9366"/>
    <cellStyle name="Процентный 10 61 2 2" xfId="20046"/>
    <cellStyle name="Процентный 10 61 2 2 2" xfId="52090"/>
    <cellStyle name="Процентный 10 61 2 3" xfId="30727"/>
    <cellStyle name="Процентный 10 61 2 3 2" xfId="62770"/>
    <cellStyle name="Процентный 10 61 2 4" xfId="41410"/>
    <cellStyle name="Процентный 10 61 3" xfId="14706"/>
    <cellStyle name="Процентный 10 61 3 2" xfId="46750"/>
    <cellStyle name="Процентный 10 61 4" xfId="25387"/>
    <cellStyle name="Процентный 10 61 4 2" xfId="57430"/>
    <cellStyle name="Процентный 10 61 5" xfId="36070"/>
    <cellStyle name="Процентный 10 62" xfId="4057"/>
    <cellStyle name="Процентный 10 62 2" xfId="9398"/>
    <cellStyle name="Процентный 10 62 2 2" xfId="20078"/>
    <cellStyle name="Процентный 10 62 2 2 2" xfId="52122"/>
    <cellStyle name="Процентный 10 62 2 3" xfId="30759"/>
    <cellStyle name="Процентный 10 62 2 3 2" xfId="62802"/>
    <cellStyle name="Процентный 10 62 2 4" xfId="41442"/>
    <cellStyle name="Процентный 10 62 3" xfId="14738"/>
    <cellStyle name="Процентный 10 62 3 2" xfId="46782"/>
    <cellStyle name="Процентный 10 62 4" xfId="25419"/>
    <cellStyle name="Процентный 10 62 4 2" xfId="57462"/>
    <cellStyle name="Процентный 10 62 5" xfId="36102"/>
    <cellStyle name="Процентный 10 63" xfId="4089"/>
    <cellStyle name="Процентный 10 63 2" xfId="9430"/>
    <cellStyle name="Процентный 10 63 2 2" xfId="20110"/>
    <cellStyle name="Процентный 10 63 2 2 2" xfId="52154"/>
    <cellStyle name="Процентный 10 63 2 3" xfId="30791"/>
    <cellStyle name="Процентный 10 63 2 3 2" xfId="62834"/>
    <cellStyle name="Процентный 10 63 2 4" xfId="41474"/>
    <cellStyle name="Процентный 10 63 3" xfId="14770"/>
    <cellStyle name="Процентный 10 63 3 2" xfId="46814"/>
    <cellStyle name="Процентный 10 63 4" xfId="25451"/>
    <cellStyle name="Процентный 10 63 4 2" xfId="57494"/>
    <cellStyle name="Процентный 10 63 5" xfId="36134"/>
    <cellStyle name="Процентный 10 64" xfId="4121"/>
    <cellStyle name="Процентный 10 64 2" xfId="9462"/>
    <cellStyle name="Процентный 10 64 2 2" xfId="20142"/>
    <cellStyle name="Процентный 10 64 2 2 2" xfId="52186"/>
    <cellStyle name="Процентный 10 64 2 3" xfId="30823"/>
    <cellStyle name="Процентный 10 64 2 3 2" xfId="62866"/>
    <cellStyle name="Процентный 10 64 2 4" xfId="41506"/>
    <cellStyle name="Процентный 10 64 3" xfId="14802"/>
    <cellStyle name="Процентный 10 64 3 2" xfId="46846"/>
    <cellStyle name="Процентный 10 64 4" xfId="25483"/>
    <cellStyle name="Процентный 10 64 4 2" xfId="57526"/>
    <cellStyle name="Процентный 10 64 5" xfId="36166"/>
    <cellStyle name="Процентный 10 65" xfId="4153"/>
    <cellStyle name="Процентный 10 65 2" xfId="9494"/>
    <cellStyle name="Процентный 10 65 2 2" xfId="20174"/>
    <cellStyle name="Процентный 10 65 2 2 2" xfId="52218"/>
    <cellStyle name="Процентный 10 65 2 3" xfId="30855"/>
    <cellStyle name="Процентный 10 65 2 3 2" xfId="62898"/>
    <cellStyle name="Процентный 10 65 2 4" xfId="41538"/>
    <cellStyle name="Процентный 10 65 3" xfId="14834"/>
    <cellStyle name="Процентный 10 65 3 2" xfId="46878"/>
    <cellStyle name="Процентный 10 65 4" xfId="25515"/>
    <cellStyle name="Процентный 10 65 4 2" xfId="57558"/>
    <cellStyle name="Процентный 10 65 5" xfId="36198"/>
    <cellStyle name="Процентный 10 66" xfId="4185"/>
    <cellStyle name="Процентный 10 66 2" xfId="9526"/>
    <cellStyle name="Процентный 10 66 2 2" xfId="20206"/>
    <cellStyle name="Процентный 10 66 2 2 2" xfId="52250"/>
    <cellStyle name="Процентный 10 66 2 3" xfId="30887"/>
    <cellStyle name="Процентный 10 66 2 3 2" xfId="62930"/>
    <cellStyle name="Процентный 10 66 2 4" xfId="41570"/>
    <cellStyle name="Процентный 10 66 3" xfId="14866"/>
    <cellStyle name="Процентный 10 66 3 2" xfId="46910"/>
    <cellStyle name="Процентный 10 66 4" xfId="25547"/>
    <cellStyle name="Процентный 10 66 4 2" xfId="57590"/>
    <cellStyle name="Процентный 10 66 5" xfId="36230"/>
    <cellStyle name="Процентный 10 67" xfId="4217"/>
    <cellStyle name="Процентный 10 67 2" xfId="9558"/>
    <cellStyle name="Процентный 10 67 2 2" xfId="20238"/>
    <cellStyle name="Процентный 10 67 2 2 2" xfId="52282"/>
    <cellStyle name="Процентный 10 67 2 3" xfId="30919"/>
    <cellStyle name="Процентный 10 67 2 3 2" xfId="62962"/>
    <cellStyle name="Процентный 10 67 2 4" xfId="41602"/>
    <cellStyle name="Процентный 10 67 3" xfId="14898"/>
    <cellStyle name="Процентный 10 67 3 2" xfId="46942"/>
    <cellStyle name="Процентный 10 67 4" xfId="25579"/>
    <cellStyle name="Процентный 10 67 4 2" xfId="57622"/>
    <cellStyle name="Процентный 10 67 5" xfId="36262"/>
    <cellStyle name="Процентный 10 68" xfId="4249"/>
    <cellStyle name="Процентный 10 68 2" xfId="9590"/>
    <cellStyle name="Процентный 10 68 2 2" xfId="20270"/>
    <cellStyle name="Процентный 10 68 2 2 2" xfId="52314"/>
    <cellStyle name="Процентный 10 68 2 3" xfId="30951"/>
    <cellStyle name="Процентный 10 68 2 3 2" xfId="62994"/>
    <cellStyle name="Процентный 10 68 2 4" xfId="41634"/>
    <cellStyle name="Процентный 10 68 3" xfId="14930"/>
    <cellStyle name="Процентный 10 68 3 2" xfId="46974"/>
    <cellStyle name="Процентный 10 68 4" xfId="25611"/>
    <cellStyle name="Процентный 10 68 4 2" xfId="57654"/>
    <cellStyle name="Процентный 10 68 5" xfId="36294"/>
    <cellStyle name="Процентный 10 69" xfId="4281"/>
    <cellStyle name="Процентный 10 69 2" xfId="9622"/>
    <cellStyle name="Процентный 10 69 2 2" xfId="20302"/>
    <cellStyle name="Процентный 10 69 2 2 2" xfId="52346"/>
    <cellStyle name="Процентный 10 69 2 3" xfId="30983"/>
    <cellStyle name="Процентный 10 69 2 3 2" xfId="63026"/>
    <cellStyle name="Процентный 10 69 2 4" xfId="41666"/>
    <cellStyle name="Процентный 10 69 3" xfId="14962"/>
    <cellStyle name="Процентный 10 69 3 2" xfId="47006"/>
    <cellStyle name="Процентный 10 69 4" xfId="25643"/>
    <cellStyle name="Процентный 10 69 4 2" xfId="57686"/>
    <cellStyle name="Процентный 10 69 5" xfId="36326"/>
    <cellStyle name="Процентный 10 7" xfId="2304"/>
    <cellStyle name="Процентный 10 7 2" xfId="7646"/>
    <cellStyle name="Процентный 10 7 2 2" xfId="18326"/>
    <cellStyle name="Процентный 10 7 2 2 2" xfId="50370"/>
    <cellStyle name="Процентный 10 7 2 3" xfId="29007"/>
    <cellStyle name="Процентный 10 7 2 3 2" xfId="61050"/>
    <cellStyle name="Процентный 10 7 2 4" xfId="39690"/>
    <cellStyle name="Процентный 10 7 3" xfId="12986"/>
    <cellStyle name="Процентный 10 7 3 2" xfId="45030"/>
    <cellStyle name="Процентный 10 7 4" xfId="23667"/>
    <cellStyle name="Процентный 10 7 4 2" xfId="55710"/>
    <cellStyle name="Процентный 10 7 5" xfId="34350"/>
    <cellStyle name="Процентный 10 70" xfId="4313"/>
    <cellStyle name="Процентный 10 70 2" xfId="9654"/>
    <cellStyle name="Процентный 10 70 2 2" xfId="20334"/>
    <cellStyle name="Процентный 10 70 2 2 2" xfId="52378"/>
    <cellStyle name="Процентный 10 70 2 3" xfId="31015"/>
    <cellStyle name="Процентный 10 70 2 3 2" xfId="63058"/>
    <cellStyle name="Процентный 10 70 2 4" xfId="41698"/>
    <cellStyle name="Процентный 10 70 3" xfId="14994"/>
    <cellStyle name="Процентный 10 70 3 2" xfId="47038"/>
    <cellStyle name="Процентный 10 70 4" xfId="25675"/>
    <cellStyle name="Процентный 10 70 4 2" xfId="57718"/>
    <cellStyle name="Процентный 10 70 5" xfId="36358"/>
    <cellStyle name="Процентный 10 71" xfId="4345"/>
    <cellStyle name="Процентный 10 71 2" xfId="9686"/>
    <cellStyle name="Процентный 10 71 2 2" xfId="20366"/>
    <cellStyle name="Процентный 10 71 2 2 2" xfId="52410"/>
    <cellStyle name="Процентный 10 71 2 3" xfId="31047"/>
    <cellStyle name="Процентный 10 71 2 3 2" xfId="63090"/>
    <cellStyle name="Процентный 10 71 2 4" xfId="41730"/>
    <cellStyle name="Процентный 10 71 3" xfId="15026"/>
    <cellStyle name="Процентный 10 71 3 2" xfId="47070"/>
    <cellStyle name="Процентный 10 71 4" xfId="25707"/>
    <cellStyle name="Процентный 10 71 4 2" xfId="57750"/>
    <cellStyle name="Процентный 10 71 5" xfId="36390"/>
    <cellStyle name="Процентный 10 72" xfId="4377"/>
    <cellStyle name="Процентный 10 72 2" xfId="9718"/>
    <cellStyle name="Процентный 10 72 2 2" xfId="20398"/>
    <cellStyle name="Процентный 10 72 2 2 2" xfId="52442"/>
    <cellStyle name="Процентный 10 72 2 3" xfId="31079"/>
    <cellStyle name="Процентный 10 72 2 3 2" xfId="63122"/>
    <cellStyle name="Процентный 10 72 2 4" xfId="41762"/>
    <cellStyle name="Процентный 10 72 3" xfId="15058"/>
    <cellStyle name="Процентный 10 72 3 2" xfId="47102"/>
    <cellStyle name="Процентный 10 72 4" xfId="25739"/>
    <cellStyle name="Процентный 10 72 4 2" xfId="57782"/>
    <cellStyle name="Процентный 10 72 5" xfId="36422"/>
    <cellStyle name="Процентный 10 73" xfId="4409"/>
    <cellStyle name="Процентный 10 73 2" xfId="9750"/>
    <cellStyle name="Процентный 10 73 2 2" xfId="20430"/>
    <cellStyle name="Процентный 10 73 2 2 2" xfId="52474"/>
    <cellStyle name="Процентный 10 73 2 3" xfId="31111"/>
    <cellStyle name="Процентный 10 73 2 3 2" xfId="63154"/>
    <cellStyle name="Процентный 10 73 2 4" xfId="41794"/>
    <cellStyle name="Процентный 10 73 3" xfId="15090"/>
    <cellStyle name="Процентный 10 73 3 2" xfId="47134"/>
    <cellStyle name="Процентный 10 73 4" xfId="25771"/>
    <cellStyle name="Процентный 10 73 4 2" xfId="57814"/>
    <cellStyle name="Процентный 10 73 5" xfId="36454"/>
    <cellStyle name="Процентный 10 74" xfId="4441"/>
    <cellStyle name="Процентный 10 74 2" xfId="9782"/>
    <cellStyle name="Процентный 10 74 2 2" xfId="20462"/>
    <cellStyle name="Процентный 10 74 2 2 2" xfId="52506"/>
    <cellStyle name="Процентный 10 74 2 3" xfId="31143"/>
    <cellStyle name="Процентный 10 74 2 3 2" xfId="63186"/>
    <cellStyle name="Процентный 10 74 2 4" xfId="41826"/>
    <cellStyle name="Процентный 10 74 3" xfId="15122"/>
    <cellStyle name="Процентный 10 74 3 2" xfId="47166"/>
    <cellStyle name="Процентный 10 74 4" xfId="25803"/>
    <cellStyle name="Процентный 10 74 4 2" xfId="57846"/>
    <cellStyle name="Процентный 10 74 5" xfId="36486"/>
    <cellStyle name="Процентный 10 75" xfId="4473"/>
    <cellStyle name="Процентный 10 75 2" xfId="9814"/>
    <cellStyle name="Процентный 10 75 2 2" xfId="20494"/>
    <cellStyle name="Процентный 10 75 2 2 2" xfId="52538"/>
    <cellStyle name="Процентный 10 75 2 3" xfId="31175"/>
    <cellStyle name="Процентный 10 75 2 3 2" xfId="63218"/>
    <cellStyle name="Процентный 10 75 2 4" xfId="41858"/>
    <cellStyle name="Процентный 10 75 3" xfId="15154"/>
    <cellStyle name="Процентный 10 75 3 2" xfId="47198"/>
    <cellStyle name="Процентный 10 75 4" xfId="25835"/>
    <cellStyle name="Процентный 10 75 4 2" xfId="57878"/>
    <cellStyle name="Процентный 10 75 5" xfId="36518"/>
    <cellStyle name="Процентный 10 76" xfId="4505"/>
    <cellStyle name="Процентный 10 76 2" xfId="9846"/>
    <cellStyle name="Процентный 10 76 2 2" xfId="20526"/>
    <cellStyle name="Процентный 10 76 2 2 2" xfId="52570"/>
    <cellStyle name="Процентный 10 76 2 3" xfId="31207"/>
    <cellStyle name="Процентный 10 76 2 3 2" xfId="63250"/>
    <cellStyle name="Процентный 10 76 2 4" xfId="41890"/>
    <cellStyle name="Процентный 10 76 3" xfId="15186"/>
    <cellStyle name="Процентный 10 76 3 2" xfId="47230"/>
    <cellStyle name="Процентный 10 76 4" xfId="25867"/>
    <cellStyle name="Процентный 10 76 4 2" xfId="57910"/>
    <cellStyle name="Процентный 10 76 5" xfId="36550"/>
    <cellStyle name="Процентный 10 77" xfId="4537"/>
    <cellStyle name="Процентный 10 77 2" xfId="9878"/>
    <cellStyle name="Процентный 10 77 2 2" xfId="20558"/>
    <cellStyle name="Процентный 10 77 2 2 2" xfId="52602"/>
    <cellStyle name="Процентный 10 77 2 3" xfId="31239"/>
    <cellStyle name="Процентный 10 77 2 3 2" xfId="63282"/>
    <cellStyle name="Процентный 10 77 2 4" xfId="41922"/>
    <cellStyle name="Процентный 10 77 3" xfId="15218"/>
    <cellStyle name="Процентный 10 77 3 2" xfId="47262"/>
    <cellStyle name="Процентный 10 77 4" xfId="25899"/>
    <cellStyle name="Процентный 10 77 4 2" xfId="57942"/>
    <cellStyle name="Процентный 10 77 5" xfId="36582"/>
    <cellStyle name="Процентный 10 78" xfId="4569"/>
    <cellStyle name="Процентный 10 78 2" xfId="9910"/>
    <cellStyle name="Процентный 10 78 2 2" xfId="20590"/>
    <cellStyle name="Процентный 10 78 2 2 2" xfId="52634"/>
    <cellStyle name="Процентный 10 78 2 3" xfId="31271"/>
    <cellStyle name="Процентный 10 78 2 3 2" xfId="63314"/>
    <cellStyle name="Процентный 10 78 2 4" xfId="41954"/>
    <cellStyle name="Процентный 10 78 3" xfId="15250"/>
    <cellStyle name="Процентный 10 78 3 2" xfId="47294"/>
    <cellStyle name="Процентный 10 78 4" xfId="25931"/>
    <cellStyle name="Процентный 10 78 4 2" xfId="57974"/>
    <cellStyle name="Процентный 10 78 5" xfId="36614"/>
    <cellStyle name="Процентный 10 79" xfId="4601"/>
    <cellStyle name="Процентный 10 79 2" xfId="9942"/>
    <cellStyle name="Процентный 10 79 2 2" xfId="20622"/>
    <cellStyle name="Процентный 10 79 2 2 2" xfId="52666"/>
    <cellStyle name="Процентный 10 79 2 3" xfId="31303"/>
    <cellStyle name="Процентный 10 79 2 3 2" xfId="63346"/>
    <cellStyle name="Процентный 10 79 2 4" xfId="41986"/>
    <cellStyle name="Процентный 10 79 3" xfId="15282"/>
    <cellStyle name="Процентный 10 79 3 2" xfId="47326"/>
    <cellStyle name="Процентный 10 79 4" xfId="25963"/>
    <cellStyle name="Процентный 10 79 4 2" xfId="58006"/>
    <cellStyle name="Процентный 10 79 5" xfId="36646"/>
    <cellStyle name="Процентный 10 8" xfId="2334"/>
    <cellStyle name="Процентный 10 8 2" xfId="7676"/>
    <cellStyle name="Процентный 10 8 2 2" xfId="18356"/>
    <cellStyle name="Процентный 10 8 2 2 2" xfId="50400"/>
    <cellStyle name="Процентный 10 8 2 3" xfId="29037"/>
    <cellStyle name="Процентный 10 8 2 3 2" xfId="61080"/>
    <cellStyle name="Процентный 10 8 2 4" xfId="39720"/>
    <cellStyle name="Процентный 10 8 3" xfId="13016"/>
    <cellStyle name="Процентный 10 8 3 2" xfId="45060"/>
    <cellStyle name="Процентный 10 8 4" xfId="23697"/>
    <cellStyle name="Процентный 10 8 4 2" xfId="55740"/>
    <cellStyle name="Процентный 10 8 5" xfId="34380"/>
    <cellStyle name="Процентный 10 80" xfId="4633"/>
    <cellStyle name="Процентный 10 80 2" xfId="9974"/>
    <cellStyle name="Процентный 10 80 2 2" xfId="20654"/>
    <cellStyle name="Процентный 10 80 2 2 2" xfId="52698"/>
    <cellStyle name="Процентный 10 80 2 3" xfId="31335"/>
    <cellStyle name="Процентный 10 80 2 3 2" xfId="63378"/>
    <cellStyle name="Процентный 10 80 2 4" xfId="42018"/>
    <cellStyle name="Процентный 10 80 3" xfId="15314"/>
    <cellStyle name="Процентный 10 80 3 2" xfId="47358"/>
    <cellStyle name="Процентный 10 80 4" xfId="25995"/>
    <cellStyle name="Процентный 10 80 4 2" xfId="58038"/>
    <cellStyle name="Процентный 10 80 5" xfId="36678"/>
    <cellStyle name="Процентный 10 81" xfId="4665"/>
    <cellStyle name="Процентный 10 81 2" xfId="10006"/>
    <cellStyle name="Процентный 10 81 2 2" xfId="20686"/>
    <cellStyle name="Процентный 10 81 2 2 2" xfId="52730"/>
    <cellStyle name="Процентный 10 81 2 3" xfId="31367"/>
    <cellStyle name="Процентный 10 81 2 3 2" xfId="63410"/>
    <cellStyle name="Процентный 10 81 2 4" xfId="42050"/>
    <cellStyle name="Процентный 10 81 3" xfId="15346"/>
    <cellStyle name="Процентный 10 81 3 2" xfId="47390"/>
    <cellStyle name="Процентный 10 81 4" xfId="26027"/>
    <cellStyle name="Процентный 10 81 4 2" xfId="58070"/>
    <cellStyle name="Процентный 10 81 5" xfId="36710"/>
    <cellStyle name="Процентный 10 82" xfId="4697"/>
    <cellStyle name="Процентный 10 82 2" xfId="10038"/>
    <cellStyle name="Процентный 10 82 2 2" xfId="20718"/>
    <cellStyle name="Процентный 10 82 2 2 2" xfId="52762"/>
    <cellStyle name="Процентный 10 82 2 3" xfId="31399"/>
    <cellStyle name="Процентный 10 82 2 3 2" xfId="63442"/>
    <cellStyle name="Процентный 10 82 2 4" xfId="42082"/>
    <cellStyle name="Процентный 10 82 3" xfId="15378"/>
    <cellStyle name="Процентный 10 82 3 2" xfId="47422"/>
    <cellStyle name="Процентный 10 82 4" xfId="26059"/>
    <cellStyle name="Процентный 10 82 4 2" xfId="58102"/>
    <cellStyle name="Процентный 10 82 5" xfId="36742"/>
    <cellStyle name="Процентный 10 83" xfId="4731"/>
    <cellStyle name="Процентный 10 83 2" xfId="10072"/>
    <cellStyle name="Процентный 10 83 2 2" xfId="20752"/>
    <cellStyle name="Процентный 10 83 2 2 2" xfId="52796"/>
    <cellStyle name="Процентный 10 83 2 3" xfId="31433"/>
    <cellStyle name="Процентный 10 83 2 3 2" xfId="63476"/>
    <cellStyle name="Процентный 10 83 2 4" xfId="42116"/>
    <cellStyle name="Процентный 10 83 3" xfId="15412"/>
    <cellStyle name="Процентный 10 83 3 2" xfId="47456"/>
    <cellStyle name="Процентный 10 83 4" xfId="26093"/>
    <cellStyle name="Процентный 10 83 4 2" xfId="58136"/>
    <cellStyle name="Процентный 10 83 5" xfId="36776"/>
    <cellStyle name="Процентный 10 84" xfId="4763"/>
    <cellStyle name="Процентный 10 84 2" xfId="10104"/>
    <cellStyle name="Процентный 10 84 2 2" xfId="20784"/>
    <cellStyle name="Процентный 10 84 2 2 2" xfId="52828"/>
    <cellStyle name="Процентный 10 84 2 3" xfId="31465"/>
    <cellStyle name="Процентный 10 84 2 3 2" xfId="63508"/>
    <cellStyle name="Процентный 10 84 2 4" xfId="42148"/>
    <cellStyle name="Процентный 10 84 3" xfId="15444"/>
    <cellStyle name="Процентный 10 84 3 2" xfId="47488"/>
    <cellStyle name="Процентный 10 84 4" xfId="26125"/>
    <cellStyle name="Процентный 10 84 4 2" xfId="58168"/>
    <cellStyle name="Процентный 10 84 5" xfId="36808"/>
    <cellStyle name="Процентный 10 85" xfId="4795"/>
    <cellStyle name="Процентный 10 85 2" xfId="10136"/>
    <cellStyle name="Процентный 10 85 2 2" xfId="20816"/>
    <cellStyle name="Процентный 10 85 2 2 2" xfId="52860"/>
    <cellStyle name="Процентный 10 85 2 3" xfId="31497"/>
    <cellStyle name="Процентный 10 85 2 3 2" xfId="63540"/>
    <cellStyle name="Процентный 10 85 2 4" xfId="42180"/>
    <cellStyle name="Процентный 10 85 3" xfId="15476"/>
    <cellStyle name="Процентный 10 85 3 2" xfId="47520"/>
    <cellStyle name="Процентный 10 85 4" xfId="26157"/>
    <cellStyle name="Процентный 10 85 4 2" xfId="58200"/>
    <cellStyle name="Процентный 10 85 5" xfId="36840"/>
    <cellStyle name="Процентный 10 86" xfId="4827"/>
    <cellStyle name="Процентный 10 86 2" xfId="10168"/>
    <cellStyle name="Процентный 10 86 2 2" xfId="20848"/>
    <cellStyle name="Процентный 10 86 2 2 2" xfId="52892"/>
    <cellStyle name="Процентный 10 86 2 3" xfId="31529"/>
    <cellStyle name="Процентный 10 86 2 3 2" xfId="63572"/>
    <cellStyle name="Процентный 10 86 2 4" xfId="42212"/>
    <cellStyle name="Процентный 10 86 3" xfId="15508"/>
    <cellStyle name="Процентный 10 86 3 2" xfId="47552"/>
    <cellStyle name="Процентный 10 86 4" xfId="26189"/>
    <cellStyle name="Процентный 10 86 4 2" xfId="58232"/>
    <cellStyle name="Процентный 10 86 5" xfId="36872"/>
    <cellStyle name="Процентный 10 87" xfId="4859"/>
    <cellStyle name="Процентный 10 87 2" xfId="10200"/>
    <cellStyle name="Процентный 10 87 2 2" xfId="20880"/>
    <cellStyle name="Процентный 10 87 2 2 2" xfId="52924"/>
    <cellStyle name="Процентный 10 87 2 3" xfId="31561"/>
    <cellStyle name="Процентный 10 87 2 3 2" xfId="63604"/>
    <cellStyle name="Процентный 10 87 2 4" xfId="42244"/>
    <cellStyle name="Процентный 10 87 3" xfId="15540"/>
    <cellStyle name="Процентный 10 87 3 2" xfId="47584"/>
    <cellStyle name="Процентный 10 87 4" xfId="26221"/>
    <cellStyle name="Процентный 10 87 4 2" xfId="58264"/>
    <cellStyle name="Процентный 10 87 5" xfId="36904"/>
    <cellStyle name="Процентный 10 88" xfId="4891"/>
    <cellStyle name="Процентный 10 88 2" xfId="10232"/>
    <cellStyle name="Процентный 10 88 2 2" xfId="20912"/>
    <cellStyle name="Процентный 10 88 2 2 2" xfId="52956"/>
    <cellStyle name="Процентный 10 88 2 3" xfId="31593"/>
    <cellStyle name="Процентный 10 88 2 3 2" xfId="63636"/>
    <cellStyle name="Процентный 10 88 2 4" xfId="42276"/>
    <cellStyle name="Процентный 10 88 3" xfId="15572"/>
    <cellStyle name="Процентный 10 88 3 2" xfId="47616"/>
    <cellStyle name="Процентный 10 88 4" xfId="26253"/>
    <cellStyle name="Процентный 10 88 4 2" xfId="58296"/>
    <cellStyle name="Процентный 10 88 5" xfId="36936"/>
    <cellStyle name="Процентный 10 89" xfId="4923"/>
    <cellStyle name="Процентный 10 89 2" xfId="10264"/>
    <cellStyle name="Процентный 10 89 2 2" xfId="20944"/>
    <cellStyle name="Процентный 10 89 2 2 2" xfId="52988"/>
    <cellStyle name="Процентный 10 89 2 3" xfId="31625"/>
    <cellStyle name="Процентный 10 89 2 3 2" xfId="63668"/>
    <cellStyle name="Процентный 10 89 2 4" xfId="42308"/>
    <cellStyle name="Процентный 10 89 3" xfId="15604"/>
    <cellStyle name="Процентный 10 89 3 2" xfId="47648"/>
    <cellStyle name="Процентный 10 89 4" xfId="26285"/>
    <cellStyle name="Процентный 10 89 4 2" xfId="58328"/>
    <cellStyle name="Процентный 10 89 5" xfId="36968"/>
    <cellStyle name="Процентный 10 9" xfId="2364"/>
    <cellStyle name="Процентный 10 9 2" xfId="7706"/>
    <cellStyle name="Процентный 10 9 2 2" xfId="18386"/>
    <cellStyle name="Процентный 10 9 2 2 2" xfId="50430"/>
    <cellStyle name="Процентный 10 9 2 3" xfId="29067"/>
    <cellStyle name="Процентный 10 9 2 3 2" xfId="61110"/>
    <cellStyle name="Процентный 10 9 2 4" xfId="39750"/>
    <cellStyle name="Процентный 10 9 3" xfId="13046"/>
    <cellStyle name="Процентный 10 9 3 2" xfId="45090"/>
    <cellStyle name="Процентный 10 9 4" xfId="23727"/>
    <cellStyle name="Процентный 10 9 4 2" xfId="55770"/>
    <cellStyle name="Процентный 10 9 5" xfId="34410"/>
    <cellStyle name="Процентный 10 90" xfId="4955"/>
    <cellStyle name="Процентный 10 90 2" xfId="10296"/>
    <cellStyle name="Процентный 10 90 2 2" xfId="20976"/>
    <cellStyle name="Процентный 10 90 2 2 2" xfId="53020"/>
    <cellStyle name="Процентный 10 90 2 3" xfId="31657"/>
    <cellStyle name="Процентный 10 90 2 3 2" xfId="63700"/>
    <cellStyle name="Процентный 10 90 2 4" xfId="42340"/>
    <cellStyle name="Процентный 10 90 3" xfId="15636"/>
    <cellStyle name="Процентный 10 90 3 2" xfId="47680"/>
    <cellStyle name="Процентный 10 90 4" xfId="26317"/>
    <cellStyle name="Процентный 10 90 4 2" xfId="58360"/>
    <cellStyle name="Процентный 10 90 5" xfId="37000"/>
    <cellStyle name="Процентный 10 91" xfId="4987"/>
    <cellStyle name="Процентный 10 91 2" xfId="10328"/>
    <cellStyle name="Процентный 10 91 2 2" xfId="21008"/>
    <cellStyle name="Процентный 10 91 2 2 2" xfId="53052"/>
    <cellStyle name="Процентный 10 91 2 3" xfId="31689"/>
    <cellStyle name="Процентный 10 91 2 3 2" xfId="63732"/>
    <cellStyle name="Процентный 10 91 2 4" xfId="42372"/>
    <cellStyle name="Процентный 10 91 3" xfId="15668"/>
    <cellStyle name="Процентный 10 91 3 2" xfId="47712"/>
    <cellStyle name="Процентный 10 91 4" xfId="26349"/>
    <cellStyle name="Процентный 10 91 4 2" xfId="58392"/>
    <cellStyle name="Процентный 10 91 5" xfId="37032"/>
    <cellStyle name="Процентный 10 92" xfId="5019"/>
    <cellStyle name="Процентный 10 92 2" xfId="10360"/>
    <cellStyle name="Процентный 10 92 2 2" xfId="21040"/>
    <cellStyle name="Процентный 10 92 2 2 2" xfId="53084"/>
    <cellStyle name="Процентный 10 92 2 3" xfId="31721"/>
    <cellStyle name="Процентный 10 92 2 3 2" xfId="63764"/>
    <cellStyle name="Процентный 10 92 2 4" xfId="42404"/>
    <cellStyle name="Процентный 10 92 3" xfId="15700"/>
    <cellStyle name="Процентный 10 92 3 2" xfId="47744"/>
    <cellStyle name="Процентный 10 92 4" xfId="26381"/>
    <cellStyle name="Процентный 10 92 4 2" xfId="58424"/>
    <cellStyle name="Процентный 10 92 5" xfId="37064"/>
    <cellStyle name="Процентный 10 93" xfId="5051"/>
    <cellStyle name="Процентный 10 93 2" xfId="10392"/>
    <cellStyle name="Процентный 10 93 2 2" xfId="21072"/>
    <cellStyle name="Процентный 10 93 2 2 2" xfId="53116"/>
    <cellStyle name="Процентный 10 93 2 3" xfId="31753"/>
    <cellStyle name="Процентный 10 93 2 3 2" xfId="63796"/>
    <cellStyle name="Процентный 10 93 2 4" xfId="42436"/>
    <cellStyle name="Процентный 10 93 3" xfId="15732"/>
    <cellStyle name="Процентный 10 93 3 2" xfId="47776"/>
    <cellStyle name="Процентный 10 93 4" xfId="26413"/>
    <cellStyle name="Процентный 10 93 4 2" xfId="58456"/>
    <cellStyle name="Процентный 10 93 5" xfId="37096"/>
    <cellStyle name="Процентный 10 94" xfId="5083"/>
    <cellStyle name="Процентный 10 94 2" xfId="10424"/>
    <cellStyle name="Процентный 10 94 2 2" xfId="21104"/>
    <cellStyle name="Процентный 10 94 2 2 2" xfId="53148"/>
    <cellStyle name="Процентный 10 94 2 3" xfId="31785"/>
    <cellStyle name="Процентный 10 94 2 3 2" xfId="63828"/>
    <cellStyle name="Процентный 10 94 2 4" xfId="42468"/>
    <cellStyle name="Процентный 10 94 3" xfId="15764"/>
    <cellStyle name="Процентный 10 94 3 2" xfId="47808"/>
    <cellStyle name="Процентный 10 94 4" xfId="26445"/>
    <cellStyle name="Процентный 10 94 4 2" xfId="58488"/>
    <cellStyle name="Процентный 10 94 5" xfId="37128"/>
    <cellStyle name="Процентный 10 95" xfId="5115"/>
    <cellStyle name="Процентный 10 95 2" xfId="10456"/>
    <cellStyle name="Процентный 10 95 2 2" xfId="21136"/>
    <cellStyle name="Процентный 10 95 2 2 2" xfId="53180"/>
    <cellStyle name="Процентный 10 95 2 3" xfId="31817"/>
    <cellStyle name="Процентный 10 95 2 3 2" xfId="63860"/>
    <cellStyle name="Процентный 10 95 2 4" xfId="42500"/>
    <cellStyle name="Процентный 10 95 3" xfId="15796"/>
    <cellStyle name="Процентный 10 95 3 2" xfId="47840"/>
    <cellStyle name="Процентный 10 95 4" xfId="26477"/>
    <cellStyle name="Процентный 10 95 4 2" xfId="58520"/>
    <cellStyle name="Процентный 10 95 5" xfId="37160"/>
    <cellStyle name="Процентный 10 96" xfId="5147"/>
    <cellStyle name="Процентный 10 96 2" xfId="10488"/>
    <cellStyle name="Процентный 10 96 2 2" xfId="21168"/>
    <cellStyle name="Процентный 10 96 2 2 2" xfId="53212"/>
    <cellStyle name="Процентный 10 96 2 3" xfId="31849"/>
    <cellStyle name="Процентный 10 96 2 3 2" xfId="63892"/>
    <cellStyle name="Процентный 10 96 2 4" xfId="42532"/>
    <cellStyle name="Процентный 10 96 3" xfId="15828"/>
    <cellStyle name="Процентный 10 96 3 2" xfId="47872"/>
    <cellStyle name="Процентный 10 96 4" xfId="26509"/>
    <cellStyle name="Процентный 10 96 4 2" xfId="58552"/>
    <cellStyle name="Процентный 10 96 5" xfId="37192"/>
    <cellStyle name="Процентный 10 97" xfId="5179"/>
    <cellStyle name="Процентный 10 97 2" xfId="10520"/>
    <cellStyle name="Процентный 10 97 2 2" xfId="21200"/>
    <cellStyle name="Процентный 10 97 2 2 2" xfId="53244"/>
    <cellStyle name="Процентный 10 97 2 3" xfId="31881"/>
    <cellStyle name="Процентный 10 97 2 3 2" xfId="63924"/>
    <cellStyle name="Процентный 10 97 2 4" xfId="42564"/>
    <cellStyle name="Процентный 10 97 3" xfId="15860"/>
    <cellStyle name="Процентный 10 97 3 2" xfId="47904"/>
    <cellStyle name="Процентный 10 97 4" xfId="26541"/>
    <cellStyle name="Процентный 10 97 4 2" xfId="58584"/>
    <cellStyle name="Процентный 10 97 5" xfId="37224"/>
    <cellStyle name="Процентный 10 98" xfId="5211"/>
    <cellStyle name="Процентный 10 98 2" xfId="10552"/>
    <cellStyle name="Процентный 10 98 2 2" xfId="21232"/>
    <cellStyle name="Процентный 10 98 2 2 2" xfId="53276"/>
    <cellStyle name="Процентный 10 98 2 3" xfId="31913"/>
    <cellStyle name="Процентный 10 98 2 3 2" xfId="63956"/>
    <cellStyle name="Процентный 10 98 2 4" xfId="42596"/>
    <cellStyle name="Процентный 10 98 3" xfId="15892"/>
    <cellStyle name="Процентный 10 98 3 2" xfId="47936"/>
    <cellStyle name="Процентный 10 98 4" xfId="26573"/>
    <cellStyle name="Процентный 10 98 4 2" xfId="58616"/>
    <cellStyle name="Процентный 10 98 5" xfId="37256"/>
    <cellStyle name="Процентный 10 99" xfId="5243"/>
    <cellStyle name="Процентный 10 99 2" xfId="10584"/>
    <cellStyle name="Процентный 10 99 2 2" xfId="21264"/>
    <cellStyle name="Процентный 10 99 2 2 2" xfId="53308"/>
    <cellStyle name="Процентный 10 99 2 3" xfId="31945"/>
    <cellStyle name="Процентный 10 99 2 3 2" xfId="63988"/>
    <cellStyle name="Процентный 10 99 2 4" xfId="42628"/>
    <cellStyle name="Процентный 10 99 3" xfId="15924"/>
    <cellStyle name="Процентный 10 99 3 2" xfId="47968"/>
    <cellStyle name="Процентный 10 99 4" xfId="26605"/>
    <cellStyle name="Процентный 10 99 4 2" xfId="58648"/>
    <cellStyle name="Процентный 10 99 5" xfId="37288"/>
    <cellStyle name="Процентный 11" xfId="2486"/>
    <cellStyle name="Процентный 11 10" xfId="2778"/>
    <cellStyle name="Процентный 11 10 2" xfId="8120"/>
    <cellStyle name="Процентный 11 10 2 2" xfId="18800"/>
    <cellStyle name="Процентный 11 10 2 2 2" xfId="50844"/>
    <cellStyle name="Процентный 11 10 2 3" xfId="29481"/>
    <cellStyle name="Процентный 11 10 2 3 2" xfId="61524"/>
    <cellStyle name="Процентный 11 10 2 4" xfId="40164"/>
    <cellStyle name="Процентный 11 10 3" xfId="13460"/>
    <cellStyle name="Процентный 11 10 3 2" xfId="45504"/>
    <cellStyle name="Процентный 11 10 4" xfId="24141"/>
    <cellStyle name="Процентный 11 10 4 2" xfId="56184"/>
    <cellStyle name="Процентный 11 10 5" xfId="34824"/>
    <cellStyle name="Процентный 11 11" xfId="2810"/>
    <cellStyle name="Процентный 11 11 2" xfId="8152"/>
    <cellStyle name="Процентный 11 11 2 2" xfId="18832"/>
    <cellStyle name="Процентный 11 11 2 2 2" xfId="50876"/>
    <cellStyle name="Процентный 11 11 2 3" xfId="29513"/>
    <cellStyle name="Процентный 11 11 2 3 2" xfId="61556"/>
    <cellStyle name="Процентный 11 11 2 4" xfId="40196"/>
    <cellStyle name="Процентный 11 11 3" xfId="13492"/>
    <cellStyle name="Процентный 11 11 3 2" xfId="45536"/>
    <cellStyle name="Процентный 11 11 4" xfId="24173"/>
    <cellStyle name="Процентный 11 11 4 2" xfId="56216"/>
    <cellStyle name="Процентный 11 11 5" xfId="34856"/>
    <cellStyle name="Процентный 11 12" xfId="2842"/>
    <cellStyle name="Процентный 11 12 2" xfId="8184"/>
    <cellStyle name="Процентный 11 12 2 2" xfId="18864"/>
    <cellStyle name="Процентный 11 12 2 2 2" xfId="50908"/>
    <cellStyle name="Процентный 11 12 2 3" xfId="29545"/>
    <cellStyle name="Процентный 11 12 2 3 2" xfId="61588"/>
    <cellStyle name="Процентный 11 12 2 4" xfId="40228"/>
    <cellStyle name="Процентный 11 12 3" xfId="13524"/>
    <cellStyle name="Процентный 11 12 3 2" xfId="45568"/>
    <cellStyle name="Процентный 11 12 4" xfId="24205"/>
    <cellStyle name="Процентный 11 12 4 2" xfId="56248"/>
    <cellStyle name="Процентный 11 12 5" xfId="34888"/>
    <cellStyle name="Процентный 11 13" xfId="2874"/>
    <cellStyle name="Процентный 11 13 2" xfId="8216"/>
    <cellStyle name="Процентный 11 13 2 2" xfId="18896"/>
    <cellStyle name="Процентный 11 13 2 2 2" xfId="50940"/>
    <cellStyle name="Процентный 11 13 2 3" xfId="29577"/>
    <cellStyle name="Процентный 11 13 2 3 2" xfId="61620"/>
    <cellStyle name="Процентный 11 13 2 4" xfId="40260"/>
    <cellStyle name="Процентный 11 13 3" xfId="13556"/>
    <cellStyle name="Процентный 11 13 3 2" xfId="45600"/>
    <cellStyle name="Процентный 11 13 4" xfId="24237"/>
    <cellStyle name="Процентный 11 13 4 2" xfId="56280"/>
    <cellStyle name="Процентный 11 13 5" xfId="34920"/>
    <cellStyle name="Процентный 11 14" xfId="2906"/>
    <cellStyle name="Процентный 11 14 2" xfId="8248"/>
    <cellStyle name="Процентный 11 14 2 2" xfId="18928"/>
    <cellStyle name="Процентный 11 14 2 2 2" xfId="50972"/>
    <cellStyle name="Процентный 11 14 2 3" xfId="29609"/>
    <cellStyle name="Процентный 11 14 2 3 2" xfId="61652"/>
    <cellStyle name="Процентный 11 14 2 4" xfId="40292"/>
    <cellStyle name="Процентный 11 14 3" xfId="13588"/>
    <cellStyle name="Процентный 11 14 3 2" xfId="45632"/>
    <cellStyle name="Процентный 11 14 4" xfId="24269"/>
    <cellStyle name="Процентный 11 14 4 2" xfId="56312"/>
    <cellStyle name="Процентный 11 14 5" xfId="34952"/>
    <cellStyle name="Процентный 11 15" xfId="2938"/>
    <cellStyle name="Процентный 11 15 2" xfId="8280"/>
    <cellStyle name="Процентный 11 15 2 2" xfId="18960"/>
    <cellStyle name="Процентный 11 15 2 2 2" xfId="51004"/>
    <cellStyle name="Процентный 11 15 2 3" xfId="29641"/>
    <cellStyle name="Процентный 11 15 2 3 2" xfId="61684"/>
    <cellStyle name="Процентный 11 15 2 4" xfId="40324"/>
    <cellStyle name="Процентный 11 15 3" xfId="13620"/>
    <cellStyle name="Процентный 11 15 3 2" xfId="45664"/>
    <cellStyle name="Процентный 11 15 4" xfId="24301"/>
    <cellStyle name="Процентный 11 15 4 2" xfId="56344"/>
    <cellStyle name="Процентный 11 15 5" xfId="34984"/>
    <cellStyle name="Процентный 11 16" xfId="2970"/>
    <cellStyle name="Процентный 11 16 2" xfId="8312"/>
    <cellStyle name="Процентный 11 16 2 2" xfId="18992"/>
    <cellStyle name="Процентный 11 16 2 2 2" xfId="51036"/>
    <cellStyle name="Процентный 11 16 2 3" xfId="29673"/>
    <cellStyle name="Процентный 11 16 2 3 2" xfId="61716"/>
    <cellStyle name="Процентный 11 16 2 4" xfId="40356"/>
    <cellStyle name="Процентный 11 16 3" xfId="13652"/>
    <cellStyle name="Процентный 11 16 3 2" xfId="45696"/>
    <cellStyle name="Процентный 11 16 4" xfId="24333"/>
    <cellStyle name="Процентный 11 16 4 2" xfId="56376"/>
    <cellStyle name="Процентный 11 16 5" xfId="35016"/>
    <cellStyle name="Процентный 11 17" xfId="3002"/>
    <cellStyle name="Процентный 11 17 2" xfId="8344"/>
    <cellStyle name="Процентный 11 17 2 2" xfId="19024"/>
    <cellStyle name="Процентный 11 17 2 2 2" xfId="51068"/>
    <cellStyle name="Процентный 11 17 2 3" xfId="29705"/>
    <cellStyle name="Процентный 11 17 2 3 2" xfId="61748"/>
    <cellStyle name="Процентный 11 17 2 4" xfId="40388"/>
    <cellStyle name="Процентный 11 17 3" xfId="13684"/>
    <cellStyle name="Процентный 11 17 3 2" xfId="45728"/>
    <cellStyle name="Процентный 11 17 4" xfId="24365"/>
    <cellStyle name="Процентный 11 17 4 2" xfId="56408"/>
    <cellStyle name="Процентный 11 17 5" xfId="35048"/>
    <cellStyle name="Процентный 11 18" xfId="3034"/>
    <cellStyle name="Процентный 11 18 2" xfId="8376"/>
    <cellStyle name="Процентный 11 18 2 2" xfId="19056"/>
    <cellStyle name="Процентный 11 18 2 2 2" xfId="51100"/>
    <cellStyle name="Процентный 11 18 2 3" xfId="29737"/>
    <cellStyle name="Процентный 11 18 2 3 2" xfId="61780"/>
    <cellStyle name="Процентный 11 18 2 4" xfId="40420"/>
    <cellStyle name="Процентный 11 18 3" xfId="13716"/>
    <cellStyle name="Процентный 11 18 3 2" xfId="45760"/>
    <cellStyle name="Процентный 11 18 4" xfId="24397"/>
    <cellStyle name="Процентный 11 18 4 2" xfId="56440"/>
    <cellStyle name="Процентный 11 18 5" xfId="35080"/>
    <cellStyle name="Процентный 11 19" xfId="3066"/>
    <cellStyle name="Процентный 11 19 2" xfId="8408"/>
    <cellStyle name="Процентный 11 19 2 2" xfId="19088"/>
    <cellStyle name="Процентный 11 19 2 2 2" xfId="51132"/>
    <cellStyle name="Процентный 11 19 2 3" xfId="29769"/>
    <cellStyle name="Процентный 11 19 2 3 2" xfId="61812"/>
    <cellStyle name="Процентный 11 19 2 4" xfId="40452"/>
    <cellStyle name="Процентный 11 19 3" xfId="13748"/>
    <cellStyle name="Процентный 11 19 3 2" xfId="45792"/>
    <cellStyle name="Процентный 11 19 4" xfId="24429"/>
    <cellStyle name="Процентный 11 19 4 2" xfId="56472"/>
    <cellStyle name="Процентный 11 19 5" xfId="35112"/>
    <cellStyle name="Процентный 11 2" xfId="2518"/>
    <cellStyle name="Процентный 11 2 2" xfId="7860"/>
    <cellStyle name="Процентный 11 2 2 2" xfId="18540"/>
    <cellStyle name="Процентный 11 2 2 2 2" xfId="50584"/>
    <cellStyle name="Процентный 11 2 2 3" xfId="29221"/>
    <cellStyle name="Процентный 11 2 2 3 2" xfId="61264"/>
    <cellStyle name="Процентный 11 2 2 4" xfId="39904"/>
    <cellStyle name="Процентный 11 2 3" xfId="13200"/>
    <cellStyle name="Процентный 11 2 3 2" xfId="45244"/>
    <cellStyle name="Процентный 11 2 4" xfId="23881"/>
    <cellStyle name="Процентный 11 2 4 2" xfId="55924"/>
    <cellStyle name="Процентный 11 2 5" xfId="34564"/>
    <cellStyle name="Процентный 11 20" xfId="3098"/>
    <cellStyle name="Процентный 11 20 2" xfId="8440"/>
    <cellStyle name="Процентный 11 20 2 2" xfId="19120"/>
    <cellStyle name="Процентный 11 20 2 2 2" xfId="51164"/>
    <cellStyle name="Процентный 11 20 2 3" xfId="29801"/>
    <cellStyle name="Процентный 11 20 2 3 2" xfId="61844"/>
    <cellStyle name="Процентный 11 20 2 4" xfId="40484"/>
    <cellStyle name="Процентный 11 20 3" xfId="13780"/>
    <cellStyle name="Процентный 11 20 3 2" xfId="45824"/>
    <cellStyle name="Процентный 11 20 4" xfId="24461"/>
    <cellStyle name="Процентный 11 20 4 2" xfId="56504"/>
    <cellStyle name="Процентный 11 20 5" xfId="35144"/>
    <cellStyle name="Процентный 11 21" xfId="3131"/>
    <cellStyle name="Процентный 11 21 2" xfId="8472"/>
    <cellStyle name="Процентный 11 21 2 2" xfId="19152"/>
    <cellStyle name="Процентный 11 21 2 2 2" xfId="51196"/>
    <cellStyle name="Процентный 11 21 2 3" xfId="29833"/>
    <cellStyle name="Процентный 11 21 2 3 2" xfId="61876"/>
    <cellStyle name="Процентный 11 21 2 4" xfId="40516"/>
    <cellStyle name="Процентный 11 21 3" xfId="13812"/>
    <cellStyle name="Процентный 11 21 3 2" xfId="45856"/>
    <cellStyle name="Процентный 11 21 4" xfId="24493"/>
    <cellStyle name="Процентный 11 21 4 2" xfId="56536"/>
    <cellStyle name="Процентный 11 21 5" xfId="35176"/>
    <cellStyle name="Процентный 11 22" xfId="3163"/>
    <cellStyle name="Процентный 11 22 2" xfId="8504"/>
    <cellStyle name="Процентный 11 22 2 2" xfId="19184"/>
    <cellStyle name="Процентный 11 22 2 2 2" xfId="51228"/>
    <cellStyle name="Процентный 11 22 2 3" xfId="29865"/>
    <cellStyle name="Процентный 11 22 2 3 2" xfId="61908"/>
    <cellStyle name="Процентный 11 22 2 4" xfId="40548"/>
    <cellStyle name="Процентный 11 22 3" xfId="13844"/>
    <cellStyle name="Процентный 11 22 3 2" xfId="45888"/>
    <cellStyle name="Процентный 11 22 4" xfId="24525"/>
    <cellStyle name="Процентный 11 22 4 2" xfId="56568"/>
    <cellStyle name="Процентный 11 22 5" xfId="35208"/>
    <cellStyle name="Процентный 11 23" xfId="3195"/>
    <cellStyle name="Процентный 11 23 2" xfId="8536"/>
    <cellStyle name="Процентный 11 23 2 2" xfId="19216"/>
    <cellStyle name="Процентный 11 23 2 2 2" xfId="51260"/>
    <cellStyle name="Процентный 11 23 2 3" xfId="29897"/>
    <cellStyle name="Процентный 11 23 2 3 2" xfId="61940"/>
    <cellStyle name="Процентный 11 23 2 4" xfId="40580"/>
    <cellStyle name="Процентный 11 23 3" xfId="13876"/>
    <cellStyle name="Процентный 11 23 3 2" xfId="45920"/>
    <cellStyle name="Процентный 11 23 4" xfId="24557"/>
    <cellStyle name="Процентный 11 23 4 2" xfId="56600"/>
    <cellStyle name="Процентный 11 23 5" xfId="35240"/>
    <cellStyle name="Процентный 11 24" xfId="3227"/>
    <cellStyle name="Процентный 11 24 2" xfId="8568"/>
    <cellStyle name="Процентный 11 24 2 2" xfId="19248"/>
    <cellStyle name="Процентный 11 24 2 2 2" xfId="51292"/>
    <cellStyle name="Процентный 11 24 2 3" xfId="29929"/>
    <cellStyle name="Процентный 11 24 2 3 2" xfId="61972"/>
    <cellStyle name="Процентный 11 24 2 4" xfId="40612"/>
    <cellStyle name="Процентный 11 24 3" xfId="13908"/>
    <cellStyle name="Процентный 11 24 3 2" xfId="45952"/>
    <cellStyle name="Процентный 11 24 4" xfId="24589"/>
    <cellStyle name="Процентный 11 24 4 2" xfId="56632"/>
    <cellStyle name="Процентный 11 24 5" xfId="35272"/>
    <cellStyle name="Процентный 11 25" xfId="3259"/>
    <cellStyle name="Процентный 11 25 2" xfId="8600"/>
    <cellStyle name="Процентный 11 25 2 2" xfId="19280"/>
    <cellStyle name="Процентный 11 25 2 2 2" xfId="51324"/>
    <cellStyle name="Процентный 11 25 2 3" xfId="29961"/>
    <cellStyle name="Процентный 11 25 2 3 2" xfId="62004"/>
    <cellStyle name="Процентный 11 25 2 4" xfId="40644"/>
    <cellStyle name="Процентный 11 25 3" xfId="13940"/>
    <cellStyle name="Процентный 11 25 3 2" xfId="45984"/>
    <cellStyle name="Процентный 11 25 4" xfId="24621"/>
    <cellStyle name="Процентный 11 25 4 2" xfId="56664"/>
    <cellStyle name="Процентный 11 25 5" xfId="35304"/>
    <cellStyle name="Процентный 11 26" xfId="3291"/>
    <cellStyle name="Процентный 11 26 2" xfId="8632"/>
    <cellStyle name="Процентный 11 26 2 2" xfId="19312"/>
    <cellStyle name="Процентный 11 26 2 2 2" xfId="51356"/>
    <cellStyle name="Процентный 11 26 2 3" xfId="29993"/>
    <cellStyle name="Процентный 11 26 2 3 2" xfId="62036"/>
    <cellStyle name="Процентный 11 26 2 4" xfId="40676"/>
    <cellStyle name="Процентный 11 26 3" xfId="13972"/>
    <cellStyle name="Процентный 11 26 3 2" xfId="46016"/>
    <cellStyle name="Процентный 11 26 4" xfId="24653"/>
    <cellStyle name="Процентный 11 26 4 2" xfId="56696"/>
    <cellStyle name="Процентный 11 26 5" xfId="35336"/>
    <cellStyle name="Процентный 11 27" xfId="3323"/>
    <cellStyle name="Процентный 11 27 2" xfId="8664"/>
    <cellStyle name="Процентный 11 27 2 2" xfId="19344"/>
    <cellStyle name="Процентный 11 27 2 2 2" xfId="51388"/>
    <cellStyle name="Процентный 11 27 2 3" xfId="30025"/>
    <cellStyle name="Процентный 11 27 2 3 2" xfId="62068"/>
    <cellStyle name="Процентный 11 27 2 4" xfId="40708"/>
    <cellStyle name="Процентный 11 27 3" xfId="14004"/>
    <cellStyle name="Процентный 11 27 3 2" xfId="46048"/>
    <cellStyle name="Процентный 11 27 4" xfId="24685"/>
    <cellStyle name="Процентный 11 27 4 2" xfId="56728"/>
    <cellStyle name="Процентный 11 27 5" xfId="35368"/>
    <cellStyle name="Процентный 11 28" xfId="3355"/>
    <cellStyle name="Процентный 11 28 2" xfId="8696"/>
    <cellStyle name="Процентный 11 28 2 2" xfId="19376"/>
    <cellStyle name="Процентный 11 28 2 2 2" xfId="51420"/>
    <cellStyle name="Процентный 11 28 2 3" xfId="30057"/>
    <cellStyle name="Процентный 11 28 2 3 2" xfId="62100"/>
    <cellStyle name="Процентный 11 28 2 4" xfId="40740"/>
    <cellStyle name="Процентный 11 28 3" xfId="14036"/>
    <cellStyle name="Процентный 11 28 3 2" xfId="46080"/>
    <cellStyle name="Процентный 11 28 4" xfId="24717"/>
    <cellStyle name="Процентный 11 28 4 2" xfId="56760"/>
    <cellStyle name="Процентный 11 28 5" xfId="35400"/>
    <cellStyle name="Процентный 11 29" xfId="3387"/>
    <cellStyle name="Процентный 11 29 2" xfId="8728"/>
    <cellStyle name="Процентный 11 29 2 2" xfId="19408"/>
    <cellStyle name="Процентный 11 29 2 2 2" xfId="51452"/>
    <cellStyle name="Процентный 11 29 2 3" xfId="30089"/>
    <cellStyle name="Процентный 11 29 2 3 2" xfId="62132"/>
    <cellStyle name="Процентный 11 29 2 4" xfId="40772"/>
    <cellStyle name="Процентный 11 29 3" xfId="14068"/>
    <cellStyle name="Процентный 11 29 3 2" xfId="46112"/>
    <cellStyle name="Процентный 11 29 4" xfId="24749"/>
    <cellStyle name="Процентный 11 29 4 2" xfId="56792"/>
    <cellStyle name="Процентный 11 29 5" xfId="35432"/>
    <cellStyle name="Процентный 11 3" xfId="2552"/>
    <cellStyle name="Процентный 11 3 2" xfId="7894"/>
    <cellStyle name="Процентный 11 3 2 2" xfId="18574"/>
    <cellStyle name="Процентный 11 3 2 2 2" xfId="50618"/>
    <cellStyle name="Процентный 11 3 2 3" xfId="29255"/>
    <cellStyle name="Процентный 11 3 2 3 2" xfId="61298"/>
    <cellStyle name="Процентный 11 3 2 4" xfId="39938"/>
    <cellStyle name="Процентный 11 3 3" xfId="13234"/>
    <cellStyle name="Процентный 11 3 3 2" xfId="45278"/>
    <cellStyle name="Процентный 11 3 4" xfId="23915"/>
    <cellStyle name="Процентный 11 3 4 2" xfId="55958"/>
    <cellStyle name="Процентный 11 3 5" xfId="34598"/>
    <cellStyle name="Процентный 11 30" xfId="3419"/>
    <cellStyle name="Процентный 11 30 2" xfId="8760"/>
    <cellStyle name="Процентный 11 30 2 2" xfId="19440"/>
    <cellStyle name="Процентный 11 30 2 2 2" xfId="51484"/>
    <cellStyle name="Процентный 11 30 2 3" xfId="30121"/>
    <cellStyle name="Процентный 11 30 2 3 2" xfId="62164"/>
    <cellStyle name="Процентный 11 30 2 4" xfId="40804"/>
    <cellStyle name="Процентный 11 30 3" xfId="14100"/>
    <cellStyle name="Процентный 11 30 3 2" xfId="46144"/>
    <cellStyle name="Процентный 11 30 4" xfId="24781"/>
    <cellStyle name="Процентный 11 30 4 2" xfId="56824"/>
    <cellStyle name="Процентный 11 30 5" xfId="35464"/>
    <cellStyle name="Процентный 11 31" xfId="3451"/>
    <cellStyle name="Процентный 11 31 2" xfId="8792"/>
    <cellStyle name="Процентный 11 31 2 2" xfId="19472"/>
    <cellStyle name="Процентный 11 31 2 2 2" xfId="51516"/>
    <cellStyle name="Процентный 11 31 2 3" xfId="30153"/>
    <cellStyle name="Процентный 11 31 2 3 2" xfId="62196"/>
    <cellStyle name="Процентный 11 31 2 4" xfId="40836"/>
    <cellStyle name="Процентный 11 31 3" xfId="14132"/>
    <cellStyle name="Процентный 11 31 3 2" xfId="46176"/>
    <cellStyle name="Процентный 11 31 4" xfId="24813"/>
    <cellStyle name="Процентный 11 31 4 2" xfId="56856"/>
    <cellStyle name="Процентный 11 31 5" xfId="35496"/>
    <cellStyle name="Процентный 11 32" xfId="3483"/>
    <cellStyle name="Процентный 11 32 2" xfId="8824"/>
    <cellStyle name="Процентный 11 32 2 2" xfId="19504"/>
    <cellStyle name="Процентный 11 32 2 2 2" xfId="51548"/>
    <cellStyle name="Процентный 11 32 2 3" xfId="30185"/>
    <cellStyle name="Процентный 11 32 2 3 2" xfId="62228"/>
    <cellStyle name="Процентный 11 32 2 4" xfId="40868"/>
    <cellStyle name="Процентный 11 32 3" xfId="14164"/>
    <cellStyle name="Процентный 11 32 3 2" xfId="46208"/>
    <cellStyle name="Процентный 11 32 4" xfId="24845"/>
    <cellStyle name="Процентный 11 32 4 2" xfId="56888"/>
    <cellStyle name="Процентный 11 32 5" xfId="35528"/>
    <cellStyle name="Процентный 11 33" xfId="3515"/>
    <cellStyle name="Процентный 11 33 2" xfId="8856"/>
    <cellStyle name="Процентный 11 33 2 2" xfId="19536"/>
    <cellStyle name="Процентный 11 33 2 2 2" xfId="51580"/>
    <cellStyle name="Процентный 11 33 2 3" xfId="30217"/>
    <cellStyle name="Процентный 11 33 2 3 2" xfId="62260"/>
    <cellStyle name="Процентный 11 33 2 4" xfId="40900"/>
    <cellStyle name="Процентный 11 33 3" xfId="14196"/>
    <cellStyle name="Процентный 11 33 3 2" xfId="46240"/>
    <cellStyle name="Процентный 11 33 4" xfId="24877"/>
    <cellStyle name="Процентный 11 33 4 2" xfId="56920"/>
    <cellStyle name="Процентный 11 33 5" xfId="35560"/>
    <cellStyle name="Процентный 11 34" xfId="3547"/>
    <cellStyle name="Процентный 11 34 2" xfId="8888"/>
    <cellStyle name="Процентный 11 34 2 2" xfId="19568"/>
    <cellStyle name="Процентный 11 34 2 2 2" xfId="51612"/>
    <cellStyle name="Процентный 11 34 2 3" xfId="30249"/>
    <cellStyle name="Процентный 11 34 2 3 2" xfId="62292"/>
    <cellStyle name="Процентный 11 34 2 4" xfId="40932"/>
    <cellStyle name="Процентный 11 34 3" xfId="14228"/>
    <cellStyle name="Процентный 11 34 3 2" xfId="46272"/>
    <cellStyle name="Процентный 11 34 4" xfId="24909"/>
    <cellStyle name="Процентный 11 34 4 2" xfId="56952"/>
    <cellStyle name="Процентный 11 34 5" xfId="35592"/>
    <cellStyle name="Процентный 11 35" xfId="3579"/>
    <cellStyle name="Процентный 11 35 2" xfId="8920"/>
    <cellStyle name="Процентный 11 35 2 2" xfId="19600"/>
    <cellStyle name="Процентный 11 35 2 2 2" xfId="51644"/>
    <cellStyle name="Процентный 11 35 2 3" xfId="30281"/>
    <cellStyle name="Процентный 11 35 2 3 2" xfId="62324"/>
    <cellStyle name="Процентный 11 35 2 4" xfId="40964"/>
    <cellStyle name="Процентный 11 35 3" xfId="14260"/>
    <cellStyle name="Процентный 11 35 3 2" xfId="46304"/>
    <cellStyle name="Процентный 11 35 4" xfId="24941"/>
    <cellStyle name="Процентный 11 35 4 2" xfId="56984"/>
    <cellStyle name="Процентный 11 35 5" xfId="35624"/>
    <cellStyle name="Процентный 11 36" xfId="3611"/>
    <cellStyle name="Процентный 11 36 2" xfId="8952"/>
    <cellStyle name="Процентный 11 36 2 2" xfId="19632"/>
    <cellStyle name="Процентный 11 36 2 2 2" xfId="51676"/>
    <cellStyle name="Процентный 11 36 2 3" xfId="30313"/>
    <cellStyle name="Процентный 11 36 2 3 2" xfId="62356"/>
    <cellStyle name="Процентный 11 36 2 4" xfId="40996"/>
    <cellStyle name="Процентный 11 36 3" xfId="14292"/>
    <cellStyle name="Процентный 11 36 3 2" xfId="46336"/>
    <cellStyle name="Процентный 11 36 4" xfId="24973"/>
    <cellStyle name="Процентный 11 36 4 2" xfId="57016"/>
    <cellStyle name="Процентный 11 36 5" xfId="35656"/>
    <cellStyle name="Процентный 11 37" xfId="3643"/>
    <cellStyle name="Процентный 11 37 2" xfId="8984"/>
    <cellStyle name="Процентный 11 37 2 2" xfId="19664"/>
    <cellStyle name="Процентный 11 37 2 2 2" xfId="51708"/>
    <cellStyle name="Процентный 11 37 2 3" xfId="30345"/>
    <cellStyle name="Процентный 11 37 2 3 2" xfId="62388"/>
    <cellStyle name="Процентный 11 37 2 4" xfId="41028"/>
    <cellStyle name="Процентный 11 37 3" xfId="14324"/>
    <cellStyle name="Процентный 11 37 3 2" xfId="46368"/>
    <cellStyle name="Процентный 11 37 4" xfId="25005"/>
    <cellStyle name="Процентный 11 37 4 2" xfId="57048"/>
    <cellStyle name="Процентный 11 37 5" xfId="35688"/>
    <cellStyle name="Процентный 11 38" xfId="3675"/>
    <cellStyle name="Процентный 11 38 2" xfId="9016"/>
    <cellStyle name="Процентный 11 38 2 2" xfId="19696"/>
    <cellStyle name="Процентный 11 38 2 2 2" xfId="51740"/>
    <cellStyle name="Процентный 11 38 2 3" xfId="30377"/>
    <cellStyle name="Процентный 11 38 2 3 2" xfId="62420"/>
    <cellStyle name="Процентный 11 38 2 4" xfId="41060"/>
    <cellStyle name="Процентный 11 38 3" xfId="14356"/>
    <cellStyle name="Процентный 11 38 3 2" xfId="46400"/>
    <cellStyle name="Процентный 11 38 4" xfId="25037"/>
    <cellStyle name="Процентный 11 38 4 2" xfId="57080"/>
    <cellStyle name="Процентный 11 38 5" xfId="35720"/>
    <cellStyle name="Процентный 11 39" xfId="3707"/>
    <cellStyle name="Процентный 11 39 2" xfId="9048"/>
    <cellStyle name="Процентный 11 39 2 2" xfId="19728"/>
    <cellStyle name="Процентный 11 39 2 2 2" xfId="51772"/>
    <cellStyle name="Процентный 11 39 2 3" xfId="30409"/>
    <cellStyle name="Процентный 11 39 2 3 2" xfId="62452"/>
    <cellStyle name="Процентный 11 39 2 4" xfId="41092"/>
    <cellStyle name="Процентный 11 39 3" xfId="14388"/>
    <cellStyle name="Процентный 11 39 3 2" xfId="46432"/>
    <cellStyle name="Процентный 11 39 4" xfId="25069"/>
    <cellStyle name="Процентный 11 39 4 2" xfId="57112"/>
    <cellStyle name="Процентный 11 39 5" xfId="35752"/>
    <cellStyle name="Процентный 11 4" xfId="2584"/>
    <cellStyle name="Процентный 11 4 2" xfId="7926"/>
    <cellStyle name="Процентный 11 4 2 2" xfId="18606"/>
    <cellStyle name="Процентный 11 4 2 2 2" xfId="50650"/>
    <cellStyle name="Процентный 11 4 2 3" xfId="29287"/>
    <cellStyle name="Процентный 11 4 2 3 2" xfId="61330"/>
    <cellStyle name="Процентный 11 4 2 4" xfId="39970"/>
    <cellStyle name="Процентный 11 4 3" xfId="13266"/>
    <cellStyle name="Процентный 11 4 3 2" xfId="45310"/>
    <cellStyle name="Процентный 11 4 4" xfId="23947"/>
    <cellStyle name="Процентный 11 4 4 2" xfId="55990"/>
    <cellStyle name="Процентный 11 4 5" xfId="34630"/>
    <cellStyle name="Процентный 11 40" xfId="3739"/>
    <cellStyle name="Процентный 11 40 2" xfId="9080"/>
    <cellStyle name="Процентный 11 40 2 2" xfId="19760"/>
    <cellStyle name="Процентный 11 40 2 2 2" xfId="51804"/>
    <cellStyle name="Процентный 11 40 2 3" xfId="30441"/>
    <cellStyle name="Процентный 11 40 2 3 2" xfId="62484"/>
    <cellStyle name="Процентный 11 40 2 4" xfId="41124"/>
    <cellStyle name="Процентный 11 40 3" xfId="14420"/>
    <cellStyle name="Процентный 11 40 3 2" xfId="46464"/>
    <cellStyle name="Процентный 11 40 4" xfId="25101"/>
    <cellStyle name="Процентный 11 40 4 2" xfId="57144"/>
    <cellStyle name="Процентный 11 40 5" xfId="35784"/>
    <cellStyle name="Процентный 11 41" xfId="3771"/>
    <cellStyle name="Процентный 11 41 2" xfId="9112"/>
    <cellStyle name="Процентный 11 41 2 2" xfId="19792"/>
    <cellStyle name="Процентный 11 41 2 2 2" xfId="51836"/>
    <cellStyle name="Процентный 11 41 2 3" xfId="30473"/>
    <cellStyle name="Процентный 11 41 2 3 2" xfId="62516"/>
    <cellStyle name="Процентный 11 41 2 4" xfId="41156"/>
    <cellStyle name="Процентный 11 41 3" xfId="14452"/>
    <cellStyle name="Процентный 11 41 3 2" xfId="46496"/>
    <cellStyle name="Процентный 11 41 4" xfId="25133"/>
    <cellStyle name="Процентный 11 41 4 2" xfId="57176"/>
    <cellStyle name="Процентный 11 41 5" xfId="35816"/>
    <cellStyle name="Процентный 11 42" xfId="3803"/>
    <cellStyle name="Процентный 11 42 2" xfId="9144"/>
    <cellStyle name="Процентный 11 42 2 2" xfId="19824"/>
    <cellStyle name="Процентный 11 42 2 2 2" xfId="51868"/>
    <cellStyle name="Процентный 11 42 2 3" xfId="30505"/>
    <cellStyle name="Процентный 11 42 2 3 2" xfId="62548"/>
    <cellStyle name="Процентный 11 42 2 4" xfId="41188"/>
    <cellStyle name="Процентный 11 42 3" xfId="14484"/>
    <cellStyle name="Процентный 11 42 3 2" xfId="46528"/>
    <cellStyle name="Процентный 11 42 4" xfId="25165"/>
    <cellStyle name="Процентный 11 42 4 2" xfId="57208"/>
    <cellStyle name="Процентный 11 42 5" xfId="35848"/>
    <cellStyle name="Процентный 11 43" xfId="3835"/>
    <cellStyle name="Процентный 11 43 2" xfId="9176"/>
    <cellStyle name="Процентный 11 43 2 2" xfId="19856"/>
    <cellStyle name="Процентный 11 43 2 2 2" xfId="51900"/>
    <cellStyle name="Процентный 11 43 2 3" xfId="30537"/>
    <cellStyle name="Процентный 11 43 2 3 2" xfId="62580"/>
    <cellStyle name="Процентный 11 43 2 4" xfId="41220"/>
    <cellStyle name="Процентный 11 43 3" xfId="14516"/>
    <cellStyle name="Процентный 11 43 3 2" xfId="46560"/>
    <cellStyle name="Процентный 11 43 4" xfId="25197"/>
    <cellStyle name="Процентный 11 43 4 2" xfId="57240"/>
    <cellStyle name="Процентный 11 43 5" xfId="35880"/>
    <cellStyle name="Процентный 11 44" xfId="3867"/>
    <cellStyle name="Процентный 11 44 2" xfId="9208"/>
    <cellStyle name="Процентный 11 44 2 2" xfId="19888"/>
    <cellStyle name="Процентный 11 44 2 2 2" xfId="51932"/>
    <cellStyle name="Процентный 11 44 2 3" xfId="30569"/>
    <cellStyle name="Процентный 11 44 2 3 2" xfId="62612"/>
    <cellStyle name="Процентный 11 44 2 4" xfId="41252"/>
    <cellStyle name="Процентный 11 44 3" xfId="14548"/>
    <cellStyle name="Процентный 11 44 3 2" xfId="46592"/>
    <cellStyle name="Процентный 11 44 4" xfId="25229"/>
    <cellStyle name="Процентный 11 44 4 2" xfId="57272"/>
    <cellStyle name="Процентный 11 44 5" xfId="35912"/>
    <cellStyle name="Процентный 11 45" xfId="3899"/>
    <cellStyle name="Процентный 11 45 2" xfId="9240"/>
    <cellStyle name="Процентный 11 45 2 2" xfId="19920"/>
    <cellStyle name="Процентный 11 45 2 2 2" xfId="51964"/>
    <cellStyle name="Процентный 11 45 2 3" xfId="30601"/>
    <cellStyle name="Процентный 11 45 2 3 2" xfId="62644"/>
    <cellStyle name="Процентный 11 45 2 4" xfId="41284"/>
    <cellStyle name="Процентный 11 45 3" xfId="14580"/>
    <cellStyle name="Процентный 11 45 3 2" xfId="46624"/>
    <cellStyle name="Процентный 11 45 4" xfId="25261"/>
    <cellStyle name="Процентный 11 45 4 2" xfId="57304"/>
    <cellStyle name="Процентный 11 45 5" xfId="35944"/>
    <cellStyle name="Процентный 11 46" xfId="3931"/>
    <cellStyle name="Процентный 11 46 2" xfId="9272"/>
    <cellStyle name="Процентный 11 46 2 2" xfId="19952"/>
    <cellStyle name="Процентный 11 46 2 2 2" xfId="51996"/>
    <cellStyle name="Процентный 11 46 2 3" xfId="30633"/>
    <cellStyle name="Процентный 11 46 2 3 2" xfId="62676"/>
    <cellStyle name="Процентный 11 46 2 4" xfId="41316"/>
    <cellStyle name="Процентный 11 46 3" xfId="14612"/>
    <cellStyle name="Процентный 11 46 3 2" xfId="46656"/>
    <cellStyle name="Процентный 11 46 4" xfId="25293"/>
    <cellStyle name="Процентный 11 46 4 2" xfId="57336"/>
    <cellStyle name="Процентный 11 46 5" xfId="35976"/>
    <cellStyle name="Процентный 11 47" xfId="3963"/>
    <cellStyle name="Процентный 11 47 2" xfId="9304"/>
    <cellStyle name="Процентный 11 47 2 2" xfId="19984"/>
    <cellStyle name="Процентный 11 47 2 2 2" xfId="52028"/>
    <cellStyle name="Процентный 11 47 2 3" xfId="30665"/>
    <cellStyle name="Процентный 11 47 2 3 2" xfId="62708"/>
    <cellStyle name="Процентный 11 47 2 4" xfId="41348"/>
    <cellStyle name="Процентный 11 47 3" xfId="14644"/>
    <cellStyle name="Процентный 11 47 3 2" xfId="46688"/>
    <cellStyle name="Процентный 11 47 4" xfId="25325"/>
    <cellStyle name="Процентный 11 47 4 2" xfId="57368"/>
    <cellStyle name="Процентный 11 47 5" xfId="36008"/>
    <cellStyle name="Процентный 11 48" xfId="3995"/>
    <cellStyle name="Процентный 11 48 2" xfId="9336"/>
    <cellStyle name="Процентный 11 48 2 2" xfId="20016"/>
    <cellStyle name="Процентный 11 48 2 2 2" xfId="52060"/>
    <cellStyle name="Процентный 11 48 2 3" xfId="30697"/>
    <cellStyle name="Процентный 11 48 2 3 2" xfId="62740"/>
    <cellStyle name="Процентный 11 48 2 4" xfId="41380"/>
    <cellStyle name="Процентный 11 48 3" xfId="14676"/>
    <cellStyle name="Процентный 11 48 3 2" xfId="46720"/>
    <cellStyle name="Процентный 11 48 4" xfId="25357"/>
    <cellStyle name="Процентный 11 48 4 2" xfId="57400"/>
    <cellStyle name="Процентный 11 48 5" xfId="36040"/>
    <cellStyle name="Процентный 11 49" xfId="4027"/>
    <cellStyle name="Процентный 11 49 2" xfId="9368"/>
    <cellStyle name="Процентный 11 49 2 2" xfId="20048"/>
    <cellStyle name="Процентный 11 49 2 2 2" xfId="52092"/>
    <cellStyle name="Процентный 11 49 2 3" xfId="30729"/>
    <cellStyle name="Процентный 11 49 2 3 2" xfId="62772"/>
    <cellStyle name="Процентный 11 49 2 4" xfId="41412"/>
    <cellStyle name="Процентный 11 49 3" xfId="14708"/>
    <cellStyle name="Процентный 11 49 3 2" xfId="46752"/>
    <cellStyle name="Процентный 11 49 4" xfId="25389"/>
    <cellStyle name="Процентный 11 49 4 2" xfId="57432"/>
    <cellStyle name="Процентный 11 49 5" xfId="36072"/>
    <cellStyle name="Процентный 11 5" xfId="2616"/>
    <cellStyle name="Процентный 11 5 2" xfId="7958"/>
    <cellStyle name="Процентный 11 5 2 2" xfId="18638"/>
    <cellStyle name="Процентный 11 5 2 2 2" xfId="50682"/>
    <cellStyle name="Процентный 11 5 2 3" xfId="29319"/>
    <cellStyle name="Процентный 11 5 2 3 2" xfId="61362"/>
    <cellStyle name="Процентный 11 5 2 4" xfId="40002"/>
    <cellStyle name="Процентный 11 5 3" xfId="13298"/>
    <cellStyle name="Процентный 11 5 3 2" xfId="45342"/>
    <cellStyle name="Процентный 11 5 4" xfId="23979"/>
    <cellStyle name="Процентный 11 5 4 2" xfId="56022"/>
    <cellStyle name="Процентный 11 5 5" xfId="34662"/>
    <cellStyle name="Процентный 11 50" xfId="4059"/>
    <cellStyle name="Процентный 11 50 2" xfId="9400"/>
    <cellStyle name="Процентный 11 50 2 2" xfId="20080"/>
    <cellStyle name="Процентный 11 50 2 2 2" xfId="52124"/>
    <cellStyle name="Процентный 11 50 2 3" xfId="30761"/>
    <cellStyle name="Процентный 11 50 2 3 2" xfId="62804"/>
    <cellStyle name="Процентный 11 50 2 4" xfId="41444"/>
    <cellStyle name="Процентный 11 50 3" xfId="14740"/>
    <cellStyle name="Процентный 11 50 3 2" xfId="46784"/>
    <cellStyle name="Процентный 11 50 4" xfId="25421"/>
    <cellStyle name="Процентный 11 50 4 2" xfId="57464"/>
    <cellStyle name="Процентный 11 50 5" xfId="36104"/>
    <cellStyle name="Процентный 11 51" xfId="4091"/>
    <cellStyle name="Процентный 11 51 2" xfId="9432"/>
    <cellStyle name="Процентный 11 51 2 2" xfId="20112"/>
    <cellStyle name="Процентный 11 51 2 2 2" xfId="52156"/>
    <cellStyle name="Процентный 11 51 2 3" xfId="30793"/>
    <cellStyle name="Процентный 11 51 2 3 2" xfId="62836"/>
    <cellStyle name="Процентный 11 51 2 4" xfId="41476"/>
    <cellStyle name="Процентный 11 51 3" xfId="14772"/>
    <cellStyle name="Процентный 11 51 3 2" xfId="46816"/>
    <cellStyle name="Процентный 11 51 4" xfId="25453"/>
    <cellStyle name="Процентный 11 51 4 2" xfId="57496"/>
    <cellStyle name="Процентный 11 51 5" xfId="36136"/>
    <cellStyle name="Процентный 11 52" xfId="4123"/>
    <cellStyle name="Процентный 11 52 2" xfId="9464"/>
    <cellStyle name="Процентный 11 52 2 2" xfId="20144"/>
    <cellStyle name="Процентный 11 52 2 2 2" xfId="52188"/>
    <cellStyle name="Процентный 11 52 2 3" xfId="30825"/>
    <cellStyle name="Процентный 11 52 2 3 2" xfId="62868"/>
    <cellStyle name="Процентный 11 52 2 4" xfId="41508"/>
    <cellStyle name="Процентный 11 52 3" xfId="14804"/>
    <cellStyle name="Процентный 11 52 3 2" xfId="46848"/>
    <cellStyle name="Процентный 11 52 4" xfId="25485"/>
    <cellStyle name="Процентный 11 52 4 2" xfId="57528"/>
    <cellStyle name="Процентный 11 52 5" xfId="36168"/>
    <cellStyle name="Процентный 11 53" xfId="4155"/>
    <cellStyle name="Процентный 11 53 2" xfId="9496"/>
    <cellStyle name="Процентный 11 53 2 2" xfId="20176"/>
    <cellStyle name="Процентный 11 53 2 2 2" xfId="52220"/>
    <cellStyle name="Процентный 11 53 2 3" xfId="30857"/>
    <cellStyle name="Процентный 11 53 2 3 2" xfId="62900"/>
    <cellStyle name="Процентный 11 53 2 4" xfId="41540"/>
    <cellStyle name="Процентный 11 53 3" xfId="14836"/>
    <cellStyle name="Процентный 11 53 3 2" xfId="46880"/>
    <cellStyle name="Процентный 11 53 4" xfId="25517"/>
    <cellStyle name="Процентный 11 53 4 2" xfId="57560"/>
    <cellStyle name="Процентный 11 53 5" xfId="36200"/>
    <cellStyle name="Процентный 11 54" xfId="4187"/>
    <cellStyle name="Процентный 11 54 2" xfId="9528"/>
    <cellStyle name="Процентный 11 54 2 2" xfId="20208"/>
    <cellStyle name="Процентный 11 54 2 2 2" xfId="52252"/>
    <cellStyle name="Процентный 11 54 2 3" xfId="30889"/>
    <cellStyle name="Процентный 11 54 2 3 2" xfId="62932"/>
    <cellStyle name="Процентный 11 54 2 4" xfId="41572"/>
    <cellStyle name="Процентный 11 54 3" xfId="14868"/>
    <cellStyle name="Процентный 11 54 3 2" xfId="46912"/>
    <cellStyle name="Процентный 11 54 4" xfId="25549"/>
    <cellStyle name="Процентный 11 54 4 2" xfId="57592"/>
    <cellStyle name="Процентный 11 54 5" xfId="36232"/>
    <cellStyle name="Процентный 11 55" xfId="4219"/>
    <cellStyle name="Процентный 11 55 2" xfId="9560"/>
    <cellStyle name="Процентный 11 55 2 2" xfId="20240"/>
    <cellStyle name="Процентный 11 55 2 2 2" xfId="52284"/>
    <cellStyle name="Процентный 11 55 2 3" xfId="30921"/>
    <cellStyle name="Процентный 11 55 2 3 2" xfId="62964"/>
    <cellStyle name="Процентный 11 55 2 4" xfId="41604"/>
    <cellStyle name="Процентный 11 55 3" xfId="14900"/>
    <cellStyle name="Процентный 11 55 3 2" xfId="46944"/>
    <cellStyle name="Процентный 11 55 4" xfId="25581"/>
    <cellStyle name="Процентный 11 55 4 2" xfId="57624"/>
    <cellStyle name="Процентный 11 55 5" xfId="36264"/>
    <cellStyle name="Процентный 11 56" xfId="4251"/>
    <cellStyle name="Процентный 11 56 2" xfId="9592"/>
    <cellStyle name="Процентный 11 56 2 2" xfId="20272"/>
    <cellStyle name="Процентный 11 56 2 2 2" xfId="52316"/>
    <cellStyle name="Процентный 11 56 2 3" xfId="30953"/>
    <cellStyle name="Процентный 11 56 2 3 2" xfId="62996"/>
    <cellStyle name="Процентный 11 56 2 4" xfId="41636"/>
    <cellStyle name="Процентный 11 56 3" xfId="14932"/>
    <cellStyle name="Процентный 11 56 3 2" xfId="46976"/>
    <cellStyle name="Процентный 11 56 4" xfId="25613"/>
    <cellStyle name="Процентный 11 56 4 2" xfId="57656"/>
    <cellStyle name="Процентный 11 56 5" xfId="36296"/>
    <cellStyle name="Процентный 11 57" xfId="4283"/>
    <cellStyle name="Процентный 11 57 2" xfId="9624"/>
    <cellStyle name="Процентный 11 57 2 2" xfId="20304"/>
    <cellStyle name="Процентный 11 57 2 2 2" xfId="52348"/>
    <cellStyle name="Процентный 11 57 2 3" xfId="30985"/>
    <cellStyle name="Процентный 11 57 2 3 2" xfId="63028"/>
    <cellStyle name="Процентный 11 57 2 4" xfId="41668"/>
    <cellStyle name="Процентный 11 57 3" xfId="14964"/>
    <cellStyle name="Процентный 11 57 3 2" xfId="47008"/>
    <cellStyle name="Процентный 11 57 4" xfId="25645"/>
    <cellStyle name="Процентный 11 57 4 2" xfId="57688"/>
    <cellStyle name="Процентный 11 57 5" xfId="36328"/>
    <cellStyle name="Процентный 11 58" xfId="4315"/>
    <cellStyle name="Процентный 11 58 2" xfId="9656"/>
    <cellStyle name="Процентный 11 58 2 2" xfId="20336"/>
    <cellStyle name="Процентный 11 58 2 2 2" xfId="52380"/>
    <cellStyle name="Процентный 11 58 2 3" xfId="31017"/>
    <cellStyle name="Процентный 11 58 2 3 2" xfId="63060"/>
    <cellStyle name="Процентный 11 58 2 4" xfId="41700"/>
    <cellStyle name="Процентный 11 58 3" xfId="14996"/>
    <cellStyle name="Процентный 11 58 3 2" xfId="47040"/>
    <cellStyle name="Процентный 11 58 4" xfId="25677"/>
    <cellStyle name="Процентный 11 58 4 2" xfId="57720"/>
    <cellStyle name="Процентный 11 58 5" xfId="36360"/>
    <cellStyle name="Процентный 11 59" xfId="4347"/>
    <cellStyle name="Процентный 11 59 2" xfId="9688"/>
    <cellStyle name="Процентный 11 59 2 2" xfId="20368"/>
    <cellStyle name="Процентный 11 59 2 2 2" xfId="52412"/>
    <cellStyle name="Процентный 11 59 2 3" xfId="31049"/>
    <cellStyle name="Процентный 11 59 2 3 2" xfId="63092"/>
    <cellStyle name="Процентный 11 59 2 4" xfId="41732"/>
    <cellStyle name="Процентный 11 59 3" xfId="15028"/>
    <cellStyle name="Процентный 11 59 3 2" xfId="47072"/>
    <cellStyle name="Процентный 11 59 4" xfId="25709"/>
    <cellStyle name="Процентный 11 59 4 2" xfId="57752"/>
    <cellStyle name="Процентный 11 59 5" xfId="36392"/>
    <cellStyle name="Процентный 11 6" xfId="2648"/>
    <cellStyle name="Процентный 11 6 2" xfId="7990"/>
    <cellStyle name="Процентный 11 6 2 2" xfId="18670"/>
    <cellStyle name="Процентный 11 6 2 2 2" xfId="50714"/>
    <cellStyle name="Процентный 11 6 2 3" xfId="29351"/>
    <cellStyle name="Процентный 11 6 2 3 2" xfId="61394"/>
    <cellStyle name="Процентный 11 6 2 4" xfId="40034"/>
    <cellStyle name="Процентный 11 6 3" xfId="13330"/>
    <cellStyle name="Процентный 11 6 3 2" xfId="45374"/>
    <cellStyle name="Процентный 11 6 4" xfId="24011"/>
    <cellStyle name="Процентный 11 6 4 2" xfId="56054"/>
    <cellStyle name="Процентный 11 6 5" xfId="34694"/>
    <cellStyle name="Процентный 11 60" xfId="4379"/>
    <cellStyle name="Процентный 11 60 2" xfId="9720"/>
    <cellStyle name="Процентный 11 60 2 2" xfId="20400"/>
    <cellStyle name="Процентный 11 60 2 2 2" xfId="52444"/>
    <cellStyle name="Процентный 11 60 2 3" xfId="31081"/>
    <cellStyle name="Процентный 11 60 2 3 2" xfId="63124"/>
    <cellStyle name="Процентный 11 60 2 4" xfId="41764"/>
    <cellStyle name="Процентный 11 60 3" xfId="15060"/>
    <cellStyle name="Процентный 11 60 3 2" xfId="47104"/>
    <cellStyle name="Процентный 11 60 4" xfId="25741"/>
    <cellStyle name="Процентный 11 60 4 2" xfId="57784"/>
    <cellStyle name="Процентный 11 60 5" xfId="36424"/>
    <cellStyle name="Процентный 11 61" xfId="4411"/>
    <cellStyle name="Процентный 11 61 2" xfId="9752"/>
    <cellStyle name="Процентный 11 61 2 2" xfId="20432"/>
    <cellStyle name="Процентный 11 61 2 2 2" xfId="52476"/>
    <cellStyle name="Процентный 11 61 2 3" xfId="31113"/>
    <cellStyle name="Процентный 11 61 2 3 2" xfId="63156"/>
    <cellStyle name="Процентный 11 61 2 4" xfId="41796"/>
    <cellStyle name="Процентный 11 61 3" xfId="15092"/>
    <cellStyle name="Процентный 11 61 3 2" xfId="47136"/>
    <cellStyle name="Процентный 11 61 4" xfId="25773"/>
    <cellStyle name="Процентный 11 61 4 2" xfId="57816"/>
    <cellStyle name="Процентный 11 61 5" xfId="36456"/>
    <cellStyle name="Процентный 11 62" xfId="4443"/>
    <cellStyle name="Процентный 11 62 2" xfId="9784"/>
    <cellStyle name="Процентный 11 62 2 2" xfId="20464"/>
    <cellStyle name="Процентный 11 62 2 2 2" xfId="52508"/>
    <cellStyle name="Процентный 11 62 2 3" xfId="31145"/>
    <cellStyle name="Процентный 11 62 2 3 2" xfId="63188"/>
    <cellStyle name="Процентный 11 62 2 4" xfId="41828"/>
    <cellStyle name="Процентный 11 62 3" xfId="15124"/>
    <cellStyle name="Процентный 11 62 3 2" xfId="47168"/>
    <cellStyle name="Процентный 11 62 4" xfId="25805"/>
    <cellStyle name="Процентный 11 62 4 2" xfId="57848"/>
    <cellStyle name="Процентный 11 62 5" xfId="36488"/>
    <cellStyle name="Процентный 11 63" xfId="4475"/>
    <cellStyle name="Процентный 11 63 2" xfId="9816"/>
    <cellStyle name="Процентный 11 63 2 2" xfId="20496"/>
    <cellStyle name="Процентный 11 63 2 2 2" xfId="52540"/>
    <cellStyle name="Процентный 11 63 2 3" xfId="31177"/>
    <cellStyle name="Процентный 11 63 2 3 2" xfId="63220"/>
    <cellStyle name="Процентный 11 63 2 4" xfId="41860"/>
    <cellStyle name="Процентный 11 63 3" xfId="15156"/>
    <cellStyle name="Процентный 11 63 3 2" xfId="47200"/>
    <cellStyle name="Процентный 11 63 4" xfId="25837"/>
    <cellStyle name="Процентный 11 63 4 2" xfId="57880"/>
    <cellStyle name="Процентный 11 63 5" xfId="36520"/>
    <cellStyle name="Процентный 11 64" xfId="4507"/>
    <cellStyle name="Процентный 11 64 2" xfId="9848"/>
    <cellStyle name="Процентный 11 64 2 2" xfId="20528"/>
    <cellStyle name="Процентный 11 64 2 2 2" xfId="52572"/>
    <cellStyle name="Процентный 11 64 2 3" xfId="31209"/>
    <cellStyle name="Процентный 11 64 2 3 2" xfId="63252"/>
    <cellStyle name="Процентный 11 64 2 4" xfId="41892"/>
    <cellStyle name="Процентный 11 64 3" xfId="15188"/>
    <cellStyle name="Процентный 11 64 3 2" xfId="47232"/>
    <cellStyle name="Процентный 11 64 4" xfId="25869"/>
    <cellStyle name="Процентный 11 64 4 2" xfId="57912"/>
    <cellStyle name="Процентный 11 64 5" xfId="36552"/>
    <cellStyle name="Процентный 11 65" xfId="4539"/>
    <cellStyle name="Процентный 11 65 2" xfId="9880"/>
    <cellStyle name="Процентный 11 65 2 2" xfId="20560"/>
    <cellStyle name="Процентный 11 65 2 2 2" xfId="52604"/>
    <cellStyle name="Процентный 11 65 2 3" xfId="31241"/>
    <cellStyle name="Процентный 11 65 2 3 2" xfId="63284"/>
    <cellStyle name="Процентный 11 65 2 4" xfId="41924"/>
    <cellStyle name="Процентный 11 65 3" xfId="15220"/>
    <cellStyle name="Процентный 11 65 3 2" xfId="47264"/>
    <cellStyle name="Процентный 11 65 4" xfId="25901"/>
    <cellStyle name="Процентный 11 65 4 2" xfId="57944"/>
    <cellStyle name="Процентный 11 65 5" xfId="36584"/>
    <cellStyle name="Процентный 11 66" xfId="4571"/>
    <cellStyle name="Процентный 11 66 2" xfId="9912"/>
    <cellStyle name="Процентный 11 66 2 2" xfId="20592"/>
    <cellStyle name="Процентный 11 66 2 2 2" xfId="52636"/>
    <cellStyle name="Процентный 11 66 2 3" xfId="31273"/>
    <cellStyle name="Процентный 11 66 2 3 2" xfId="63316"/>
    <cellStyle name="Процентный 11 66 2 4" xfId="41956"/>
    <cellStyle name="Процентный 11 66 3" xfId="15252"/>
    <cellStyle name="Процентный 11 66 3 2" xfId="47296"/>
    <cellStyle name="Процентный 11 66 4" xfId="25933"/>
    <cellStyle name="Процентный 11 66 4 2" xfId="57976"/>
    <cellStyle name="Процентный 11 66 5" xfId="36616"/>
    <cellStyle name="Процентный 11 67" xfId="4603"/>
    <cellStyle name="Процентный 11 67 2" xfId="9944"/>
    <cellStyle name="Процентный 11 67 2 2" xfId="20624"/>
    <cellStyle name="Процентный 11 67 2 2 2" xfId="52668"/>
    <cellStyle name="Процентный 11 67 2 3" xfId="31305"/>
    <cellStyle name="Процентный 11 67 2 3 2" xfId="63348"/>
    <cellStyle name="Процентный 11 67 2 4" xfId="41988"/>
    <cellStyle name="Процентный 11 67 3" xfId="15284"/>
    <cellStyle name="Процентный 11 67 3 2" xfId="47328"/>
    <cellStyle name="Процентный 11 67 4" xfId="25965"/>
    <cellStyle name="Процентный 11 67 4 2" xfId="58008"/>
    <cellStyle name="Процентный 11 67 5" xfId="36648"/>
    <cellStyle name="Процентный 11 68" xfId="4635"/>
    <cellStyle name="Процентный 11 68 2" xfId="9976"/>
    <cellStyle name="Процентный 11 68 2 2" xfId="20656"/>
    <cellStyle name="Процентный 11 68 2 2 2" xfId="52700"/>
    <cellStyle name="Процентный 11 68 2 3" xfId="31337"/>
    <cellStyle name="Процентный 11 68 2 3 2" xfId="63380"/>
    <cellStyle name="Процентный 11 68 2 4" xfId="42020"/>
    <cellStyle name="Процентный 11 68 3" xfId="15316"/>
    <cellStyle name="Процентный 11 68 3 2" xfId="47360"/>
    <cellStyle name="Процентный 11 68 4" xfId="25997"/>
    <cellStyle name="Процентный 11 68 4 2" xfId="58040"/>
    <cellStyle name="Процентный 11 68 5" xfId="36680"/>
    <cellStyle name="Процентный 11 69" xfId="4667"/>
    <cellStyle name="Процентный 11 69 2" xfId="10008"/>
    <cellStyle name="Процентный 11 69 2 2" xfId="20688"/>
    <cellStyle name="Процентный 11 69 2 2 2" xfId="52732"/>
    <cellStyle name="Процентный 11 69 2 3" xfId="31369"/>
    <cellStyle name="Процентный 11 69 2 3 2" xfId="63412"/>
    <cellStyle name="Процентный 11 69 2 4" xfId="42052"/>
    <cellStyle name="Процентный 11 69 3" xfId="15348"/>
    <cellStyle name="Процентный 11 69 3 2" xfId="47392"/>
    <cellStyle name="Процентный 11 69 4" xfId="26029"/>
    <cellStyle name="Процентный 11 69 4 2" xfId="58072"/>
    <cellStyle name="Процентный 11 69 5" xfId="36712"/>
    <cellStyle name="Процентный 11 7" xfId="2680"/>
    <cellStyle name="Процентный 11 7 2" xfId="8022"/>
    <cellStyle name="Процентный 11 7 2 2" xfId="18702"/>
    <cellStyle name="Процентный 11 7 2 2 2" xfId="50746"/>
    <cellStyle name="Процентный 11 7 2 3" xfId="29383"/>
    <cellStyle name="Процентный 11 7 2 3 2" xfId="61426"/>
    <cellStyle name="Процентный 11 7 2 4" xfId="40066"/>
    <cellStyle name="Процентный 11 7 3" xfId="13362"/>
    <cellStyle name="Процентный 11 7 3 2" xfId="45406"/>
    <cellStyle name="Процентный 11 7 4" xfId="24043"/>
    <cellStyle name="Процентный 11 7 4 2" xfId="56086"/>
    <cellStyle name="Процентный 11 7 5" xfId="34726"/>
    <cellStyle name="Процентный 11 70" xfId="4699"/>
    <cellStyle name="Процентный 11 70 2" xfId="10040"/>
    <cellStyle name="Процентный 11 70 2 2" xfId="20720"/>
    <cellStyle name="Процентный 11 70 2 2 2" xfId="52764"/>
    <cellStyle name="Процентный 11 70 2 3" xfId="31401"/>
    <cellStyle name="Процентный 11 70 2 3 2" xfId="63444"/>
    <cellStyle name="Процентный 11 70 2 4" xfId="42084"/>
    <cellStyle name="Процентный 11 70 3" xfId="15380"/>
    <cellStyle name="Процентный 11 70 3 2" xfId="47424"/>
    <cellStyle name="Процентный 11 70 4" xfId="26061"/>
    <cellStyle name="Процентный 11 70 4 2" xfId="58104"/>
    <cellStyle name="Процентный 11 70 5" xfId="36744"/>
    <cellStyle name="Процентный 11 71" xfId="4733"/>
    <cellStyle name="Процентный 11 71 2" xfId="10074"/>
    <cellStyle name="Процентный 11 71 2 2" xfId="20754"/>
    <cellStyle name="Процентный 11 71 2 2 2" xfId="52798"/>
    <cellStyle name="Процентный 11 71 2 3" xfId="31435"/>
    <cellStyle name="Процентный 11 71 2 3 2" xfId="63478"/>
    <cellStyle name="Процентный 11 71 2 4" xfId="42118"/>
    <cellStyle name="Процентный 11 71 3" xfId="15414"/>
    <cellStyle name="Процентный 11 71 3 2" xfId="47458"/>
    <cellStyle name="Процентный 11 71 4" xfId="26095"/>
    <cellStyle name="Процентный 11 71 4 2" xfId="58138"/>
    <cellStyle name="Процентный 11 71 5" xfId="36778"/>
    <cellStyle name="Процентный 11 72" xfId="4765"/>
    <cellStyle name="Процентный 11 72 2" xfId="10106"/>
    <cellStyle name="Процентный 11 72 2 2" xfId="20786"/>
    <cellStyle name="Процентный 11 72 2 2 2" xfId="52830"/>
    <cellStyle name="Процентный 11 72 2 3" xfId="31467"/>
    <cellStyle name="Процентный 11 72 2 3 2" xfId="63510"/>
    <cellStyle name="Процентный 11 72 2 4" xfId="42150"/>
    <cellStyle name="Процентный 11 72 3" xfId="15446"/>
    <cellStyle name="Процентный 11 72 3 2" xfId="47490"/>
    <cellStyle name="Процентный 11 72 4" xfId="26127"/>
    <cellStyle name="Процентный 11 72 4 2" xfId="58170"/>
    <cellStyle name="Процентный 11 72 5" xfId="36810"/>
    <cellStyle name="Процентный 11 73" xfId="4797"/>
    <cellStyle name="Процентный 11 73 2" xfId="10138"/>
    <cellStyle name="Процентный 11 73 2 2" xfId="20818"/>
    <cellStyle name="Процентный 11 73 2 2 2" xfId="52862"/>
    <cellStyle name="Процентный 11 73 2 3" xfId="31499"/>
    <cellStyle name="Процентный 11 73 2 3 2" xfId="63542"/>
    <cellStyle name="Процентный 11 73 2 4" xfId="42182"/>
    <cellStyle name="Процентный 11 73 3" xfId="15478"/>
    <cellStyle name="Процентный 11 73 3 2" xfId="47522"/>
    <cellStyle name="Процентный 11 73 4" xfId="26159"/>
    <cellStyle name="Процентный 11 73 4 2" xfId="58202"/>
    <cellStyle name="Процентный 11 73 5" xfId="36842"/>
    <cellStyle name="Процентный 11 74" xfId="4829"/>
    <cellStyle name="Процентный 11 74 2" xfId="10170"/>
    <cellStyle name="Процентный 11 74 2 2" xfId="20850"/>
    <cellStyle name="Процентный 11 74 2 2 2" xfId="52894"/>
    <cellStyle name="Процентный 11 74 2 3" xfId="31531"/>
    <cellStyle name="Процентный 11 74 2 3 2" xfId="63574"/>
    <cellStyle name="Процентный 11 74 2 4" xfId="42214"/>
    <cellStyle name="Процентный 11 74 3" xfId="15510"/>
    <cellStyle name="Процентный 11 74 3 2" xfId="47554"/>
    <cellStyle name="Процентный 11 74 4" xfId="26191"/>
    <cellStyle name="Процентный 11 74 4 2" xfId="58234"/>
    <cellStyle name="Процентный 11 74 5" xfId="36874"/>
    <cellStyle name="Процентный 11 75" xfId="4861"/>
    <cellStyle name="Процентный 11 75 2" xfId="10202"/>
    <cellStyle name="Процентный 11 75 2 2" xfId="20882"/>
    <cellStyle name="Процентный 11 75 2 2 2" xfId="52926"/>
    <cellStyle name="Процентный 11 75 2 3" xfId="31563"/>
    <cellStyle name="Процентный 11 75 2 3 2" xfId="63606"/>
    <cellStyle name="Процентный 11 75 2 4" xfId="42246"/>
    <cellStyle name="Процентный 11 75 3" xfId="15542"/>
    <cellStyle name="Процентный 11 75 3 2" xfId="47586"/>
    <cellStyle name="Процентный 11 75 4" xfId="26223"/>
    <cellStyle name="Процентный 11 75 4 2" xfId="58266"/>
    <cellStyle name="Процентный 11 75 5" xfId="36906"/>
    <cellStyle name="Процентный 11 76" xfId="4893"/>
    <cellStyle name="Процентный 11 76 2" xfId="10234"/>
    <cellStyle name="Процентный 11 76 2 2" xfId="20914"/>
    <cellStyle name="Процентный 11 76 2 2 2" xfId="52958"/>
    <cellStyle name="Процентный 11 76 2 3" xfId="31595"/>
    <cellStyle name="Процентный 11 76 2 3 2" xfId="63638"/>
    <cellStyle name="Процентный 11 76 2 4" xfId="42278"/>
    <cellStyle name="Процентный 11 76 3" xfId="15574"/>
    <cellStyle name="Процентный 11 76 3 2" xfId="47618"/>
    <cellStyle name="Процентный 11 76 4" xfId="26255"/>
    <cellStyle name="Процентный 11 76 4 2" xfId="58298"/>
    <cellStyle name="Процентный 11 76 5" xfId="36938"/>
    <cellStyle name="Процентный 11 77" xfId="4925"/>
    <cellStyle name="Процентный 11 77 2" xfId="10266"/>
    <cellStyle name="Процентный 11 77 2 2" xfId="20946"/>
    <cellStyle name="Процентный 11 77 2 2 2" xfId="52990"/>
    <cellStyle name="Процентный 11 77 2 3" xfId="31627"/>
    <cellStyle name="Процентный 11 77 2 3 2" xfId="63670"/>
    <cellStyle name="Процентный 11 77 2 4" xfId="42310"/>
    <cellStyle name="Процентный 11 77 3" xfId="15606"/>
    <cellStyle name="Процентный 11 77 3 2" xfId="47650"/>
    <cellStyle name="Процентный 11 77 4" xfId="26287"/>
    <cellStyle name="Процентный 11 77 4 2" xfId="58330"/>
    <cellStyle name="Процентный 11 77 5" xfId="36970"/>
    <cellStyle name="Процентный 11 78" xfId="4957"/>
    <cellStyle name="Процентный 11 78 2" xfId="10298"/>
    <cellStyle name="Процентный 11 78 2 2" xfId="20978"/>
    <cellStyle name="Процентный 11 78 2 2 2" xfId="53022"/>
    <cellStyle name="Процентный 11 78 2 3" xfId="31659"/>
    <cellStyle name="Процентный 11 78 2 3 2" xfId="63702"/>
    <cellStyle name="Процентный 11 78 2 4" xfId="42342"/>
    <cellStyle name="Процентный 11 78 3" xfId="15638"/>
    <cellStyle name="Процентный 11 78 3 2" xfId="47682"/>
    <cellStyle name="Процентный 11 78 4" xfId="26319"/>
    <cellStyle name="Процентный 11 78 4 2" xfId="58362"/>
    <cellStyle name="Процентный 11 78 5" xfId="37002"/>
    <cellStyle name="Процентный 11 79" xfId="4989"/>
    <cellStyle name="Процентный 11 79 2" xfId="10330"/>
    <cellStyle name="Процентный 11 79 2 2" xfId="21010"/>
    <cellStyle name="Процентный 11 79 2 2 2" xfId="53054"/>
    <cellStyle name="Процентный 11 79 2 3" xfId="31691"/>
    <cellStyle name="Процентный 11 79 2 3 2" xfId="63734"/>
    <cellStyle name="Процентный 11 79 2 4" xfId="42374"/>
    <cellStyle name="Процентный 11 79 3" xfId="15670"/>
    <cellStyle name="Процентный 11 79 3 2" xfId="47714"/>
    <cellStyle name="Процентный 11 79 4" xfId="26351"/>
    <cellStyle name="Процентный 11 79 4 2" xfId="58394"/>
    <cellStyle name="Процентный 11 79 5" xfId="37034"/>
    <cellStyle name="Процентный 11 8" xfId="2712"/>
    <cellStyle name="Процентный 11 8 2" xfId="8054"/>
    <cellStyle name="Процентный 11 8 2 2" xfId="18734"/>
    <cellStyle name="Процентный 11 8 2 2 2" xfId="50778"/>
    <cellStyle name="Процентный 11 8 2 3" xfId="29415"/>
    <cellStyle name="Процентный 11 8 2 3 2" xfId="61458"/>
    <cellStyle name="Процентный 11 8 2 4" xfId="40098"/>
    <cellStyle name="Процентный 11 8 3" xfId="13394"/>
    <cellStyle name="Процентный 11 8 3 2" xfId="45438"/>
    <cellStyle name="Процентный 11 8 4" xfId="24075"/>
    <cellStyle name="Процентный 11 8 4 2" xfId="56118"/>
    <cellStyle name="Процентный 11 8 5" xfId="34758"/>
    <cellStyle name="Процентный 11 80" xfId="5021"/>
    <cellStyle name="Процентный 11 80 2" xfId="10362"/>
    <cellStyle name="Процентный 11 80 2 2" xfId="21042"/>
    <cellStyle name="Процентный 11 80 2 2 2" xfId="53086"/>
    <cellStyle name="Процентный 11 80 2 3" xfId="31723"/>
    <cellStyle name="Процентный 11 80 2 3 2" xfId="63766"/>
    <cellStyle name="Процентный 11 80 2 4" xfId="42406"/>
    <cellStyle name="Процентный 11 80 3" xfId="15702"/>
    <cellStyle name="Процентный 11 80 3 2" xfId="47746"/>
    <cellStyle name="Процентный 11 80 4" xfId="26383"/>
    <cellStyle name="Процентный 11 80 4 2" xfId="58426"/>
    <cellStyle name="Процентный 11 80 5" xfId="37066"/>
    <cellStyle name="Процентный 11 81" xfId="5053"/>
    <cellStyle name="Процентный 11 81 2" xfId="10394"/>
    <cellStyle name="Процентный 11 81 2 2" xfId="21074"/>
    <cellStyle name="Процентный 11 81 2 2 2" xfId="53118"/>
    <cellStyle name="Процентный 11 81 2 3" xfId="31755"/>
    <cellStyle name="Процентный 11 81 2 3 2" xfId="63798"/>
    <cellStyle name="Процентный 11 81 2 4" xfId="42438"/>
    <cellStyle name="Процентный 11 81 3" xfId="15734"/>
    <cellStyle name="Процентный 11 81 3 2" xfId="47778"/>
    <cellStyle name="Процентный 11 81 4" xfId="26415"/>
    <cellStyle name="Процентный 11 81 4 2" xfId="58458"/>
    <cellStyle name="Процентный 11 81 5" xfId="37098"/>
    <cellStyle name="Процентный 11 82" xfId="5085"/>
    <cellStyle name="Процентный 11 82 2" xfId="10426"/>
    <cellStyle name="Процентный 11 82 2 2" xfId="21106"/>
    <cellStyle name="Процентный 11 82 2 2 2" xfId="53150"/>
    <cellStyle name="Процентный 11 82 2 3" xfId="31787"/>
    <cellStyle name="Процентный 11 82 2 3 2" xfId="63830"/>
    <cellStyle name="Процентный 11 82 2 4" xfId="42470"/>
    <cellStyle name="Процентный 11 82 3" xfId="15766"/>
    <cellStyle name="Процентный 11 82 3 2" xfId="47810"/>
    <cellStyle name="Процентный 11 82 4" xfId="26447"/>
    <cellStyle name="Процентный 11 82 4 2" xfId="58490"/>
    <cellStyle name="Процентный 11 82 5" xfId="37130"/>
    <cellStyle name="Процентный 11 83" xfId="5117"/>
    <cellStyle name="Процентный 11 83 2" xfId="10458"/>
    <cellStyle name="Процентный 11 83 2 2" xfId="21138"/>
    <cellStyle name="Процентный 11 83 2 2 2" xfId="53182"/>
    <cellStyle name="Процентный 11 83 2 3" xfId="31819"/>
    <cellStyle name="Процентный 11 83 2 3 2" xfId="63862"/>
    <cellStyle name="Процентный 11 83 2 4" xfId="42502"/>
    <cellStyle name="Процентный 11 83 3" xfId="15798"/>
    <cellStyle name="Процентный 11 83 3 2" xfId="47842"/>
    <cellStyle name="Процентный 11 83 4" xfId="26479"/>
    <cellStyle name="Процентный 11 83 4 2" xfId="58522"/>
    <cellStyle name="Процентный 11 83 5" xfId="37162"/>
    <cellStyle name="Процентный 11 84" xfId="5149"/>
    <cellStyle name="Процентный 11 84 2" xfId="10490"/>
    <cellStyle name="Процентный 11 84 2 2" xfId="21170"/>
    <cellStyle name="Процентный 11 84 2 2 2" xfId="53214"/>
    <cellStyle name="Процентный 11 84 2 3" xfId="31851"/>
    <cellStyle name="Процентный 11 84 2 3 2" xfId="63894"/>
    <cellStyle name="Процентный 11 84 2 4" xfId="42534"/>
    <cellStyle name="Процентный 11 84 3" xfId="15830"/>
    <cellStyle name="Процентный 11 84 3 2" xfId="47874"/>
    <cellStyle name="Процентный 11 84 4" xfId="26511"/>
    <cellStyle name="Процентный 11 84 4 2" xfId="58554"/>
    <cellStyle name="Процентный 11 84 5" xfId="37194"/>
    <cellStyle name="Процентный 11 85" xfId="5181"/>
    <cellStyle name="Процентный 11 85 2" xfId="10522"/>
    <cellStyle name="Процентный 11 85 2 2" xfId="21202"/>
    <cellStyle name="Процентный 11 85 2 2 2" xfId="53246"/>
    <cellStyle name="Процентный 11 85 2 3" xfId="31883"/>
    <cellStyle name="Процентный 11 85 2 3 2" xfId="63926"/>
    <cellStyle name="Процентный 11 85 2 4" xfId="42566"/>
    <cellStyle name="Процентный 11 85 3" xfId="15862"/>
    <cellStyle name="Процентный 11 85 3 2" xfId="47906"/>
    <cellStyle name="Процентный 11 85 4" xfId="26543"/>
    <cellStyle name="Процентный 11 85 4 2" xfId="58586"/>
    <cellStyle name="Процентный 11 85 5" xfId="37226"/>
    <cellStyle name="Процентный 11 86" xfId="5213"/>
    <cellStyle name="Процентный 11 86 2" xfId="10554"/>
    <cellStyle name="Процентный 11 86 2 2" xfId="21234"/>
    <cellStyle name="Процентный 11 86 2 2 2" xfId="53278"/>
    <cellStyle name="Процентный 11 86 2 3" xfId="31915"/>
    <cellStyle name="Процентный 11 86 2 3 2" xfId="63958"/>
    <cellStyle name="Процентный 11 86 2 4" xfId="42598"/>
    <cellStyle name="Процентный 11 86 3" xfId="15894"/>
    <cellStyle name="Процентный 11 86 3 2" xfId="47938"/>
    <cellStyle name="Процентный 11 86 4" xfId="26575"/>
    <cellStyle name="Процентный 11 86 4 2" xfId="58618"/>
    <cellStyle name="Процентный 11 86 5" xfId="37258"/>
    <cellStyle name="Процентный 11 87" xfId="5245"/>
    <cellStyle name="Процентный 11 87 2" xfId="10586"/>
    <cellStyle name="Процентный 11 87 2 2" xfId="21266"/>
    <cellStyle name="Процентный 11 87 2 2 2" xfId="53310"/>
    <cellStyle name="Процентный 11 87 2 3" xfId="31947"/>
    <cellStyle name="Процентный 11 87 2 3 2" xfId="63990"/>
    <cellStyle name="Процентный 11 87 2 4" xfId="42630"/>
    <cellStyle name="Процентный 11 87 3" xfId="15926"/>
    <cellStyle name="Процентный 11 87 3 2" xfId="47970"/>
    <cellStyle name="Процентный 11 87 4" xfId="26607"/>
    <cellStyle name="Процентный 11 87 4 2" xfId="58650"/>
    <cellStyle name="Процентный 11 87 5" xfId="37290"/>
    <cellStyle name="Процентный 11 88" xfId="5277"/>
    <cellStyle name="Процентный 11 88 2" xfId="10618"/>
    <cellStyle name="Процентный 11 88 2 2" xfId="21298"/>
    <cellStyle name="Процентный 11 88 2 2 2" xfId="53342"/>
    <cellStyle name="Процентный 11 88 2 3" xfId="31979"/>
    <cellStyle name="Процентный 11 88 2 3 2" xfId="64022"/>
    <cellStyle name="Процентный 11 88 2 4" xfId="42662"/>
    <cellStyle name="Процентный 11 88 3" xfId="15958"/>
    <cellStyle name="Процентный 11 88 3 2" xfId="48002"/>
    <cellStyle name="Процентный 11 88 4" xfId="26639"/>
    <cellStyle name="Процентный 11 88 4 2" xfId="58682"/>
    <cellStyle name="Процентный 11 88 5" xfId="37322"/>
    <cellStyle name="Процентный 11 89" xfId="5309"/>
    <cellStyle name="Процентный 11 89 2" xfId="10650"/>
    <cellStyle name="Процентный 11 89 2 2" xfId="21330"/>
    <cellStyle name="Процентный 11 89 2 2 2" xfId="53374"/>
    <cellStyle name="Процентный 11 89 2 3" xfId="32011"/>
    <cellStyle name="Процентный 11 89 2 3 2" xfId="64054"/>
    <cellStyle name="Процентный 11 89 2 4" xfId="42694"/>
    <cellStyle name="Процентный 11 89 3" xfId="15990"/>
    <cellStyle name="Процентный 11 89 3 2" xfId="48034"/>
    <cellStyle name="Процентный 11 89 4" xfId="26671"/>
    <cellStyle name="Процентный 11 89 4 2" xfId="58714"/>
    <cellStyle name="Процентный 11 89 5" xfId="37354"/>
    <cellStyle name="Процентный 11 9" xfId="2744"/>
    <cellStyle name="Процентный 11 9 2" xfId="8086"/>
    <cellStyle name="Процентный 11 9 2 2" xfId="18766"/>
    <cellStyle name="Процентный 11 9 2 2 2" xfId="50810"/>
    <cellStyle name="Процентный 11 9 2 3" xfId="29447"/>
    <cellStyle name="Процентный 11 9 2 3 2" xfId="61490"/>
    <cellStyle name="Процентный 11 9 2 4" xfId="40130"/>
    <cellStyle name="Процентный 11 9 3" xfId="13426"/>
    <cellStyle name="Процентный 11 9 3 2" xfId="45470"/>
    <cellStyle name="Процентный 11 9 4" xfId="24107"/>
    <cellStyle name="Процентный 11 9 4 2" xfId="56150"/>
    <cellStyle name="Процентный 11 9 5" xfId="34790"/>
    <cellStyle name="Процентный 11 90" xfId="5341"/>
    <cellStyle name="Процентный 11 90 2" xfId="10682"/>
    <cellStyle name="Процентный 11 90 2 2" xfId="21362"/>
    <cellStyle name="Процентный 11 90 2 2 2" xfId="53406"/>
    <cellStyle name="Процентный 11 90 2 3" xfId="32043"/>
    <cellStyle name="Процентный 11 90 2 3 2" xfId="64086"/>
    <cellStyle name="Процентный 11 90 2 4" xfId="42726"/>
    <cellStyle name="Процентный 11 90 3" xfId="16022"/>
    <cellStyle name="Процентный 11 90 3 2" xfId="48066"/>
    <cellStyle name="Процентный 11 90 4" xfId="26703"/>
    <cellStyle name="Процентный 11 90 4 2" xfId="58746"/>
    <cellStyle name="Процентный 11 90 5" xfId="37386"/>
    <cellStyle name="Процентный 11 91" xfId="5373"/>
    <cellStyle name="Процентный 11 91 2" xfId="10714"/>
    <cellStyle name="Процентный 11 91 2 2" xfId="21394"/>
    <cellStyle name="Процентный 11 91 2 2 2" xfId="53438"/>
    <cellStyle name="Процентный 11 91 2 3" xfId="32075"/>
    <cellStyle name="Процентный 11 91 2 3 2" xfId="64118"/>
    <cellStyle name="Процентный 11 91 2 4" xfId="42758"/>
    <cellStyle name="Процентный 11 91 3" xfId="16054"/>
    <cellStyle name="Процентный 11 91 3 2" xfId="48098"/>
    <cellStyle name="Процентный 11 91 4" xfId="26735"/>
    <cellStyle name="Процентный 11 91 4 2" xfId="58778"/>
    <cellStyle name="Процентный 11 91 5" xfId="37418"/>
    <cellStyle name="Процентный 11 92" xfId="7828"/>
    <cellStyle name="Процентный 11 92 2" xfId="18508"/>
    <cellStyle name="Процентный 11 92 2 2" xfId="50552"/>
    <cellStyle name="Процентный 11 92 3" xfId="29189"/>
    <cellStyle name="Процентный 11 92 3 2" xfId="61232"/>
    <cellStyle name="Процентный 11 92 4" xfId="39872"/>
    <cellStyle name="Процентный 11 93" xfId="13168"/>
    <cellStyle name="Процентный 11 93 2" xfId="45212"/>
    <cellStyle name="Процентный 11 94" xfId="23849"/>
    <cellStyle name="Процентный 11 94 2" xfId="55892"/>
    <cellStyle name="Процентный 11 95" xfId="34532"/>
    <cellStyle name="Процентный 12" xfId="2520"/>
    <cellStyle name="Процентный 12 2" xfId="7862"/>
    <cellStyle name="Процентный 12 2 2" xfId="18542"/>
    <cellStyle name="Процентный 12 2 2 2" xfId="50586"/>
    <cellStyle name="Процентный 12 2 3" xfId="29223"/>
    <cellStyle name="Процентный 12 2 3 2" xfId="61266"/>
    <cellStyle name="Процентный 12 2 4" xfId="39906"/>
    <cellStyle name="Процентный 12 3" xfId="13202"/>
    <cellStyle name="Процентный 12 3 2" xfId="45246"/>
    <cellStyle name="Процентный 12 4" xfId="23883"/>
    <cellStyle name="Процентный 12 4 2" xfId="55926"/>
    <cellStyle name="Процентный 12 5" xfId="34566"/>
    <cellStyle name="Процентный 13" xfId="2746"/>
    <cellStyle name="Процентный 13 2" xfId="8088"/>
    <cellStyle name="Процентный 13 2 2" xfId="18768"/>
    <cellStyle name="Процентный 13 2 2 2" xfId="50812"/>
    <cellStyle name="Процентный 13 2 3" xfId="29449"/>
    <cellStyle name="Процентный 13 2 3 2" xfId="61492"/>
    <cellStyle name="Процентный 13 2 4" xfId="40132"/>
    <cellStyle name="Процентный 13 3" xfId="13428"/>
    <cellStyle name="Процентный 13 3 2" xfId="45472"/>
    <cellStyle name="Процентный 13 4" xfId="24109"/>
    <cellStyle name="Процентный 13 4 2" xfId="56152"/>
    <cellStyle name="Процентный 13 5" xfId="34792"/>
    <cellStyle name="Процентный 14" xfId="4701"/>
    <cellStyle name="Процентный 14 2" xfId="10042"/>
    <cellStyle name="Процентный 14 2 2" xfId="20722"/>
    <cellStyle name="Процентный 14 2 2 2" xfId="52766"/>
    <cellStyle name="Процентный 14 2 3" xfId="31403"/>
    <cellStyle name="Процентный 14 2 3 2" xfId="63446"/>
    <cellStyle name="Процентный 14 2 4" xfId="42086"/>
    <cellStyle name="Процентный 14 3" xfId="15382"/>
    <cellStyle name="Процентный 14 3 2" xfId="47426"/>
    <cellStyle name="Процентный 14 4" xfId="26063"/>
    <cellStyle name="Процентный 14 4 2" xfId="58106"/>
    <cellStyle name="Процентный 14 5" xfId="36746"/>
    <cellStyle name="Процентный 2" xfId="13"/>
    <cellStyle name="Процентный 3" xfId="25"/>
    <cellStyle name="Процентный 3 2" xfId="33"/>
    <cellStyle name="Процентный 4" xfId="28"/>
    <cellStyle name="Процентный 4 10" xfId="55"/>
    <cellStyle name="Процентный 4 10 2" xfId="523"/>
    <cellStyle name="Процентный 4 10 2 2" xfId="5866"/>
    <cellStyle name="Процентный 4 10 2 2 2" xfId="16546"/>
    <cellStyle name="Процентный 4 10 2 2 2 2" xfId="48590"/>
    <cellStyle name="Процентный 4 10 2 2 3" xfId="27227"/>
    <cellStyle name="Процентный 4 10 2 2 3 2" xfId="59270"/>
    <cellStyle name="Процентный 4 10 2 2 4" xfId="37910"/>
    <cellStyle name="Процентный 4 10 2 3" xfId="11206"/>
    <cellStyle name="Процентный 4 10 2 3 2" xfId="43250"/>
    <cellStyle name="Процентный 4 10 2 4" xfId="21887"/>
    <cellStyle name="Процентный 4 10 2 4 2" xfId="53930"/>
    <cellStyle name="Процентный 4 10 2 5" xfId="32570"/>
    <cellStyle name="Процентный 4 10 3" xfId="5399"/>
    <cellStyle name="Процентный 4 10 3 2" xfId="16079"/>
    <cellStyle name="Процентный 4 10 3 2 2" xfId="48123"/>
    <cellStyle name="Процентный 4 10 3 3" xfId="26760"/>
    <cellStyle name="Процентный 4 10 3 3 2" xfId="58803"/>
    <cellStyle name="Процентный 4 10 3 4" xfId="37443"/>
    <cellStyle name="Процентный 4 10 4" xfId="10739"/>
    <cellStyle name="Процентный 4 10 4 2" xfId="42783"/>
    <cellStyle name="Процентный 4 10 5" xfId="21420"/>
    <cellStyle name="Процентный 4 10 5 2" xfId="53463"/>
    <cellStyle name="Процентный 4 10 6" xfId="32103"/>
    <cellStyle name="Процентный 4 100" xfId="2096"/>
    <cellStyle name="Процентный 4 100 2" xfId="7438"/>
    <cellStyle name="Процентный 4 100 2 2" xfId="18118"/>
    <cellStyle name="Процентный 4 100 2 2 2" xfId="50162"/>
    <cellStyle name="Процентный 4 100 2 3" xfId="28799"/>
    <cellStyle name="Процентный 4 100 2 3 2" xfId="60842"/>
    <cellStyle name="Процентный 4 100 2 4" xfId="39482"/>
    <cellStyle name="Процентный 4 100 3" xfId="12778"/>
    <cellStyle name="Процентный 4 100 3 2" xfId="44822"/>
    <cellStyle name="Процентный 4 100 4" xfId="23459"/>
    <cellStyle name="Процентный 4 100 4 2" xfId="55502"/>
    <cellStyle name="Процентный 4 100 5" xfId="34142"/>
    <cellStyle name="Процентный 4 101" xfId="2126"/>
    <cellStyle name="Процентный 4 101 2" xfId="7468"/>
    <cellStyle name="Процентный 4 101 2 2" xfId="18148"/>
    <cellStyle name="Процентный 4 101 2 2 2" xfId="50192"/>
    <cellStyle name="Процентный 4 101 2 3" xfId="28829"/>
    <cellStyle name="Процентный 4 101 2 3 2" xfId="60872"/>
    <cellStyle name="Процентный 4 101 2 4" xfId="39512"/>
    <cellStyle name="Процентный 4 101 3" xfId="12808"/>
    <cellStyle name="Процентный 4 101 3 2" xfId="44852"/>
    <cellStyle name="Процентный 4 101 4" xfId="23489"/>
    <cellStyle name="Процентный 4 101 4 2" xfId="55532"/>
    <cellStyle name="Процентный 4 101 5" xfId="34172"/>
    <cellStyle name="Процентный 4 102" xfId="2156"/>
    <cellStyle name="Процентный 4 102 2" xfId="7498"/>
    <cellStyle name="Процентный 4 102 2 2" xfId="18178"/>
    <cellStyle name="Процентный 4 102 2 2 2" xfId="50222"/>
    <cellStyle name="Процентный 4 102 2 3" xfId="28859"/>
    <cellStyle name="Процентный 4 102 2 3 2" xfId="60902"/>
    <cellStyle name="Процентный 4 102 2 4" xfId="39542"/>
    <cellStyle name="Процентный 4 102 3" xfId="12838"/>
    <cellStyle name="Процентный 4 102 3 2" xfId="44882"/>
    <cellStyle name="Процентный 4 102 4" xfId="23519"/>
    <cellStyle name="Процентный 4 102 4 2" xfId="55562"/>
    <cellStyle name="Процентный 4 102 5" xfId="34202"/>
    <cellStyle name="Процентный 4 103" xfId="2186"/>
    <cellStyle name="Процентный 4 103 2" xfId="7528"/>
    <cellStyle name="Процентный 4 103 2 2" xfId="18208"/>
    <cellStyle name="Процентный 4 103 2 2 2" xfId="50252"/>
    <cellStyle name="Процентный 4 103 2 3" xfId="28889"/>
    <cellStyle name="Процентный 4 103 2 3 2" xfId="60932"/>
    <cellStyle name="Процентный 4 103 2 4" xfId="39572"/>
    <cellStyle name="Процентный 4 103 3" xfId="12868"/>
    <cellStyle name="Процентный 4 103 3 2" xfId="44912"/>
    <cellStyle name="Процентный 4 103 4" xfId="23549"/>
    <cellStyle name="Процентный 4 103 4 2" xfId="55592"/>
    <cellStyle name="Процентный 4 103 5" xfId="34232"/>
    <cellStyle name="Процентный 4 104" xfId="2216"/>
    <cellStyle name="Процентный 4 104 2" xfId="7558"/>
    <cellStyle name="Процентный 4 104 2 2" xfId="18238"/>
    <cellStyle name="Процентный 4 104 2 2 2" xfId="50282"/>
    <cellStyle name="Процентный 4 104 2 3" xfId="28919"/>
    <cellStyle name="Процентный 4 104 2 3 2" xfId="60962"/>
    <cellStyle name="Процентный 4 104 2 4" xfId="39602"/>
    <cellStyle name="Процентный 4 104 3" xfId="12898"/>
    <cellStyle name="Процентный 4 104 3 2" xfId="44942"/>
    <cellStyle name="Процентный 4 104 4" xfId="23579"/>
    <cellStyle name="Процентный 4 104 4 2" xfId="55622"/>
    <cellStyle name="Процентный 4 104 5" xfId="34262"/>
    <cellStyle name="Процентный 4 105" xfId="2246"/>
    <cellStyle name="Процентный 4 105 2" xfId="7588"/>
    <cellStyle name="Процентный 4 105 2 2" xfId="18268"/>
    <cellStyle name="Процентный 4 105 2 2 2" xfId="50312"/>
    <cellStyle name="Процентный 4 105 2 3" xfId="28949"/>
    <cellStyle name="Процентный 4 105 2 3 2" xfId="60992"/>
    <cellStyle name="Процентный 4 105 2 4" xfId="39632"/>
    <cellStyle name="Процентный 4 105 3" xfId="12928"/>
    <cellStyle name="Процентный 4 105 3 2" xfId="44972"/>
    <cellStyle name="Процентный 4 105 4" xfId="23609"/>
    <cellStyle name="Процентный 4 105 4 2" xfId="55652"/>
    <cellStyle name="Процентный 4 105 5" xfId="34292"/>
    <cellStyle name="Процентный 4 106" xfId="2276"/>
    <cellStyle name="Процентный 4 106 2" xfId="7618"/>
    <cellStyle name="Процентный 4 106 2 2" xfId="18298"/>
    <cellStyle name="Процентный 4 106 2 2 2" xfId="50342"/>
    <cellStyle name="Процентный 4 106 2 3" xfId="28979"/>
    <cellStyle name="Процентный 4 106 2 3 2" xfId="61022"/>
    <cellStyle name="Процентный 4 106 2 4" xfId="39662"/>
    <cellStyle name="Процентный 4 106 3" xfId="12958"/>
    <cellStyle name="Процентный 4 106 3 2" xfId="45002"/>
    <cellStyle name="Процентный 4 106 4" xfId="23639"/>
    <cellStyle name="Процентный 4 106 4 2" xfId="55682"/>
    <cellStyle name="Процентный 4 106 5" xfId="34322"/>
    <cellStyle name="Процентный 4 107" xfId="2306"/>
    <cellStyle name="Процентный 4 107 2" xfId="7648"/>
    <cellStyle name="Процентный 4 107 2 2" xfId="18328"/>
    <cellStyle name="Процентный 4 107 2 2 2" xfId="50372"/>
    <cellStyle name="Процентный 4 107 2 3" xfId="29009"/>
    <cellStyle name="Процентный 4 107 2 3 2" xfId="61052"/>
    <cellStyle name="Процентный 4 107 2 4" xfId="39692"/>
    <cellStyle name="Процентный 4 107 3" xfId="12988"/>
    <cellStyle name="Процентный 4 107 3 2" xfId="45032"/>
    <cellStyle name="Процентный 4 107 4" xfId="23669"/>
    <cellStyle name="Процентный 4 107 4 2" xfId="55712"/>
    <cellStyle name="Процентный 4 107 5" xfId="34352"/>
    <cellStyle name="Процентный 4 108" xfId="2336"/>
    <cellStyle name="Процентный 4 108 2" xfId="7678"/>
    <cellStyle name="Процентный 4 108 2 2" xfId="18358"/>
    <cellStyle name="Процентный 4 108 2 2 2" xfId="50402"/>
    <cellStyle name="Процентный 4 108 2 3" xfId="29039"/>
    <cellStyle name="Процентный 4 108 2 3 2" xfId="61082"/>
    <cellStyle name="Процентный 4 108 2 4" xfId="39722"/>
    <cellStyle name="Процентный 4 108 3" xfId="13018"/>
    <cellStyle name="Процентный 4 108 3 2" xfId="45062"/>
    <cellStyle name="Процентный 4 108 4" xfId="23699"/>
    <cellStyle name="Процентный 4 108 4 2" xfId="55742"/>
    <cellStyle name="Процентный 4 108 5" xfId="34382"/>
    <cellStyle name="Процентный 4 109" xfId="2366"/>
    <cellStyle name="Процентный 4 109 2" xfId="7708"/>
    <cellStyle name="Процентный 4 109 2 2" xfId="18388"/>
    <cellStyle name="Процентный 4 109 2 2 2" xfId="50432"/>
    <cellStyle name="Процентный 4 109 2 3" xfId="29069"/>
    <cellStyle name="Процентный 4 109 2 3 2" xfId="61112"/>
    <cellStyle name="Процентный 4 109 2 4" xfId="39752"/>
    <cellStyle name="Процентный 4 109 3" xfId="13048"/>
    <cellStyle name="Процентный 4 109 3 2" xfId="45092"/>
    <cellStyle name="Процентный 4 109 4" xfId="23729"/>
    <cellStyle name="Процентный 4 109 4 2" xfId="55772"/>
    <cellStyle name="Процентный 4 109 5" xfId="34412"/>
    <cellStyle name="Процентный 4 11" xfId="59"/>
    <cellStyle name="Процентный 4 11 2" xfId="527"/>
    <cellStyle name="Процентный 4 11 2 2" xfId="5870"/>
    <cellStyle name="Процентный 4 11 2 2 2" xfId="16550"/>
    <cellStyle name="Процентный 4 11 2 2 2 2" xfId="48594"/>
    <cellStyle name="Процентный 4 11 2 2 3" xfId="27231"/>
    <cellStyle name="Процентный 4 11 2 2 3 2" xfId="59274"/>
    <cellStyle name="Процентный 4 11 2 2 4" xfId="37914"/>
    <cellStyle name="Процентный 4 11 2 3" xfId="11210"/>
    <cellStyle name="Процентный 4 11 2 3 2" xfId="43254"/>
    <cellStyle name="Процентный 4 11 2 4" xfId="21891"/>
    <cellStyle name="Процентный 4 11 2 4 2" xfId="53934"/>
    <cellStyle name="Процентный 4 11 2 5" xfId="32574"/>
    <cellStyle name="Процентный 4 11 3" xfId="5403"/>
    <cellStyle name="Процентный 4 11 3 2" xfId="16083"/>
    <cellStyle name="Процентный 4 11 3 2 2" xfId="48127"/>
    <cellStyle name="Процентный 4 11 3 3" xfId="26764"/>
    <cellStyle name="Процентный 4 11 3 3 2" xfId="58807"/>
    <cellStyle name="Процентный 4 11 3 4" xfId="37447"/>
    <cellStyle name="Процентный 4 11 4" xfId="10743"/>
    <cellStyle name="Процентный 4 11 4 2" xfId="42787"/>
    <cellStyle name="Процентный 4 11 5" xfId="21424"/>
    <cellStyle name="Процентный 4 11 5 2" xfId="53467"/>
    <cellStyle name="Процентный 4 11 6" xfId="32107"/>
    <cellStyle name="Процентный 4 110" xfId="2396"/>
    <cellStyle name="Процентный 4 110 2" xfId="7738"/>
    <cellStyle name="Процентный 4 110 2 2" xfId="18418"/>
    <cellStyle name="Процентный 4 110 2 2 2" xfId="50462"/>
    <cellStyle name="Процентный 4 110 2 3" xfId="29099"/>
    <cellStyle name="Процентный 4 110 2 3 2" xfId="61142"/>
    <cellStyle name="Процентный 4 110 2 4" xfId="39782"/>
    <cellStyle name="Процентный 4 110 3" xfId="13078"/>
    <cellStyle name="Процентный 4 110 3 2" xfId="45122"/>
    <cellStyle name="Процентный 4 110 4" xfId="23759"/>
    <cellStyle name="Процентный 4 110 4 2" xfId="55802"/>
    <cellStyle name="Процентный 4 110 5" xfId="34442"/>
    <cellStyle name="Процентный 4 111" xfId="2426"/>
    <cellStyle name="Процентный 4 111 2" xfId="7768"/>
    <cellStyle name="Процентный 4 111 2 2" xfId="18448"/>
    <cellStyle name="Процентный 4 111 2 2 2" xfId="50492"/>
    <cellStyle name="Процентный 4 111 2 3" xfId="29129"/>
    <cellStyle name="Процентный 4 111 2 3 2" xfId="61172"/>
    <cellStyle name="Процентный 4 111 2 4" xfId="39812"/>
    <cellStyle name="Процентный 4 111 3" xfId="13108"/>
    <cellStyle name="Процентный 4 111 3 2" xfId="45152"/>
    <cellStyle name="Процентный 4 111 4" xfId="23789"/>
    <cellStyle name="Процентный 4 111 4 2" xfId="55832"/>
    <cellStyle name="Процентный 4 111 5" xfId="34472"/>
    <cellStyle name="Процентный 4 112" xfId="2456"/>
    <cellStyle name="Процентный 4 112 2" xfId="7798"/>
    <cellStyle name="Процентный 4 112 2 2" xfId="18478"/>
    <cellStyle name="Процентный 4 112 2 2 2" xfId="50522"/>
    <cellStyle name="Процентный 4 112 2 3" xfId="29159"/>
    <cellStyle name="Процентный 4 112 2 3 2" xfId="61202"/>
    <cellStyle name="Процентный 4 112 2 4" xfId="39842"/>
    <cellStyle name="Процентный 4 112 3" xfId="13138"/>
    <cellStyle name="Процентный 4 112 3 2" xfId="45182"/>
    <cellStyle name="Процентный 4 112 4" xfId="23819"/>
    <cellStyle name="Процентный 4 112 4 2" xfId="55862"/>
    <cellStyle name="Процентный 4 112 5" xfId="34502"/>
    <cellStyle name="Процентный 4 113" xfId="2488"/>
    <cellStyle name="Процентный 4 113 2" xfId="7830"/>
    <cellStyle name="Процентный 4 113 2 2" xfId="18510"/>
    <cellStyle name="Процентный 4 113 2 2 2" xfId="50554"/>
    <cellStyle name="Процентный 4 113 2 3" xfId="29191"/>
    <cellStyle name="Процентный 4 113 2 3 2" xfId="61234"/>
    <cellStyle name="Процентный 4 113 2 4" xfId="39874"/>
    <cellStyle name="Процентный 4 113 3" xfId="13170"/>
    <cellStyle name="Процентный 4 113 3 2" xfId="45214"/>
    <cellStyle name="Процентный 4 113 4" xfId="23851"/>
    <cellStyle name="Процентный 4 113 4 2" xfId="55894"/>
    <cellStyle name="Процентный 4 113 5" xfId="34534"/>
    <cellStyle name="Процентный 4 114" xfId="2522"/>
    <cellStyle name="Процентный 4 114 2" xfId="7864"/>
    <cellStyle name="Процентный 4 114 2 2" xfId="18544"/>
    <cellStyle name="Процентный 4 114 2 2 2" xfId="50588"/>
    <cellStyle name="Процентный 4 114 2 3" xfId="29225"/>
    <cellStyle name="Процентный 4 114 2 3 2" xfId="61268"/>
    <cellStyle name="Процентный 4 114 2 4" xfId="39908"/>
    <cellStyle name="Процентный 4 114 3" xfId="13204"/>
    <cellStyle name="Процентный 4 114 3 2" xfId="45248"/>
    <cellStyle name="Процентный 4 114 4" xfId="23885"/>
    <cellStyle name="Процентный 4 114 4 2" xfId="55928"/>
    <cellStyle name="Процентный 4 114 5" xfId="34568"/>
    <cellStyle name="Процентный 4 115" xfId="2554"/>
    <cellStyle name="Процентный 4 115 2" xfId="7896"/>
    <cellStyle name="Процентный 4 115 2 2" xfId="18576"/>
    <cellStyle name="Процентный 4 115 2 2 2" xfId="50620"/>
    <cellStyle name="Процентный 4 115 2 3" xfId="29257"/>
    <cellStyle name="Процентный 4 115 2 3 2" xfId="61300"/>
    <cellStyle name="Процентный 4 115 2 4" xfId="39940"/>
    <cellStyle name="Процентный 4 115 3" xfId="13236"/>
    <cellStyle name="Процентный 4 115 3 2" xfId="45280"/>
    <cellStyle name="Процентный 4 115 4" xfId="23917"/>
    <cellStyle name="Процентный 4 115 4 2" xfId="55960"/>
    <cellStyle name="Процентный 4 115 5" xfId="34600"/>
    <cellStyle name="Процентный 4 116" xfId="2586"/>
    <cellStyle name="Процентный 4 116 2" xfId="7928"/>
    <cellStyle name="Процентный 4 116 2 2" xfId="18608"/>
    <cellStyle name="Процентный 4 116 2 2 2" xfId="50652"/>
    <cellStyle name="Процентный 4 116 2 3" xfId="29289"/>
    <cellStyle name="Процентный 4 116 2 3 2" xfId="61332"/>
    <cellStyle name="Процентный 4 116 2 4" xfId="39972"/>
    <cellStyle name="Процентный 4 116 3" xfId="13268"/>
    <cellStyle name="Процентный 4 116 3 2" xfId="45312"/>
    <cellStyle name="Процентный 4 116 4" xfId="23949"/>
    <cellStyle name="Процентный 4 116 4 2" xfId="55992"/>
    <cellStyle name="Процентный 4 116 5" xfId="34632"/>
    <cellStyle name="Процентный 4 117" xfId="2618"/>
    <cellStyle name="Процентный 4 117 2" xfId="7960"/>
    <cellStyle name="Процентный 4 117 2 2" xfId="18640"/>
    <cellStyle name="Процентный 4 117 2 2 2" xfId="50684"/>
    <cellStyle name="Процентный 4 117 2 3" xfId="29321"/>
    <cellStyle name="Процентный 4 117 2 3 2" xfId="61364"/>
    <cellStyle name="Процентный 4 117 2 4" xfId="40004"/>
    <cellStyle name="Процентный 4 117 3" xfId="13300"/>
    <cellStyle name="Процентный 4 117 3 2" xfId="45344"/>
    <cellStyle name="Процентный 4 117 4" xfId="23981"/>
    <cellStyle name="Процентный 4 117 4 2" xfId="56024"/>
    <cellStyle name="Процентный 4 117 5" xfId="34664"/>
    <cellStyle name="Процентный 4 118" xfId="2650"/>
    <cellStyle name="Процентный 4 118 2" xfId="7992"/>
    <cellStyle name="Процентный 4 118 2 2" xfId="18672"/>
    <cellStyle name="Процентный 4 118 2 2 2" xfId="50716"/>
    <cellStyle name="Процентный 4 118 2 3" xfId="29353"/>
    <cellStyle name="Процентный 4 118 2 3 2" xfId="61396"/>
    <cellStyle name="Процентный 4 118 2 4" xfId="40036"/>
    <cellStyle name="Процентный 4 118 3" xfId="13332"/>
    <cellStyle name="Процентный 4 118 3 2" xfId="45376"/>
    <cellStyle name="Процентный 4 118 4" xfId="24013"/>
    <cellStyle name="Процентный 4 118 4 2" xfId="56056"/>
    <cellStyle name="Процентный 4 118 5" xfId="34696"/>
    <cellStyle name="Процентный 4 119" xfId="2682"/>
    <cellStyle name="Процентный 4 119 2" xfId="8024"/>
    <cellStyle name="Процентный 4 119 2 2" xfId="18704"/>
    <cellStyle name="Процентный 4 119 2 2 2" xfId="50748"/>
    <cellStyle name="Процентный 4 119 2 3" xfId="29385"/>
    <cellStyle name="Процентный 4 119 2 3 2" xfId="61428"/>
    <cellStyle name="Процентный 4 119 2 4" xfId="40068"/>
    <cellStyle name="Процентный 4 119 3" xfId="13364"/>
    <cellStyle name="Процентный 4 119 3 2" xfId="45408"/>
    <cellStyle name="Процентный 4 119 4" xfId="24045"/>
    <cellStyle name="Процентный 4 119 4 2" xfId="56088"/>
    <cellStyle name="Процентный 4 119 5" xfId="34728"/>
    <cellStyle name="Процентный 4 12" xfId="63"/>
    <cellStyle name="Процентный 4 12 2" xfId="531"/>
    <cellStyle name="Процентный 4 12 2 2" xfId="5874"/>
    <cellStyle name="Процентный 4 12 2 2 2" xfId="16554"/>
    <cellStyle name="Процентный 4 12 2 2 2 2" xfId="48598"/>
    <cellStyle name="Процентный 4 12 2 2 3" xfId="27235"/>
    <cellStyle name="Процентный 4 12 2 2 3 2" xfId="59278"/>
    <cellStyle name="Процентный 4 12 2 2 4" xfId="37918"/>
    <cellStyle name="Процентный 4 12 2 3" xfId="11214"/>
    <cellStyle name="Процентный 4 12 2 3 2" xfId="43258"/>
    <cellStyle name="Процентный 4 12 2 4" xfId="21895"/>
    <cellStyle name="Процентный 4 12 2 4 2" xfId="53938"/>
    <cellStyle name="Процентный 4 12 2 5" xfId="32578"/>
    <cellStyle name="Процентный 4 12 3" xfId="5407"/>
    <cellStyle name="Процентный 4 12 3 2" xfId="16087"/>
    <cellStyle name="Процентный 4 12 3 2 2" xfId="48131"/>
    <cellStyle name="Процентный 4 12 3 3" xfId="26768"/>
    <cellStyle name="Процентный 4 12 3 3 2" xfId="58811"/>
    <cellStyle name="Процентный 4 12 3 4" xfId="37451"/>
    <cellStyle name="Процентный 4 12 4" xfId="10747"/>
    <cellStyle name="Процентный 4 12 4 2" xfId="42791"/>
    <cellStyle name="Процентный 4 12 5" xfId="21428"/>
    <cellStyle name="Процентный 4 12 5 2" xfId="53471"/>
    <cellStyle name="Процентный 4 12 6" xfId="32111"/>
    <cellStyle name="Процентный 4 120" xfId="2714"/>
    <cellStyle name="Процентный 4 120 2" xfId="8056"/>
    <cellStyle name="Процентный 4 120 2 2" xfId="18736"/>
    <cellStyle name="Процентный 4 120 2 2 2" xfId="50780"/>
    <cellStyle name="Процентный 4 120 2 3" xfId="29417"/>
    <cellStyle name="Процентный 4 120 2 3 2" xfId="61460"/>
    <cellStyle name="Процентный 4 120 2 4" xfId="40100"/>
    <cellStyle name="Процентный 4 120 3" xfId="13396"/>
    <cellStyle name="Процентный 4 120 3 2" xfId="45440"/>
    <cellStyle name="Процентный 4 120 4" xfId="24077"/>
    <cellStyle name="Процентный 4 120 4 2" xfId="56120"/>
    <cellStyle name="Процентный 4 120 5" xfId="34760"/>
    <cellStyle name="Процентный 4 121" xfId="2748"/>
    <cellStyle name="Процентный 4 121 2" xfId="8090"/>
    <cellStyle name="Процентный 4 121 2 2" xfId="18770"/>
    <cellStyle name="Процентный 4 121 2 2 2" xfId="50814"/>
    <cellStyle name="Процентный 4 121 2 3" xfId="29451"/>
    <cellStyle name="Процентный 4 121 2 3 2" xfId="61494"/>
    <cellStyle name="Процентный 4 121 2 4" xfId="40134"/>
    <cellStyle name="Процентный 4 121 3" xfId="13430"/>
    <cellStyle name="Процентный 4 121 3 2" xfId="45474"/>
    <cellStyle name="Процентный 4 121 4" xfId="24111"/>
    <cellStyle name="Процентный 4 121 4 2" xfId="56154"/>
    <cellStyle name="Процентный 4 121 5" xfId="34794"/>
    <cellStyle name="Процентный 4 122" xfId="2780"/>
    <cellStyle name="Процентный 4 122 2" xfId="8122"/>
    <cellStyle name="Процентный 4 122 2 2" xfId="18802"/>
    <cellStyle name="Процентный 4 122 2 2 2" xfId="50846"/>
    <cellStyle name="Процентный 4 122 2 3" xfId="29483"/>
    <cellStyle name="Процентный 4 122 2 3 2" xfId="61526"/>
    <cellStyle name="Процентный 4 122 2 4" xfId="40166"/>
    <cellStyle name="Процентный 4 122 3" xfId="13462"/>
    <cellStyle name="Процентный 4 122 3 2" xfId="45506"/>
    <cellStyle name="Процентный 4 122 4" xfId="24143"/>
    <cellStyle name="Процентный 4 122 4 2" xfId="56186"/>
    <cellStyle name="Процентный 4 122 5" xfId="34826"/>
    <cellStyle name="Процентный 4 123" xfId="2812"/>
    <cellStyle name="Процентный 4 123 2" xfId="8154"/>
    <cellStyle name="Процентный 4 123 2 2" xfId="18834"/>
    <cellStyle name="Процентный 4 123 2 2 2" xfId="50878"/>
    <cellStyle name="Процентный 4 123 2 3" xfId="29515"/>
    <cellStyle name="Процентный 4 123 2 3 2" xfId="61558"/>
    <cellStyle name="Процентный 4 123 2 4" xfId="40198"/>
    <cellStyle name="Процентный 4 123 3" xfId="13494"/>
    <cellStyle name="Процентный 4 123 3 2" xfId="45538"/>
    <cellStyle name="Процентный 4 123 4" xfId="24175"/>
    <cellStyle name="Процентный 4 123 4 2" xfId="56218"/>
    <cellStyle name="Процентный 4 123 5" xfId="34858"/>
    <cellStyle name="Процентный 4 124" xfId="2844"/>
    <cellStyle name="Процентный 4 124 2" xfId="8186"/>
    <cellStyle name="Процентный 4 124 2 2" xfId="18866"/>
    <cellStyle name="Процентный 4 124 2 2 2" xfId="50910"/>
    <cellStyle name="Процентный 4 124 2 3" xfId="29547"/>
    <cellStyle name="Процентный 4 124 2 3 2" xfId="61590"/>
    <cellStyle name="Процентный 4 124 2 4" xfId="40230"/>
    <cellStyle name="Процентный 4 124 3" xfId="13526"/>
    <cellStyle name="Процентный 4 124 3 2" xfId="45570"/>
    <cellStyle name="Процентный 4 124 4" xfId="24207"/>
    <cellStyle name="Процентный 4 124 4 2" xfId="56250"/>
    <cellStyle name="Процентный 4 124 5" xfId="34890"/>
    <cellStyle name="Процентный 4 125" xfId="2876"/>
    <cellStyle name="Процентный 4 125 2" xfId="8218"/>
    <cellStyle name="Процентный 4 125 2 2" xfId="18898"/>
    <cellStyle name="Процентный 4 125 2 2 2" xfId="50942"/>
    <cellStyle name="Процентный 4 125 2 3" xfId="29579"/>
    <cellStyle name="Процентный 4 125 2 3 2" xfId="61622"/>
    <cellStyle name="Процентный 4 125 2 4" xfId="40262"/>
    <cellStyle name="Процентный 4 125 3" xfId="13558"/>
    <cellStyle name="Процентный 4 125 3 2" xfId="45602"/>
    <cellStyle name="Процентный 4 125 4" xfId="24239"/>
    <cellStyle name="Процентный 4 125 4 2" xfId="56282"/>
    <cellStyle name="Процентный 4 125 5" xfId="34922"/>
    <cellStyle name="Процентный 4 126" xfId="2908"/>
    <cellStyle name="Процентный 4 126 2" xfId="8250"/>
    <cellStyle name="Процентный 4 126 2 2" xfId="18930"/>
    <cellStyle name="Процентный 4 126 2 2 2" xfId="50974"/>
    <cellStyle name="Процентный 4 126 2 3" xfId="29611"/>
    <cellStyle name="Процентный 4 126 2 3 2" xfId="61654"/>
    <cellStyle name="Процентный 4 126 2 4" xfId="40294"/>
    <cellStyle name="Процентный 4 126 3" xfId="13590"/>
    <cellStyle name="Процентный 4 126 3 2" xfId="45634"/>
    <cellStyle name="Процентный 4 126 4" xfId="24271"/>
    <cellStyle name="Процентный 4 126 4 2" xfId="56314"/>
    <cellStyle name="Процентный 4 126 5" xfId="34954"/>
    <cellStyle name="Процентный 4 127" xfId="2940"/>
    <cellStyle name="Процентный 4 127 2" xfId="8282"/>
    <cellStyle name="Процентный 4 127 2 2" xfId="18962"/>
    <cellStyle name="Процентный 4 127 2 2 2" xfId="51006"/>
    <cellStyle name="Процентный 4 127 2 3" xfId="29643"/>
    <cellStyle name="Процентный 4 127 2 3 2" xfId="61686"/>
    <cellStyle name="Процентный 4 127 2 4" xfId="40326"/>
    <cellStyle name="Процентный 4 127 3" xfId="13622"/>
    <cellStyle name="Процентный 4 127 3 2" xfId="45666"/>
    <cellStyle name="Процентный 4 127 4" xfId="24303"/>
    <cellStyle name="Процентный 4 127 4 2" xfId="56346"/>
    <cellStyle name="Процентный 4 127 5" xfId="34986"/>
    <cellStyle name="Процентный 4 128" xfId="2972"/>
    <cellStyle name="Процентный 4 128 2" xfId="8314"/>
    <cellStyle name="Процентный 4 128 2 2" xfId="18994"/>
    <cellStyle name="Процентный 4 128 2 2 2" xfId="51038"/>
    <cellStyle name="Процентный 4 128 2 3" xfId="29675"/>
    <cellStyle name="Процентный 4 128 2 3 2" xfId="61718"/>
    <cellStyle name="Процентный 4 128 2 4" xfId="40358"/>
    <cellStyle name="Процентный 4 128 3" xfId="13654"/>
    <cellStyle name="Процентный 4 128 3 2" xfId="45698"/>
    <cellStyle name="Процентный 4 128 4" xfId="24335"/>
    <cellStyle name="Процентный 4 128 4 2" xfId="56378"/>
    <cellStyle name="Процентный 4 128 5" xfId="35018"/>
    <cellStyle name="Процентный 4 129" xfId="3004"/>
    <cellStyle name="Процентный 4 129 2" xfId="8346"/>
    <cellStyle name="Процентный 4 129 2 2" xfId="19026"/>
    <cellStyle name="Процентный 4 129 2 2 2" xfId="51070"/>
    <cellStyle name="Процентный 4 129 2 3" xfId="29707"/>
    <cellStyle name="Процентный 4 129 2 3 2" xfId="61750"/>
    <cellStyle name="Процентный 4 129 2 4" xfId="40390"/>
    <cellStyle name="Процентный 4 129 3" xfId="13686"/>
    <cellStyle name="Процентный 4 129 3 2" xfId="45730"/>
    <cellStyle name="Процентный 4 129 4" xfId="24367"/>
    <cellStyle name="Процентный 4 129 4 2" xfId="56410"/>
    <cellStyle name="Процентный 4 129 5" xfId="35050"/>
    <cellStyle name="Процентный 4 13" xfId="67"/>
    <cellStyle name="Процентный 4 13 2" xfId="535"/>
    <cellStyle name="Процентный 4 13 2 2" xfId="5878"/>
    <cellStyle name="Процентный 4 13 2 2 2" xfId="16558"/>
    <cellStyle name="Процентный 4 13 2 2 2 2" xfId="48602"/>
    <cellStyle name="Процентный 4 13 2 2 3" xfId="27239"/>
    <cellStyle name="Процентный 4 13 2 2 3 2" xfId="59282"/>
    <cellStyle name="Процентный 4 13 2 2 4" xfId="37922"/>
    <cellStyle name="Процентный 4 13 2 3" xfId="11218"/>
    <cellStyle name="Процентный 4 13 2 3 2" xfId="43262"/>
    <cellStyle name="Процентный 4 13 2 4" xfId="21899"/>
    <cellStyle name="Процентный 4 13 2 4 2" xfId="53942"/>
    <cellStyle name="Процентный 4 13 2 5" xfId="32582"/>
    <cellStyle name="Процентный 4 13 3" xfId="5411"/>
    <cellStyle name="Процентный 4 13 3 2" xfId="16091"/>
    <cellStyle name="Процентный 4 13 3 2 2" xfId="48135"/>
    <cellStyle name="Процентный 4 13 3 3" xfId="26772"/>
    <cellStyle name="Процентный 4 13 3 3 2" xfId="58815"/>
    <cellStyle name="Процентный 4 13 3 4" xfId="37455"/>
    <cellStyle name="Процентный 4 13 4" xfId="10751"/>
    <cellStyle name="Процентный 4 13 4 2" xfId="42795"/>
    <cellStyle name="Процентный 4 13 5" xfId="21432"/>
    <cellStyle name="Процентный 4 13 5 2" xfId="53475"/>
    <cellStyle name="Процентный 4 13 6" xfId="32115"/>
    <cellStyle name="Процентный 4 130" xfId="3036"/>
    <cellStyle name="Процентный 4 130 2" xfId="8378"/>
    <cellStyle name="Процентный 4 130 2 2" xfId="19058"/>
    <cellStyle name="Процентный 4 130 2 2 2" xfId="51102"/>
    <cellStyle name="Процентный 4 130 2 3" xfId="29739"/>
    <cellStyle name="Процентный 4 130 2 3 2" xfId="61782"/>
    <cellStyle name="Процентный 4 130 2 4" xfId="40422"/>
    <cellStyle name="Процентный 4 130 3" xfId="13718"/>
    <cellStyle name="Процентный 4 130 3 2" xfId="45762"/>
    <cellStyle name="Процентный 4 130 4" xfId="24399"/>
    <cellStyle name="Процентный 4 130 4 2" xfId="56442"/>
    <cellStyle name="Процентный 4 130 5" xfId="35082"/>
    <cellStyle name="Процентный 4 131" xfId="3068"/>
    <cellStyle name="Процентный 4 131 2" xfId="8410"/>
    <cellStyle name="Процентный 4 131 2 2" xfId="19090"/>
    <cellStyle name="Процентный 4 131 2 2 2" xfId="51134"/>
    <cellStyle name="Процентный 4 131 2 3" xfId="29771"/>
    <cellStyle name="Процентный 4 131 2 3 2" xfId="61814"/>
    <cellStyle name="Процентный 4 131 2 4" xfId="40454"/>
    <cellStyle name="Процентный 4 131 3" xfId="13750"/>
    <cellStyle name="Процентный 4 131 3 2" xfId="45794"/>
    <cellStyle name="Процентный 4 131 4" xfId="24431"/>
    <cellStyle name="Процентный 4 131 4 2" xfId="56474"/>
    <cellStyle name="Процентный 4 131 5" xfId="35114"/>
    <cellStyle name="Процентный 4 132" xfId="3101"/>
    <cellStyle name="Процентный 4 132 2" xfId="8442"/>
    <cellStyle name="Процентный 4 132 2 2" xfId="19122"/>
    <cellStyle name="Процентный 4 132 2 2 2" xfId="51166"/>
    <cellStyle name="Процентный 4 132 2 3" xfId="29803"/>
    <cellStyle name="Процентный 4 132 2 3 2" xfId="61846"/>
    <cellStyle name="Процентный 4 132 2 4" xfId="40486"/>
    <cellStyle name="Процентный 4 132 3" xfId="13782"/>
    <cellStyle name="Процентный 4 132 3 2" xfId="45826"/>
    <cellStyle name="Процентный 4 132 4" xfId="24463"/>
    <cellStyle name="Процентный 4 132 4 2" xfId="56506"/>
    <cellStyle name="Процентный 4 132 5" xfId="35146"/>
    <cellStyle name="Процентный 4 133" xfId="3133"/>
    <cellStyle name="Процентный 4 133 2" xfId="8474"/>
    <cellStyle name="Процентный 4 133 2 2" xfId="19154"/>
    <cellStyle name="Процентный 4 133 2 2 2" xfId="51198"/>
    <cellStyle name="Процентный 4 133 2 3" xfId="29835"/>
    <cellStyle name="Процентный 4 133 2 3 2" xfId="61878"/>
    <cellStyle name="Процентный 4 133 2 4" xfId="40518"/>
    <cellStyle name="Процентный 4 133 3" xfId="13814"/>
    <cellStyle name="Процентный 4 133 3 2" xfId="45858"/>
    <cellStyle name="Процентный 4 133 4" xfId="24495"/>
    <cellStyle name="Процентный 4 133 4 2" xfId="56538"/>
    <cellStyle name="Процентный 4 133 5" xfId="35178"/>
    <cellStyle name="Процентный 4 134" xfId="3165"/>
    <cellStyle name="Процентный 4 134 2" xfId="8506"/>
    <cellStyle name="Процентный 4 134 2 2" xfId="19186"/>
    <cellStyle name="Процентный 4 134 2 2 2" xfId="51230"/>
    <cellStyle name="Процентный 4 134 2 3" xfId="29867"/>
    <cellStyle name="Процентный 4 134 2 3 2" xfId="61910"/>
    <cellStyle name="Процентный 4 134 2 4" xfId="40550"/>
    <cellStyle name="Процентный 4 134 3" xfId="13846"/>
    <cellStyle name="Процентный 4 134 3 2" xfId="45890"/>
    <cellStyle name="Процентный 4 134 4" xfId="24527"/>
    <cellStyle name="Процентный 4 134 4 2" xfId="56570"/>
    <cellStyle name="Процентный 4 134 5" xfId="35210"/>
    <cellStyle name="Процентный 4 135" xfId="3197"/>
    <cellStyle name="Процентный 4 135 2" xfId="8538"/>
    <cellStyle name="Процентный 4 135 2 2" xfId="19218"/>
    <cellStyle name="Процентный 4 135 2 2 2" xfId="51262"/>
    <cellStyle name="Процентный 4 135 2 3" xfId="29899"/>
    <cellStyle name="Процентный 4 135 2 3 2" xfId="61942"/>
    <cellStyle name="Процентный 4 135 2 4" xfId="40582"/>
    <cellStyle name="Процентный 4 135 3" xfId="13878"/>
    <cellStyle name="Процентный 4 135 3 2" xfId="45922"/>
    <cellStyle name="Процентный 4 135 4" xfId="24559"/>
    <cellStyle name="Процентный 4 135 4 2" xfId="56602"/>
    <cellStyle name="Процентный 4 135 5" xfId="35242"/>
    <cellStyle name="Процентный 4 136" xfId="3229"/>
    <cellStyle name="Процентный 4 136 2" xfId="8570"/>
    <cellStyle name="Процентный 4 136 2 2" xfId="19250"/>
    <cellStyle name="Процентный 4 136 2 2 2" xfId="51294"/>
    <cellStyle name="Процентный 4 136 2 3" xfId="29931"/>
    <cellStyle name="Процентный 4 136 2 3 2" xfId="61974"/>
    <cellStyle name="Процентный 4 136 2 4" xfId="40614"/>
    <cellStyle name="Процентный 4 136 3" xfId="13910"/>
    <cellStyle name="Процентный 4 136 3 2" xfId="45954"/>
    <cellStyle name="Процентный 4 136 4" xfId="24591"/>
    <cellStyle name="Процентный 4 136 4 2" xfId="56634"/>
    <cellStyle name="Процентный 4 136 5" xfId="35274"/>
    <cellStyle name="Процентный 4 137" xfId="3261"/>
    <cellStyle name="Процентный 4 137 2" xfId="8602"/>
    <cellStyle name="Процентный 4 137 2 2" xfId="19282"/>
    <cellStyle name="Процентный 4 137 2 2 2" xfId="51326"/>
    <cellStyle name="Процентный 4 137 2 3" xfId="29963"/>
    <cellStyle name="Процентный 4 137 2 3 2" xfId="62006"/>
    <cellStyle name="Процентный 4 137 2 4" xfId="40646"/>
    <cellStyle name="Процентный 4 137 3" xfId="13942"/>
    <cellStyle name="Процентный 4 137 3 2" xfId="45986"/>
    <cellStyle name="Процентный 4 137 4" xfId="24623"/>
    <cellStyle name="Процентный 4 137 4 2" xfId="56666"/>
    <cellStyle name="Процентный 4 137 5" xfId="35306"/>
    <cellStyle name="Процентный 4 138" xfId="3293"/>
    <cellStyle name="Процентный 4 138 2" xfId="8634"/>
    <cellStyle name="Процентный 4 138 2 2" xfId="19314"/>
    <cellStyle name="Процентный 4 138 2 2 2" xfId="51358"/>
    <cellStyle name="Процентный 4 138 2 3" xfId="29995"/>
    <cellStyle name="Процентный 4 138 2 3 2" xfId="62038"/>
    <cellStyle name="Процентный 4 138 2 4" xfId="40678"/>
    <cellStyle name="Процентный 4 138 3" xfId="13974"/>
    <cellStyle name="Процентный 4 138 3 2" xfId="46018"/>
    <cellStyle name="Процентный 4 138 4" xfId="24655"/>
    <cellStyle name="Процентный 4 138 4 2" xfId="56698"/>
    <cellStyle name="Процентный 4 138 5" xfId="35338"/>
    <cellStyle name="Процентный 4 139" xfId="3325"/>
    <cellStyle name="Процентный 4 139 2" xfId="8666"/>
    <cellStyle name="Процентный 4 139 2 2" xfId="19346"/>
    <cellStyle name="Процентный 4 139 2 2 2" xfId="51390"/>
    <cellStyle name="Процентный 4 139 2 3" xfId="30027"/>
    <cellStyle name="Процентный 4 139 2 3 2" xfId="62070"/>
    <cellStyle name="Процентный 4 139 2 4" xfId="40710"/>
    <cellStyle name="Процентный 4 139 3" xfId="14006"/>
    <cellStyle name="Процентный 4 139 3 2" xfId="46050"/>
    <cellStyle name="Процентный 4 139 4" xfId="24687"/>
    <cellStyle name="Процентный 4 139 4 2" xfId="56730"/>
    <cellStyle name="Процентный 4 139 5" xfId="35370"/>
    <cellStyle name="Процентный 4 14" xfId="71"/>
    <cellStyle name="Процентный 4 14 2" xfId="539"/>
    <cellStyle name="Процентный 4 14 2 2" xfId="5882"/>
    <cellStyle name="Процентный 4 14 2 2 2" xfId="16562"/>
    <cellStyle name="Процентный 4 14 2 2 2 2" xfId="48606"/>
    <cellStyle name="Процентный 4 14 2 2 3" xfId="27243"/>
    <cellStyle name="Процентный 4 14 2 2 3 2" xfId="59286"/>
    <cellStyle name="Процентный 4 14 2 2 4" xfId="37926"/>
    <cellStyle name="Процентный 4 14 2 3" xfId="11222"/>
    <cellStyle name="Процентный 4 14 2 3 2" xfId="43266"/>
    <cellStyle name="Процентный 4 14 2 4" xfId="21903"/>
    <cellStyle name="Процентный 4 14 2 4 2" xfId="53946"/>
    <cellStyle name="Процентный 4 14 2 5" xfId="32586"/>
    <cellStyle name="Процентный 4 14 3" xfId="5415"/>
    <cellStyle name="Процентный 4 14 3 2" xfId="16095"/>
    <cellStyle name="Процентный 4 14 3 2 2" xfId="48139"/>
    <cellStyle name="Процентный 4 14 3 3" xfId="26776"/>
    <cellStyle name="Процентный 4 14 3 3 2" xfId="58819"/>
    <cellStyle name="Процентный 4 14 3 4" xfId="37459"/>
    <cellStyle name="Процентный 4 14 4" xfId="10755"/>
    <cellStyle name="Процентный 4 14 4 2" xfId="42799"/>
    <cellStyle name="Процентный 4 14 5" xfId="21436"/>
    <cellStyle name="Процентный 4 14 5 2" xfId="53479"/>
    <cellStyle name="Процентный 4 14 6" xfId="32119"/>
    <cellStyle name="Процентный 4 140" xfId="3357"/>
    <cellStyle name="Процентный 4 140 2" xfId="8698"/>
    <cellStyle name="Процентный 4 140 2 2" xfId="19378"/>
    <cellStyle name="Процентный 4 140 2 2 2" xfId="51422"/>
    <cellStyle name="Процентный 4 140 2 3" xfId="30059"/>
    <cellStyle name="Процентный 4 140 2 3 2" xfId="62102"/>
    <cellStyle name="Процентный 4 140 2 4" xfId="40742"/>
    <cellStyle name="Процентный 4 140 3" xfId="14038"/>
    <cellStyle name="Процентный 4 140 3 2" xfId="46082"/>
    <cellStyle name="Процентный 4 140 4" xfId="24719"/>
    <cellStyle name="Процентный 4 140 4 2" xfId="56762"/>
    <cellStyle name="Процентный 4 140 5" xfId="35402"/>
    <cellStyle name="Процентный 4 141" xfId="3389"/>
    <cellStyle name="Процентный 4 141 2" xfId="8730"/>
    <cellStyle name="Процентный 4 141 2 2" xfId="19410"/>
    <cellStyle name="Процентный 4 141 2 2 2" xfId="51454"/>
    <cellStyle name="Процентный 4 141 2 3" xfId="30091"/>
    <cellStyle name="Процентный 4 141 2 3 2" xfId="62134"/>
    <cellStyle name="Процентный 4 141 2 4" xfId="40774"/>
    <cellStyle name="Процентный 4 141 3" xfId="14070"/>
    <cellStyle name="Процентный 4 141 3 2" xfId="46114"/>
    <cellStyle name="Процентный 4 141 4" xfId="24751"/>
    <cellStyle name="Процентный 4 141 4 2" xfId="56794"/>
    <cellStyle name="Процентный 4 141 5" xfId="35434"/>
    <cellStyle name="Процентный 4 142" xfId="3421"/>
    <cellStyle name="Процентный 4 142 2" xfId="8762"/>
    <cellStyle name="Процентный 4 142 2 2" xfId="19442"/>
    <cellStyle name="Процентный 4 142 2 2 2" xfId="51486"/>
    <cellStyle name="Процентный 4 142 2 3" xfId="30123"/>
    <cellStyle name="Процентный 4 142 2 3 2" xfId="62166"/>
    <cellStyle name="Процентный 4 142 2 4" xfId="40806"/>
    <cellStyle name="Процентный 4 142 3" xfId="14102"/>
    <cellStyle name="Процентный 4 142 3 2" xfId="46146"/>
    <cellStyle name="Процентный 4 142 4" xfId="24783"/>
    <cellStyle name="Процентный 4 142 4 2" xfId="56826"/>
    <cellStyle name="Процентный 4 142 5" xfId="35466"/>
    <cellStyle name="Процентный 4 143" xfId="3453"/>
    <cellStyle name="Процентный 4 143 2" xfId="8794"/>
    <cellStyle name="Процентный 4 143 2 2" xfId="19474"/>
    <cellStyle name="Процентный 4 143 2 2 2" xfId="51518"/>
    <cellStyle name="Процентный 4 143 2 3" xfId="30155"/>
    <cellStyle name="Процентный 4 143 2 3 2" xfId="62198"/>
    <cellStyle name="Процентный 4 143 2 4" xfId="40838"/>
    <cellStyle name="Процентный 4 143 3" xfId="14134"/>
    <cellStyle name="Процентный 4 143 3 2" xfId="46178"/>
    <cellStyle name="Процентный 4 143 4" xfId="24815"/>
    <cellStyle name="Процентный 4 143 4 2" xfId="56858"/>
    <cellStyle name="Процентный 4 143 5" xfId="35498"/>
    <cellStyle name="Процентный 4 144" xfId="3485"/>
    <cellStyle name="Процентный 4 144 2" xfId="8826"/>
    <cellStyle name="Процентный 4 144 2 2" xfId="19506"/>
    <cellStyle name="Процентный 4 144 2 2 2" xfId="51550"/>
    <cellStyle name="Процентный 4 144 2 3" xfId="30187"/>
    <cellStyle name="Процентный 4 144 2 3 2" xfId="62230"/>
    <cellStyle name="Процентный 4 144 2 4" xfId="40870"/>
    <cellStyle name="Процентный 4 144 3" xfId="14166"/>
    <cellStyle name="Процентный 4 144 3 2" xfId="46210"/>
    <cellStyle name="Процентный 4 144 4" xfId="24847"/>
    <cellStyle name="Процентный 4 144 4 2" xfId="56890"/>
    <cellStyle name="Процентный 4 144 5" xfId="35530"/>
    <cellStyle name="Процентный 4 145" xfId="3517"/>
    <cellStyle name="Процентный 4 145 2" xfId="8858"/>
    <cellStyle name="Процентный 4 145 2 2" xfId="19538"/>
    <cellStyle name="Процентный 4 145 2 2 2" xfId="51582"/>
    <cellStyle name="Процентный 4 145 2 3" xfId="30219"/>
    <cellStyle name="Процентный 4 145 2 3 2" xfId="62262"/>
    <cellStyle name="Процентный 4 145 2 4" xfId="40902"/>
    <cellStyle name="Процентный 4 145 3" xfId="14198"/>
    <cellStyle name="Процентный 4 145 3 2" xfId="46242"/>
    <cellStyle name="Процентный 4 145 4" xfId="24879"/>
    <cellStyle name="Процентный 4 145 4 2" xfId="56922"/>
    <cellStyle name="Процентный 4 145 5" xfId="35562"/>
    <cellStyle name="Процентный 4 146" xfId="3549"/>
    <cellStyle name="Процентный 4 146 2" xfId="8890"/>
    <cellStyle name="Процентный 4 146 2 2" xfId="19570"/>
    <cellStyle name="Процентный 4 146 2 2 2" xfId="51614"/>
    <cellStyle name="Процентный 4 146 2 3" xfId="30251"/>
    <cellStyle name="Процентный 4 146 2 3 2" xfId="62294"/>
    <cellStyle name="Процентный 4 146 2 4" xfId="40934"/>
    <cellStyle name="Процентный 4 146 3" xfId="14230"/>
    <cellStyle name="Процентный 4 146 3 2" xfId="46274"/>
    <cellStyle name="Процентный 4 146 4" xfId="24911"/>
    <cellStyle name="Процентный 4 146 4 2" xfId="56954"/>
    <cellStyle name="Процентный 4 146 5" xfId="35594"/>
    <cellStyle name="Процентный 4 147" xfId="3581"/>
    <cellStyle name="Процентный 4 147 2" xfId="8922"/>
    <cellStyle name="Процентный 4 147 2 2" xfId="19602"/>
    <cellStyle name="Процентный 4 147 2 2 2" xfId="51646"/>
    <cellStyle name="Процентный 4 147 2 3" xfId="30283"/>
    <cellStyle name="Процентный 4 147 2 3 2" xfId="62326"/>
    <cellStyle name="Процентный 4 147 2 4" xfId="40966"/>
    <cellStyle name="Процентный 4 147 3" xfId="14262"/>
    <cellStyle name="Процентный 4 147 3 2" xfId="46306"/>
    <cellStyle name="Процентный 4 147 4" xfId="24943"/>
    <cellStyle name="Процентный 4 147 4 2" xfId="56986"/>
    <cellStyle name="Процентный 4 147 5" xfId="35626"/>
    <cellStyle name="Процентный 4 148" xfId="3613"/>
    <cellStyle name="Процентный 4 148 2" xfId="8954"/>
    <cellStyle name="Процентный 4 148 2 2" xfId="19634"/>
    <cellStyle name="Процентный 4 148 2 2 2" xfId="51678"/>
    <cellStyle name="Процентный 4 148 2 3" xfId="30315"/>
    <cellStyle name="Процентный 4 148 2 3 2" xfId="62358"/>
    <cellStyle name="Процентный 4 148 2 4" xfId="40998"/>
    <cellStyle name="Процентный 4 148 3" xfId="14294"/>
    <cellStyle name="Процентный 4 148 3 2" xfId="46338"/>
    <cellStyle name="Процентный 4 148 4" xfId="24975"/>
    <cellStyle name="Процентный 4 148 4 2" xfId="57018"/>
    <cellStyle name="Процентный 4 148 5" xfId="35658"/>
    <cellStyle name="Процентный 4 149" xfId="3645"/>
    <cellStyle name="Процентный 4 149 2" xfId="8986"/>
    <cellStyle name="Процентный 4 149 2 2" xfId="19666"/>
    <cellStyle name="Процентный 4 149 2 2 2" xfId="51710"/>
    <cellStyle name="Процентный 4 149 2 3" xfId="30347"/>
    <cellStyle name="Процентный 4 149 2 3 2" xfId="62390"/>
    <cellStyle name="Процентный 4 149 2 4" xfId="41030"/>
    <cellStyle name="Процентный 4 149 3" xfId="14326"/>
    <cellStyle name="Процентный 4 149 3 2" xfId="46370"/>
    <cellStyle name="Процентный 4 149 4" xfId="25007"/>
    <cellStyle name="Процентный 4 149 4 2" xfId="57050"/>
    <cellStyle name="Процентный 4 149 5" xfId="35690"/>
    <cellStyle name="Процентный 4 15" xfId="75"/>
    <cellStyle name="Процентный 4 15 2" xfId="543"/>
    <cellStyle name="Процентный 4 15 2 2" xfId="5886"/>
    <cellStyle name="Процентный 4 15 2 2 2" xfId="16566"/>
    <cellStyle name="Процентный 4 15 2 2 2 2" xfId="48610"/>
    <cellStyle name="Процентный 4 15 2 2 3" xfId="27247"/>
    <cellStyle name="Процентный 4 15 2 2 3 2" xfId="59290"/>
    <cellStyle name="Процентный 4 15 2 2 4" xfId="37930"/>
    <cellStyle name="Процентный 4 15 2 3" xfId="11226"/>
    <cellStyle name="Процентный 4 15 2 3 2" xfId="43270"/>
    <cellStyle name="Процентный 4 15 2 4" xfId="21907"/>
    <cellStyle name="Процентный 4 15 2 4 2" xfId="53950"/>
    <cellStyle name="Процентный 4 15 2 5" xfId="32590"/>
    <cellStyle name="Процентный 4 15 3" xfId="5419"/>
    <cellStyle name="Процентный 4 15 3 2" xfId="16099"/>
    <cellStyle name="Процентный 4 15 3 2 2" xfId="48143"/>
    <cellStyle name="Процентный 4 15 3 3" xfId="26780"/>
    <cellStyle name="Процентный 4 15 3 3 2" xfId="58823"/>
    <cellStyle name="Процентный 4 15 3 4" xfId="37463"/>
    <cellStyle name="Процентный 4 15 4" xfId="10759"/>
    <cellStyle name="Процентный 4 15 4 2" xfId="42803"/>
    <cellStyle name="Процентный 4 15 5" xfId="21440"/>
    <cellStyle name="Процентный 4 15 5 2" xfId="53483"/>
    <cellStyle name="Процентный 4 15 6" xfId="32123"/>
    <cellStyle name="Процентный 4 150" xfId="3677"/>
    <cellStyle name="Процентный 4 150 2" xfId="9018"/>
    <cellStyle name="Процентный 4 150 2 2" xfId="19698"/>
    <cellStyle name="Процентный 4 150 2 2 2" xfId="51742"/>
    <cellStyle name="Процентный 4 150 2 3" xfId="30379"/>
    <cellStyle name="Процентный 4 150 2 3 2" xfId="62422"/>
    <cellStyle name="Процентный 4 150 2 4" xfId="41062"/>
    <cellStyle name="Процентный 4 150 3" xfId="14358"/>
    <cellStyle name="Процентный 4 150 3 2" xfId="46402"/>
    <cellStyle name="Процентный 4 150 4" xfId="25039"/>
    <cellStyle name="Процентный 4 150 4 2" xfId="57082"/>
    <cellStyle name="Процентный 4 150 5" xfId="35722"/>
    <cellStyle name="Процентный 4 151" xfId="3709"/>
    <cellStyle name="Процентный 4 151 2" xfId="9050"/>
    <cellStyle name="Процентный 4 151 2 2" xfId="19730"/>
    <cellStyle name="Процентный 4 151 2 2 2" xfId="51774"/>
    <cellStyle name="Процентный 4 151 2 3" xfId="30411"/>
    <cellStyle name="Процентный 4 151 2 3 2" xfId="62454"/>
    <cellStyle name="Процентный 4 151 2 4" xfId="41094"/>
    <cellStyle name="Процентный 4 151 3" xfId="14390"/>
    <cellStyle name="Процентный 4 151 3 2" xfId="46434"/>
    <cellStyle name="Процентный 4 151 4" xfId="25071"/>
    <cellStyle name="Процентный 4 151 4 2" xfId="57114"/>
    <cellStyle name="Процентный 4 151 5" xfId="35754"/>
    <cellStyle name="Процентный 4 152" xfId="3741"/>
    <cellStyle name="Процентный 4 152 2" xfId="9082"/>
    <cellStyle name="Процентный 4 152 2 2" xfId="19762"/>
    <cellStyle name="Процентный 4 152 2 2 2" xfId="51806"/>
    <cellStyle name="Процентный 4 152 2 3" xfId="30443"/>
    <cellStyle name="Процентный 4 152 2 3 2" xfId="62486"/>
    <cellStyle name="Процентный 4 152 2 4" xfId="41126"/>
    <cellStyle name="Процентный 4 152 3" xfId="14422"/>
    <cellStyle name="Процентный 4 152 3 2" xfId="46466"/>
    <cellStyle name="Процентный 4 152 4" xfId="25103"/>
    <cellStyle name="Процентный 4 152 4 2" xfId="57146"/>
    <cellStyle name="Процентный 4 152 5" xfId="35786"/>
    <cellStyle name="Процентный 4 153" xfId="3773"/>
    <cellStyle name="Процентный 4 153 2" xfId="9114"/>
    <cellStyle name="Процентный 4 153 2 2" xfId="19794"/>
    <cellStyle name="Процентный 4 153 2 2 2" xfId="51838"/>
    <cellStyle name="Процентный 4 153 2 3" xfId="30475"/>
    <cellStyle name="Процентный 4 153 2 3 2" xfId="62518"/>
    <cellStyle name="Процентный 4 153 2 4" xfId="41158"/>
    <cellStyle name="Процентный 4 153 3" xfId="14454"/>
    <cellStyle name="Процентный 4 153 3 2" xfId="46498"/>
    <cellStyle name="Процентный 4 153 4" xfId="25135"/>
    <cellStyle name="Процентный 4 153 4 2" xfId="57178"/>
    <cellStyle name="Процентный 4 153 5" xfId="35818"/>
    <cellStyle name="Процентный 4 154" xfId="3805"/>
    <cellStyle name="Процентный 4 154 2" xfId="9146"/>
    <cellStyle name="Процентный 4 154 2 2" xfId="19826"/>
    <cellStyle name="Процентный 4 154 2 2 2" xfId="51870"/>
    <cellStyle name="Процентный 4 154 2 3" xfId="30507"/>
    <cellStyle name="Процентный 4 154 2 3 2" xfId="62550"/>
    <cellStyle name="Процентный 4 154 2 4" xfId="41190"/>
    <cellStyle name="Процентный 4 154 3" xfId="14486"/>
    <cellStyle name="Процентный 4 154 3 2" xfId="46530"/>
    <cellStyle name="Процентный 4 154 4" xfId="25167"/>
    <cellStyle name="Процентный 4 154 4 2" xfId="57210"/>
    <cellStyle name="Процентный 4 154 5" xfId="35850"/>
    <cellStyle name="Процентный 4 155" xfId="3837"/>
    <cellStyle name="Процентный 4 155 2" xfId="9178"/>
    <cellStyle name="Процентный 4 155 2 2" xfId="19858"/>
    <cellStyle name="Процентный 4 155 2 2 2" xfId="51902"/>
    <cellStyle name="Процентный 4 155 2 3" xfId="30539"/>
    <cellStyle name="Процентный 4 155 2 3 2" xfId="62582"/>
    <cellStyle name="Процентный 4 155 2 4" xfId="41222"/>
    <cellStyle name="Процентный 4 155 3" xfId="14518"/>
    <cellStyle name="Процентный 4 155 3 2" xfId="46562"/>
    <cellStyle name="Процентный 4 155 4" xfId="25199"/>
    <cellStyle name="Процентный 4 155 4 2" xfId="57242"/>
    <cellStyle name="Процентный 4 155 5" xfId="35882"/>
    <cellStyle name="Процентный 4 156" xfId="3869"/>
    <cellStyle name="Процентный 4 156 2" xfId="9210"/>
    <cellStyle name="Процентный 4 156 2 2" xfId="19890"/>
    <cellStyle name="Процентный 4 156 2 2 2" xfId="51934"/>
    <cellStyle name="Процентный 4 156 2 3" xfId="30571"/>
    <cellStyle name="Процентный 4 156 2 3 2" xfId="62614"/>
    <cellStyle name="Процентный 4 156 2 4" xfId="41254"/>
    <cellStyle name="Процентный 4 156 3" xfId="14550"/>
    <cellStyle name="Процентный 4 156 3 2" xfId="46594"/>
    <cellStyle name="Процентный 4 156 4" xfId="25231"/>
    <cellStyle name="Процентный 4 156 4 2" xfId="57274"/>
    <cellStyle name="Процентный 4 156 5" xfId="35914"/>
    <cellStyle name="Процентный 4 157" xfId="3901"/>
    <cellStyle name="Процентный 4 157 2" xfId="9242"/>
    <cellStyle name="Процентный 4 157 2 2" xfId="19922"/>
    <cellStyle name="Процентный 4 157 2 2 2" xfId="51966"/>
    <cellStyle name="Процентный 4 157 2 3" xfId="30603"/>
    <cellStyle name="Процентный 4 157 2 3 2" xfId="62646"/>
    <cellStyle name="Процентный 4 157 2 4" xfId="41286"/>
    <cellStyle name="Процентный 4 157 3" xfId="14582"/>
    <cellStyle name="Процентный 4 157 3 2" xfId="46626"/>
    <cellStyle name="Процентный 4 157 4" xfId="25263"/>
    <cellStyle name="Процентный 4 157 4 2" xfId="57306"/>
    <cellStyle name="Процентный 4 157 5" xfId="35946"/>
    <cellStyle name="Процентный 4 158" xfId="3933"/>
    <cellStyle name="Процентный 4 158 2" xfId="9274"/>
    <cellStyle name="Процентный 4 158 2 2" xfId="19954"/>
    <cellStyle name="Процентный 4 158 2 2 2" xfId="51998"/>
    <cellStyle name="Процентный 4 158 2 3" xfId="30635"/>
    <cellStyle name="Процентный 4 158 2 3 2" xfId="62678"/>
    <cellStyle name="Процентный 4 158 2 4" xfId="41318"/>
    <cellStyle name="Процентный 4 158 3" xfId="14614"/>
    <cellStyle name="Процентный 4 158 3 2" xfId="46658"/>
    <cellStyle name="Процентный 4 158 4" xfId="25295"/>
    <cellStyle name="Процентный 4 158 4 2" xfId="57338"/>
    <cellStyle name="Процентный 4 158 5" xfId="35978"/>
    <cellStyle name="Процентный 4 159" xfId="3965"/>
    <cellStyle name="Процентный 4 159 2" xfId="9306"/>
    <cellStyle name="Процентный 4 159 2 2" xfId="19986"/>
    <cellStyle name="Процентный 4 159 2 2 2" xfId="52030"/>
    <cellStyle name="Процентный 4 159 2 3" xfId="30667"/>
    <cellStyle name="Процентный 4 159 2 3 2" xfId="62710"/>
    <cellStyle name="Процентный 4 159 2 4" xfId="41350"/>
    <cellStyle name="Процентный 4 159 3" xfId="14646"/>
    <cellStyle name="Процентный 4 159 3 2" xfId="46690"/>
    <cellStyle name="Процентный 4 159 4" xfId="25327"/>
    <cellStyle name="Процентный 4 159 4 2" xfId="57370"/>
    <cellStyle name="Процентный 4 159 5" xfId="36010"/>
    <cellStyle name="Процентный 4 16" xfId="83"/>
    <cellStyle name="Процентный 4 16 2" xfId="551"/>
    <cellStyle name="Процентный 4 16 2 2" xfId="5894"/>
    <cellStyle name="Процентный 4 16 2 2 2" xfId="16574"/>
    <cellStyle name="Процентный 4 16 2 2 2 2" xfId="48618"/>
    <cellStyle name="Процентный 4 16 2 2 3" xfId="27255"/>
    <cellStyle name="Процентный 4 16 2 2 3 2" xfId="59298"/>
    <cellStyle name="Процентный 4 16 2 2 4" xfId="37938"/>
    <cellStyle name="Процентный 4 16 2 3" xfId="11234"/>
    <cellStyle name="Процентный 4 16 2 3 2" xfId="43278"/>
    <cellStyle name="Процентный 4 16 2 4" xfId="21915"/>
    <cellStyle name="Процентный 4 16 2 4 2" xfId="53958"/>
    <cellStyle name="Процентный 4 16 2 5" xfId="32598"/>
    <cellStyle name="Процентный 4 16 3" xfId="5427"/>
    <cellStyle name="Процентный 4 16 3 2" xfId="16107"/>
    <cellStyle name="Процентный 4 16 3 2 2" xfId="48151"/>
    <cellStyle name="Процентный 4 16 3 3" xfId="26788"/>
    <cellStyle name="Процентный 4 16 3 3 2" xfId="58831"/>
    <cellStyle name="Процентный 4 16 3 4" xfId="37471"/>
    <cellStyle name="Процентный 4 16 4" xfId="10767"/>
    <cellStyle name="Процентный 4 16 4 2" xfId="42811"/>
    <cellStyle name="Процентный 4 16 5" xfId="21448"/>
    <cellStyle name="Процентный 4 16 5 2" xfId="53491"/>
    <cellStyle name="Процентный 4 16 6" xfId="32131"/>
    <cellStyle name="Процентный 4 160" xfId="3997"/>
    <cellStyle name="Процентный 4 160 2" xfId="9338"/>
    <cellStyle name="Процентный 4 160 2 2" xfId="20018"/>
    <cellStyle name="Процентный 4 160 2 2 2" xfId="52062"/>
    <cellStyle name="Процентный 4 160 2 3" xfId="30699"/>
    <cellStyle name="Процентный 4 160 2 3 2" xfId="62742"/>
    <cellStyle name="Процентный 4 160 2 4" xfId="41382"/>
    <cellStyle name="Процентный 4 160 3" xfId="14678"/>
    <cellStyle name="Процентный 4 160 3 2" xfId="46722"/>
    <cellStyle name="Процентный 4 160 4" xfId="25359"/>
    <cellStyle name="Процентный 4 160 4 2" xfId="57402"/>
    <cellStyle name="Процентный 4 160 5" xfId="36042"/>
    <cellStyle name="Процентный 4 161" xfId="4029"/>
    <cellStyle name="Процентный 4 161 2" xfId="9370"/>
    <cellStyle name="Процентный 4 161 2 2" xfId="20050"/>
    <cellStyle name="Процентный 4 161 2 2 2" xfId="52094"/>
    <cellStyle name="Процентный 4 161 2 3" xfId="30731"/>
    <cellStyle name="Процентный 4 161 2 3 2" xfId="62774"/>
    <cellStyle name="Процентный 4 161 2 4" xfId="41414"/>
    <cellStyle name="Процентный 4 161 3" xfId="14710"/>
    <cellStyle name="Процентный 4 161 3 2" xfId="46754"/>
    <cellStyle name="Процентный 4 161 4" xfId="25391"/>
    <cellStyle name="Процентный 4 161 4 2" xfId="57434"/>
    <cellStyle name="Процентный 4 161 5" xfId="36074"/>
    <cellStyle name="Процентный 4 162" xfId="4061"/>
    <cellStyle name="Процентный 4 162 2" xfId="9402"/>
    <cellStyle name="Процентный 4 162 2 2" xfId="20082"/>
    <cellStyle name="Процентный 4 162 2 2 2" xfId="52126"/>
    <cellStyle name="Процентный 4 162 2 3" xfId="30763"/>
    <cellStyle name="Процентный 4 162 2 3 2" xfId="62806"/>
    <cellStyle name="Процентный 4 162 2 4" xfId="41446"/>
    <cellStyle name="Процентный 4 162 3" xfId="14742"/>
    <cellStyle name="Процентный 4 162 3 2" xfId="46786"/>
    <cellStyle name="Процентный 4 162 4" xfId="25423"/>
    <cellStyle name="Процентный 4 162 4 2" xfId="57466"/>
    <cellStyle name="Процентный 4 162 5" xfId="36106"/>
    <cellStyle name="Процентный 4 163" xfId="4093"/>
    <cellStyle name="Процентный 4 163 2" xfId="9434"/>
    <cellStyle name="Процентный 4 163 2 2" xfId="20114"/>
    <cellStyle name="Процентный 4 163 2 2 2" xfId="52158"/>
    <cellStyle name="Процентный 4 163 2 3" xfId="30795"/>
    <cellStyle name="Процентный 4 163 2 3 2" xfId="62838"/>
    <cellStyle name="Процентный 4 163 2 4" xfId="41478"/>
    <cellStyle name="Процентный 4 163 3" xfId="14774"/>
    <cellStyle name="Процентный 4 163 3 2" xfId="46818"/>
    <cellStyle name="Процентный 4 163 4" xfId="25455"/>
    <cellStyle name="Процентный 4 163 4 2" xfId="57498"/>
    <cellStyle name="Процентный 4 163 5" xfId="36138"/>
    <cellStyle name="Процентный 4 164" xfId="4125"/>
    <cellStyle name="Процентный 4 164 2" xfId="9466"/>
    <cellStyle name="Процентный 4 164 2 2" xfId="20146"/>
    <cellStyle name="Процентный 4 164 2 2 2" xfId="52190"/>
    <cellStyle name="Процентный 4 164 2 3" xfId="30827"/>
    <cellStyle name="Процентный 4 164 2 3 2" xfId="62870"/>
    <cellStyle name="Процентный 4 164 2 4" xfId="41510"/>
    <cellStyle name="Процентный 4 164 3" xfId="14806"/>
    <cellStyle name="Процентный 4 164 3 2" xfId="46850"/>
    <cellStyle name="Процентный 4 164 4" xfId="25487"/>
    <cellStyle name="Процентный 4 164 4 2" xfId="57530"/>
    <cellStyle name="Процентный 4 164 5" xfId="36170"/>
    <cellStyle name="Процентный 4 165" xfId="4157"/>
    <cellStyle name="Процентный 4 165 2" xfId="9498"/>
    <cellStyle name="Процентный 4 165 2 2" xfId="20178"/>
    <cellStyle name="Процентный 4 165 2 2 2" xfId="52222"/>
    <cellStyle name="Процентный 4 165 2 3" xfId="30859"/>
    <cellStyle name="Процентный 4 165 2 3 2" xfId="62902"/>
    <cellStyle name="Процентный 4 165 2 4" xfId="41542"/>
    <cellStyle name="Процентный 4 165 3" xfId="14838"/>
    <cellStyle name="Процентный 4 165 3 2" xfId="46882"/>
    <cellStyle name="Процентный 4 165 4" xfId="25519"/>
    <cellStyle name="Процентный 4 165 4 2" xfId="57562"/>
    <cellStyle name="Процентный 4 165 5" xfId="36202"/>
    <cellStyle name="Процентный 4 166" xfId="4189"/>
    <cellStyle name="Процентный 4 166 2" xfId="9530"/>
    <cellStyle name="Процентный 4 166 2 2" xfId="20210"/>
    <cellStyle name="Процентный 4 166 2 2 2" xfId="52254"/>
    <cellStyle name="Процентный 4 166 2 3" xfId="30891"/>
    <cellStyle name="Процентный 4 166 2 3 2" xfId="62934"/>
    <cellStyle name="Процентный 4 166 2 4" xfId="41574"/>
    <cellStyle name="Процентный 4 166 3" xfId="14870"/>
    <cellStyle name="Процентный 4 166 3 2" xfId="46914"/>
    <cellStyle name="Процентный 4 166 4" xfId="25551"/>
    <cellStyle name="Процентный 4 166 4 2" xfId="57594"/>
    <cellStyle name="Процентный 4 166 5" xfId="36234"/>
    <cellStyle name="Процентный 4 167" xfId="4221"/>
    <cellStyle name="Процентный 4 167 2" xfId="9562"/>
    <cellStyle name="Процентный 4 167 2 2" xfId="20242"/>
    <cellStyle name="Процентный 4 167 2 2 2" xfId="52286"/>
    <cellStyle name="Процентный 4 167 2 3" xfId="30923"/>
    <cellStyle name="Процентный 4 167 2 3 2" xfId="62966"/>
    <cellStyle name="Процентный 4 167 2 4" xfId="41606"/>
    <cellStyle name="Процентный 4 167 3" xfId="14902"/>
    <cellStyle name="Процентный 4 167 3 2" xfId="46946"/>
    <cellStyle name="Процентный 4 167 4" xfId="25583"/>
    <cellStyle name="Процентный 4 167 4 2" xfId="57626"/>
    <cellStyle name="Процентный 4 167 5" xfId="36266"/>
    <cellStyle name="Процентный 4 168" xfId="4253"/>
    <cellStyle name="Процентный 4 168 2" xfId="9594"/>
    <cellStyle name="Процентный 4 168 2 2" xfId="20274"/>
    <cellStyle name="Процентный 4 168 2 2 2" xfId="52318"/>
    <cellStyle name="Процентный 4 168 2 3" xfId="30955"/>
    <cellStyle name="Процентный 4 168 2 3 2" xfId="62998"/>
    <cellStyle name="Процентный 4 168 2 4" xfId="41638"/>
    <cellStyle name="Процентный 4 168 3" xfId="14934"/>
    <cellStyle name="Процентный 4 168 3 2" xfId="46978"/>
    <cellStyle name="Процентный 4 168 4" xfId="25615"/>
    <cellStyle name="Процентный 4 168 4 2" xfId="57658"/>
    <cellStyle name="Процентный 4 168 5" xfId="36298"/>
    <cellStyle name="Процентный 4 169" xfId="4285"/>
    <cellStyle name="Процентный 4 169 2" xfId="9626"/>
    <cellStyle name="Процентный 4 169 2 2" xfId="20306"/>
    <cellStyle name="Процентный 4 169 2 2 2" xfId="52350"/>
    <cellStyle name="Процентный 4 169 2 3" xfId="30987"/>
    <cellStyle name="Процентный 4 169 2 3 2" xfId="63030"/>
    <cellStyle name="Процентный 4 169 2 4" xfId="41670"/>
    <cellStyle name="Процентный 4 169 3" xfId="14966"/>
    <cellStyle name="Процентный 4 169 3 2" xfId="47010"/>
    <cellStyle name="Процентный 4 169 4" xfId="25647"/>
    <cellStyle name="Процентный 4 169 4 2" xfId="57690"/>
    <cellStyle name="Процентный 4 169 5" xfId="36330"/>
    <cellStyle name="Процентный 4 17" xfId="91"/>
    <cellStyle name="Процентный 4 17 2" xfId="559"/>
    <cellStyle name="Процентный 4 17 2 2" xfId="5902"/>
    <cellStyle name="Процентный 4 17 2 2 2" xfId="16582"/>
    <cellStyle name="Процентный 4 17 2 2 2 2" xfId="48626"/>
    <cellStyle name="Процентный 4 17 2 2 3" xfId="27263"/>
    <cellStyle name="Процентный 4 17 2 2 3 2" xfId="59306"/>
    <cellStyle name="Процентный 4 17 2 2 4" xfId="37946"/>
    <cellStyle name="Процентный 4 17 2 3" xfId="11242"/>
    <cellStyle name="Процентный 4 17 2 3 2" xfId="43286"/>
    <cellStyle name="Процентный 4 17 2 4" xfId="21923"/>
    <cellStyle name="Процентный 4 17 2 4 2" xfId="53966"/>
    <cellStyle name="Процентный 4 17 2 5" xfId="32606"/>
    <cellStyle name="Процентный 4 17 3" xfId="5435"/>
    <cellStyle name="Процентный 4 17 3 2" xfId="16115"/>
    <cellStyle name="Процентный 4 17 3 2 2" xfId="48159"/>
    <cellStyle name="Процентный 4 17 3 3" xfId="26796"/>
    <cellStyle name="Процентный 4 17 3 3 2" xfId="58839"/>
    <cellStyle name="Процентный 4 17 3 4" xfId="37479"/>
    <cellStyle name="Процентный 4 17 4" xfId="10775"/>
    <cellStyle name="Процентный 4 17 4 2" xfId="42819"/>
    <cellStyle name="Процентный 4 17 5" xfId="21456"/>
    <cellStyle name="Процентный 4 17 5 2" xfId="53499"/>
    <cellStyle name="Процентный 4 17 6" xfId="32139"/>
    <cellStyle name="Процентный 4 170" xfId="4317"/>
    <cellStyle name="Процентный 4 170 2" xfId="9658"/>
    <cellStyle name="Процентный 4 170 2 2" xfId="20338"/>
    <cellStyle name="Процентный 4 170 2 2 2" xfId="52382"/>
    <cellStyle name="Процентный 4 170 2 3" xfId="31019"/>
    <cellStyle name="Процентный 4 170 2 3 2" xfId="63062"/>
    <cellStyle name="Процентный 4 170 2 4" xfId="41702"/>
    <cellStyle name="Процентный 4 170 3" xfId="14998"/>
    <cellStyle name="Процентный 4 170 3 2" xfId="47042"/>
    <cellStyle name="Процентный 4 170 4" xfId="25679"/>
    <cellStyle name="Процентный 4 170 4 2" xfId="57722"/>
    <cellStyle name="Процентный 4 170 5" xfId="36362"/>
    <cellStyle name="Процентный 4 171" xfId="4349"/>
    <cellStyle name="Процентный 4 171 2" xfId="9690"/>
    <cellStyle name="Процентный 4 171 2 2" xfId="20370"/>
    <cellStyle name="Процентный 4 171 2 2 2" xfId="52414"/>
    <cellStyle name="Процентный 4 171 2 3" xfId="31051"/>
    <cellStyle name="Процентный 4 171 2 3 2" xfId="63094"/>
    <cellStyle name="Процентный 4 171 2 4" xfId="41734"/>
    <cellStyle name="Процентный 4 171 3" xfId="15030"/>
    <cellStyle name="Процентный 4 171 3 2" xfId="47074"/>
    <cellStyle name="Процентный 4 171 4" xfId="25711"/>
    <cellStyle name="Процентный 4 171 4 2" xfId="57754"/>
    <cellStyle name="Процентный 4 171 5" xfId="36394"/>
    <cellStyle name="Процентный 4 172" xfId="4381"/>
    <cellStyle name="Процентный 4 172 2" xfId="9722"/>
    <cellStyle name="Процентный 4 172 2 2" xfId="20402"/>
    <cellStyle name="Процентный 4 172 2 2 2" xfId="52446"/>
    <cellStyle name="Процентный 4 172 2 3" xfId="31083"/>
    <cellStyle name="Процентный 4 172 2 3 2" xfId="63126"/>
    <cellStyle name="Процентный 4 172 2 4" xfId="41766"/>
    <cellStyle name="Процентный 4 172 3" xfId="15062"/>
    <cellStyle name="Процентный 4 172 3 2" xfId="47106"/>
    <cellStyle name="Процентный 4 172 4" xfId="25743"/>
    <cellStyle name="Процентный 4 172 4 2" xfId="57786"/>
    <cellStyle name="Процентный 4 172 5" xfId="36426"/>
    <cellStyle name="Процентный 4 173" xfId="4413"/>
    <cellStyle name="Процентный 4 173 2" xfId="9754"/>
    <cellStyle name="Процентный 4 173 2 2" xfId="20434"/>
    <cellStyle name="Процентный 4 173 2 2 2" xfId="52478"/>
    <cellStyle name="Процентный 4 173 2 3" xfId="31115"/>
    <cellStyle name="Процентный 4 173 2 3 2" xfId="63158"/>
    <cellStyle name="Процентный 4 173 2 4" xfId="41798"/>
    <cellStyle name="Процентный 4 173 3" xfId="15094"/>
    <cellStyle name="Процентный 4 173 3 2" xfId="47138"/>
    <cellStyle name="Процентный 4 173 4" xfId="25775"/>
    <cellStyle name="Процентный 4 173 4 2" xfId="57818"/>
    <cellStyle name="Процентный 4 173 5" xfId="36458"/>
    <cellStyle name="Процентный 4 174" xfId="4445"/>
    <cellStyle name="Процентный 4 174 2" xfId="9786"/>
    <cellStyle name="Процентный 4 174 2 2" xfId="20466"/>
    <cellStyle name="Процентный 4 174 2 2 2" xfId="52510"/>
    <cellStyle name="Процентный 4 174 2 3" xfId="31147"/>
    <cellStyle name="Процентный 4 174 2 3 2" xfId="63190"/>
    <cellStyle name="Процентный 4 174 2 4" xfId="41830"/>
    <cellStyle name="Процентный 4 174 3" xfId="15126"/>
    <cellStyle name="Процентный 4 174 3 2" xfId="47170"/>
    <cellStyle name="Процентный 4 174 4" xfId="25807"/>
    <cellStyle name="Процентный 4 174 4 2" xfId="57850"/>
    <cellStyle name="Процентный 4 174 5" xfId="36490"/>
    <cellStyle name="Процентный 4 175" xfId="4477"/>
    <cellStyle name="Процентный 4 175 2" xfId="9818"/>
    <cellStyle name="Процентный 4 175 2 2" xfId="20498"/>
    <cellStyle name="Процентный 4 175 2 2 2" xfId="52542"/>
    <cellStyle name="Процентный 4 175 2 3" xfId="31179"/>
    <cellStyle name="Процентный 4 175 2 3 2" xfId="63222"/>
    <cellStyle name="Процентный 4 175 2 4" xfId="41862"/>
    <cellStyle name="Процентный 4 175 3" xfId="15158"/>
    <cellStyle name="Процентный 4 175 3 2" xfId="47202"/>
    <cellStyle name="Процентный 4 175 4" xfId="25839"/>
    <cellStyle name="Процентный 4 175 4 2" xfId="57882"/>
    <cellStyle name="Процентный 4 175 5" xfId="36522"/>
    <cellStyle name="Процентный 4 176" xfId="4509"/>
    <cellStyle name="Процентный 4 176 2" xfId="9850"/>
    <cellStyle name="Процентный 4 176 2 2" xfId="20530"/>
    <cellStyle name="Процентный 4 176 2 2 2" xfId="52574"/>
    <cellStyle name="Процентный 4 176 2 3" xfId="31211"/>
    <cellStyle name="Процентный 4 176 2 3 2" xfId="63254"/>
    <cellStyle name="Процентный 4 176 2 4" xfId="41894"/>
    <cellStyle name="Процентный 4 176 3" xfId="15190"/>
    <cellStyle name="Процентный 4 176 3 2" xfId="47234"/>
    <cellStyle name="Процентный 4 176 4" xfId="25871"/>
    <cellStyle name="Процентный 4 176 4 2" xfId="57914"/>
    <cellStyle name="Процентный 4 176 5" xfId="36554"/>
    <cellStyle name="Процентный 4 177" xfId="4541"/>
    <cellStyle name="Процентный 4 177 2" xfId="9882"/>
    <cellStyle name="Процентный 4 177 2 2" xfId="20562"/>
    <cellStyle name="Процентный 4 177 2 2 2" xfId="52606"/>
    <cellStyle name="Процентный 4 177 2 3" xfId="31243"/>
    <cellStyle name="Процентный 4 177 2 3 2" xfId="63286"/>
    <cellStyle name="Процентный 4 177 2 4" xfId="41926"/>
    <cellStyle name="Процентный 4 177 3" xfId="15222"/>
    <cellStyle name="Процентный 4 177 3 2" xfId="47266"/>
    <cellStyle name="Процентный 4 177 4" xfId="25903"/>
    <cellStyle name="Процентный 4 177 4 2" xfId="57946"/>
    <cellStyle name="Процентный 4 177 5" xfId="36586"/>
    <cellStyle name="Процентный 4 178" xfId="4573"/>
    <cellStyle name="Процентный 4 178 2" xfId="9914"/>
    <cellStyle name="Процентный 4 178 2 2" xfId="20594"/>
    <cellStyle name="Процентный 4 178 2 2 2" xfId="52638"/>
    <cellStyle name="Процентный 4 178 2 3" xfId="31275"/>
    <cellStyle name="Процентный 4 178 2 3 2" xfId="63318"/>
    <cellStyle name="Процентный 4 178 2 4" xfId="41958"/>
    <cellStyle name="Процентный 4 178 3" xfId="15254"/>
    <cellStyle name="Процентный 4 178 3 2" xfId="47298"/>
    <cellStyle name="Процентный 4 178 4" xfId="25935"/>
    <cellStyle name="Процентный 4 178 4 2" xfId="57978"/>
    <cellStyle name="Процентный 4 178 5" xfId="36618"/>
    <cellStyle name="Процентный 4 179" xfId="4605"/>
    <cellStyle name="Процентный 4 179 2" xfId="9946"/>
    <cellStyle name="Процентный 4 179 2 2" xfId="20626"/>
    <cellStyle name="Процентный 4 179 2 2 2" xfId="52670"/>
    <cellStyle name="Процентный 4 179 2 3" xfId="31307"/>
    <cellStyle name="Процентный 4 179 2 3 2" xfId="63350"/>
    <cellStyle name="Процентный 4 179 2 4" xfId="41990"/>
    <cellStyle name="Процентный 4 179 3" xfId="15286"/>
    <cellStyle name="Процентный 4 179 3 2" xfId="47330"/>
    <cellStyle name="Процентный 4 179 4" xfId="25967"/>
    <cellStyle name="Процентный 4 179 4 2" xfId="58010"/>
    <cellStyle name="Процентный 4 179 5" xfId="36650"/>
    <cellStyle name="Процентный 4 18" xfId="101"/>
    <cellStyle name="Процентный 4 18 2" xfId="569"/>
    <cellStyle name="Процентный 4 18 2 2" xfId="5912"/>
    <cellStyle name="Процентный 4 18 2 2 2" xfId="16592"/>
    <cellStyle name="Процентный 4 18 2 2 2 2" xfId="48636"/>
    <cellStyle name="Процентный 4 18 2 2 3" xfId="27273"/>
    <cellStyle name="Процентный 4 18 2 2 3 2" xfId="59316"/>
    <cellStyle name="Процентный 4 18 2 2 4" xfId="37956"/>
    <cellStyle name="Процентный 4 18 2 3" xfId="11252"/>
    <cellStyle name="Процентный 4 18 2 3 2" xfId="43296"/>
    <cellStyle name="Процентный 4 18 2 4" xfId="21933"/>
    <cellStyle name="Процентный 4 18 2 4 2" xfId="53976"/>
    <cellStyle name="Процентный 4 18 2 5" xfId="32616"/>
    <cellStyle name="Процентный 4 18 3" xfId="5445"/>
    <cellStyle name="Процентный 4 18 3 2" xfId="16125"/>
    <cellStyle name="Процентный 4 18 3 2 2" xfId="48169"/>
    <cellStyle name="Процентный 4 18 3 3" xfId="26806"/>
    <cellStyle name="Процентный 4 18 3 3 2" xfId="58849"/>
    <cellStyle name="Процентный 4 18 3 4" xfId="37489"/>
    <cellStyle name="Процентный 4 18 4" xfId="10785"/>
    <cellStyle name="Процентный 4 18 4 2" xfId="42829"/>
    <cellStyle name="Процентный 4 18 5" xfId="21466"/>
    <cellStyle name="Процентный 4 18 5 2" xfId="53509"/>
    <cellStyle name="Процентный 4 18 6" xfId="32149"/>
    <cellStyle name="Процентный 4 180" xfId="4637"/>
    <cellStyle name="Процентный 4 180 2" xfId="9978"/>
    <cellStyle name="Процентный 4 180 2 2" xfId="20658"/>
    <cellStyle name="Процентный 4 180 2 2 2" xfId="52702"/>
    <cellStyle name="Процентный 4 180 2 3" xfId="31339"/>
    <cellStyle name="Процентный 4 180 2 3 2" xfId="63382"/>
    <cellStyle name="Процентный 4 180 2 4" xfId="42022"/>
    <cellStyle name="Процентный 4 180 3" xfId="15318"/>
    <cellStyle name="Процентный 4 180 3 2" xfId="47362"/>
    <cellStyle name="Процентный 4 180 4" xfId="25999"/>
    <cellStyle name="Процентный 4 180 4 2" xfId="58042"/>
    <cellStyle name="Процентный 4 180 5" xfId="36682"/>
    <cellStyle name="Процентный 4 181" xfId="4669"/>
    <cellStyle name="Процентный 4 181 2" xfId="10010"/>
    <cellStyle name="Процентный 4 181 2 2" xfId="20690"/>
    <cellStyle name="Процентный 4 181 2 2 2" xfId="52734"/>
    <cellStyle name="Процентный 4 181 2 3" xfId="31371"/>
    <cellStyle name="Процентный 4 181 2 3 2" xfId="63414"/>
    <cellStyle name="Процентный 4 181 2 4" xfId="42054"/>
    <cellStyle name="Процентный 4 181 3" xfId="15350"/>
    <cellStyle name="Процентный 4 181 3 2" xfId="47394"/>
    <cellStyle name="Процентный 4 181 4" xfId="26031"/>
    <cellStyle name="Процентный 4 181 4 2" xfId="58074"/>
    <cellStyle name="Процентный 4 181 5" xfId="36714"/>
    <cellStyle name="Процентный 4 182" xfId="4703"/>
    <cellStyle name="Процентный 4 182 2" xfId="10044"/>
    <cellStyle name="Процентный 4 182 2 2" xfId="20724"/>
    <cellStyle name="Процентный 4 182 2 2 2" xfId="52768"/>
    <cellStyle name="Процентный 4 182 2 3" xfId="31405"/>
    <cellStyle name="Процентный 4 182 2 3 2" xfId="63448"/>
    <cellStyle name="Процентный 4 182 2 4" xfId="42088"/>
    <cellStyle name="Процентный 4 182 3" xfId="15384"/>
    <cellStyle name="Процентный 4 182 3 2" xfId="47428"/>
    <cellStyle name="Процентный 4 182 4" xfId="26065"/>
    <cellStyle name="Процентный 4 182 4 2" xfId="58108"/>
    <cellStyle name="Процентный 4 182 5" xfId="36748"/>
    <cellStyle name="Процентный 4 183" xfId="4735"/>
    <cellStyle name="Процентный 4 183 2" xfId="10076"/>
    <cellStyle name="Процентный 4 183 2 2" xfId="20756"/>
    <cellStyle name="Процентный 4 183 2 2 2" xfId="52800"/>
    <cellStyle name="Процентный 4 183 2 3" xfId="31437"/>
    <cellStyle name="Процентный 4 183 2 3 2" xfId="63480"/>
    <cellStyle name="Процентный 4 183 2 4" xfId="42120"/>
    <cellStyle name="Процентный 4 183 3" xfId="15416"/>
    <cellStyle name="Процентный 4 183 3 2" xfId="47460"/>
    <cellStyle name="Процентный 4 183 4" xfId="26097"/>
    <cellStyle name="Процентный 4 183 4 2" xfId="58140"/>
    <cellStyle name="Процентный 4 183 5" xfId="36780"/>
    <cellStyle name="Процентный 4 184" xfId="4767"/>
    <cellStyle name="Процентный 4 184 2" xfId="10108"/>
    <cellStyle name="Процентный 4 184 2 2" xfId="20788"/>
    <cellStyle name="Процентный 4 184 2 2 2" xfId="52832"/>
    <cellStyle name="Процентный 4 184 2 3" xfId="31469"/>
    <cellStyle name="Процентный 4 184 2 3 2" xfId="63512"/>
    <cellStyle name="Процентный 4 184 2 4" xfId="42152"/>
    <cellStyle name="Процентный 4 184 3" xfId="15448"/>
    <cellStyle name="Процентный 4 184 3 2" xfId="47492"/>
    <cellStyle name="Процентный 4 184 4" xfId="26129"/>
    <cellStyle name="Процентный 4 184 4 2" xfId="58172"/>
    <cellStyle name="Процентный 4 184 5" xfId="36812"/>
    <cellStyle name="Процентный 4 185" xfId="4799"/>
    <cellStyle name="Процентный 4 185 2" xfId="10140"/>
    <cellStyle name="Процентный 4 185 2 2" xfId="20820"/>
    <cellStyle name="Процентный 4 185 2 2 2" xfId="52864"/>
    <cellStyle name="Процентный 4 185 2 3" xfId="31501"/>
    <cellStyle name="Процентный 4 185 2 3 2" xfId="63544"/>
    <cellStyle name="Процентный 4 185 2 4" xfId="42184"/>
    <cellStyle name="Процентный 4 185 3" xfId="15480"/>
    <cellStyle name="Процентный 4 185 3 2" xfId="47524"/>
    <cellStyle name="Процентный 4 185 4" xfId="26161"/>
    <cellStyle name="Процентный 4 185 4 2" xfId="58204"/>
    <cellStyle name="Процентный 4 185 5" xfId="36844"/>
    <cellStyle name="Процентный 4 186" xfId="4831"/>
    <cellStyle name="Процентный 4 186 2" xfId="10172"/>
    <cellStyle name="Процентный 4 186 2 2" xfId="20852"/>
    <cellStyle name="Процентный 4 186 2 2 2" xfId="52896"/>
    <cellStyle name="Процентный 4 186 2 3" xfId="31533"/>
    <cellStyle name="Процентный 4 186 2 3 2" xfId="63576"/>
    <cellStyle name="Процентный 4 186 2 4" xfId="42216"/>
    <cellStyle name="Процентный 4 186 3" xfId="15512"/>
    <cellStyle name="Процентный 4 186 3 2" xfId="47556"/>
    <cellStyle name="Процентный 4 186 4" xfId="26193"/>
    <cellStyle name="Процентный 4 186 4 2" xfId="58236"/>
    <cellStyle name="Процентный 4 186 5" xfId="36876"/>
    <cellStyle name="Процентный 4 187" xfId="4863"/>
    <cellStyle name="Процентный 4 187 2" xfId="10204"/>
    <cellStyle name="Процентный 4 187 2 2" xfId="20884"/>
    <cellStyle name="Процентный 4 187 2 2 2" xfId="52928"/>
    <cellStyle name="Процентный 4 187 2 3" xfId="31565"/>
    <cellStyle name="Процентный 4 187 2 3 2" xfId="63608"/>
    <cellStyle name="Процентный 4 187 2 4" xfId="42248"/>
    <cellStyle name="Процентный 4 187 3" xfId="15544"/>
    <cellStyle name="Процентный 4 187 3 2" xfId="47588"/>
    <cellStyle name="Процентный 4 187 4" xfId="26225"/>
    <cellStyle name="Процентный 4 187 4 2" xfId="58268"/>
    <cellStyle name="Процентный 4 187 5" xfId="36908"/>
    <cellStyle name="Процентный 4 188" xfId="4895"/>
    <cellStyle name="Процентный 4 188 2" xfId="10236"/>
    <cellStyle name="Процентный 4 188 2 2" xfId="20916"/>
    <cellStyle name="Процентный 4 188 2 2 2" xfId="52960"/>
    <cellStyle name="Процентный 4 188 2 3" xfId="31597"/>
    <cellStyle name="Процентный 4 188 2 3 2" xfId="63640"/>
    <cellStyle name="Процентный 4 188 2 4" xfId="42280"/>
    <cellStyle name="Процентный 4 188 3" xfId="15576"/>
    <cellStyle name="Процентный 4 188 3 2" xfId="47620"/>
    <cellStyle name="Процентный 4 188 4" xfId="26257"/>
    <cellStyle name="Процентный 4 188 4 2" xfId="58300"/>
    <cellStyle name="Процентный 4 188 5" xfId="36940"/>
    <cellStyle name="Процентный 4 189" xfId="4927"/>
    <cellStyle name="Процентный 4 189 2" xfId="10268"/>
    <cellStyle name="Процентный 4 189 2 2" xfId="20948"/>
    <cellStyle name="Процентный 4 189 2 2 2" xfId="52992"/>
    <cellStyle name="Процентный 4 189 2 3" xfId="31629"/>
    <cellStyle name="Процентный 4 189 2 3 2" xfId="63672"/>
    <cellStyle name="Процентный 4 189 2 4" xfId="42312"/>
    <cellStyle name="Процентный 4 189 3" xfId="15608"/>
    <cellStyle name="Процентный 4 189 3 2" xfId="47652"/>
    <cellStyle name="Процентный 4 189 4" xfId="26289"/>
    <cellStyle name="Процентный 4 189 4 2" xfId="58332"/>
    <cellStyle name="Процентный 4 189 5" xfId="36972"/>
    <cellStyle name="Процентный 4 19" xfId="111"/>
    <cellStyle name="Процентный 4 19 2" xfId="579"/>
    <cellStyle name="Процентный 4 19 2 2" xfId="5922"/>
    <cellStyle name="Процентный 4 19 2 2 2" xfId="16602"/>
    <cellStyle name="Процентный 4 19 2 2 2 2" xfId="48646"/>
    <cellStyle name="Процентный 4 19 2 2 3" xfId="27283"/>
    <cellStyle name="Процентный 4 19 2 2 3 2" xfId="59326"/>
    <cellStyle name="Процентный 4 19 2 2 4" xfId="37966"/>
    <cellStyle name="Процентный 4 19 2 3" xfId="11262"/>
    <cellStyle name="Процентный 4 19 2 3 2" xfId="43306"/>
    <cellStyle name="Процентный 4 19 2 4" xfId="21943"/>
    <cellStyle name="Процентный 4 19 2 4 2" xfId="53986"/>
    <cellStyle name="Процентный 4 19 2 5" xfId="32626"/>
    <cellStyle name="Процентный 4 19 3" xfId="5455"/>
    <cellStyle name="Процентный 4 19 3 2" xfId="16135"/>
    <cellStyle name="Процентный 4 19 3 2 2" xfId="48179"/>
    <cellStyle name="Процентный 4 19 3 3" xfId="26816"/>
    <cellStyle name="Процентный 4 19 3 3 2" xfId="58859"/>
    <cellStyle name="Процентный 4 19 3 4" xfId="37499"/>
    <cellStyle name="Процентный 4 19 4" xfId="10795"/>
    <cellStyle name="Процентный 4 19 4 2" xfId="42839"/>
    <cellStyle name="Процентный 4 19 5" xfId="21476"/>
    <cellStyle name="Процентный 4 19 5 2" xfId="53519"/>
    <cellStyle name="Процентный 4 19 6" xfId="32159"/>
    <cellStyle name="Процентный 4 190" xfId="4959"/>
    <cellStyle name="Процентный 4 190 2" xfId="10300"/>
    <cellStyle name="Процентный 4 190 2 2" xfId="20980"/>
    <cellStyle name="Процентный 4 190 2 2 2" xfId="53024"/>
    <cellStyle name="Процентный 4 190 2 3" xfId="31661"/>
    <cellStyle name="Процентный 4 190 2 3 2" xfId="63704"/>
    <cellStyle name="Процентный 4 190 2 4" xfId="42344"/>
    <cellStyle name="Процентный 4 190 3" xfId="15640"/>
    <cellStyle name="Процентный 4 190 3 2" xfId="47684"/>
    <cellStyle name="Процентный 4 190 4" xfId="26321"/>
    <cellStyle name="Процентный 4 190 4 2" xfId="58364"/>
    <cellStyle name="Процентный 4 190 5" xfId="37004"/>
    <cellStyle name="Процентный 4 191" xfId="4991"/>
    <cellStyle name="Процентный 4 191 2" xfId="10332"/>
    <cellStyle name="Процентный 4 191 2 2" xfId="21012"/>
    <cellStyle name="Процентный 4 191 2 2 2" xfId="53056"/>
    <cellStyle name="Процентный 4 191 2 3" xfId="31693"/>
    <cellStyle name="Процентный 4 191 2 3 2" xfId="63736"/>
    <cellStyle name="Процентный 4 191 2 4" xfId="42376"/>
    <cellStyle name="Процентный 4 191 3" xfId="15672"/>
    <cellStyle name="Процентный 4 191 3 2" xfId="47716"/>
    <cellStyle name="Процентный 4 191 4" xfId="26353"/>
    <cellStyle name="Процентный 4 191 4 2" xfId="58396"/>
    <cellStyle name="Процентный 4 191 5" xfId="37036"/>
    <cellStyle name="Процентный 4 192" xfId="5023"/>
    <cellStyle name="Процентный 4 192 2" xfId="10364"/>
    <cellStyle name="Процентный 4 192 2 2" xfId="21044"/>
    <cellStyle name="Процентный 4 192 2 2 2" xfId="53088"/>
    <cellStyle name="Процентный 4 192 2 3" xfId="31725"/>
    <cellStyle name="Процентный 4 192 2 3 2" xfId="63768"/>
    <cellStyle name="Процентный 4 192 2 4" xfId="42408"/>
    <cellStyle name="Процентный 4 192 3" xfId="15704"/>
    <cellStyle name="Процентный 4 192 3 2" xfId="47748"/>
    <cellStyle name="Процентный 4 192 4" xfId="26385"/>
    <cellStyle name="Процентный 4 192 4 2" xfId="58428"/>
    <cellStyle name="Процентный 4 192 5" xfId="37068"/>
    <cellStyle name="Процентный 4 193" xfId="5055"/>
    <cellStyle name="Процентный 4 193 2" xfId="10396"/>
    <cellStyle name="Процентный 4 193 2 2" xfId="21076"/>
    <cellStyle name="Процентный 4 193 2 2 2" xfId="53120"/>
    <cellStyle name="Процентный 4 193 2 3" xfId="31757"/>
    <cellStyle name="Процентный 4 193 2 3 2" xfId="63800"/>
    <cellStyle name="Процентный 4 193 2 4" xfId="42440"/>
    <cellStyle name="Процентный 4 193 3" xfId="15736"/>
    <cellStyle name="Процентный 4 193 3 2" xfId="47780"/>
    <cellStyle name="Процентный 4 193 4" xfId="26417"/>
    <cellStyle name="Процентный 4 193 4 2" xfId="58460"/>
    <cellStyle name="Процентный 4 193 5" xfId="37100"/>
    <cellStyle name="Процентный 4 194" xfId="5087"/>
    <cellStyle name="Процентный 4 194 2" xfId="10428"/>
    <cellStyle name="Процентный 4 194 2 2" xfId="21108"/>
    <cellStyle name="Процентный 4 194 2 2 2" xfId="53152"/>
    <cellStyle name="Процентный 4 194 2 3" xfId="31789"/>
    <cellStyle name="Процентный 4 194 2 3 2" xfId="63832"/>
    <cellStyle name="Процентный 4 194 2 4" xfId="42472"/>
    <cellStyle name="Процентный 4 194 3" xfId="15768"/>
    <cellStyle name="Процентный 4 194 3 2" xfId="47812"/>
    <cellStyle name="Процентный 4 194 4" xfId="26449"/>
    <cellStyle name="Процентный 4 194 4 2" xfId="58492"/>
    <cellStyle name="Процентный 4 194 5" xfId="37132"/>
    <cellStyle name="Процентный 4 195" xfId="5119"/>
    <cellStyle name="Процентный 4 195 2" xfId="10460"/>
    <cellStyle name="Процентный 4 195 2 2" xfId="21140"/>
    <cellStyle name="Процентный 4 195 2 2 2" xfId="53184"/>
    <cellStyle name="Процентный 4 195 2 3" xfId="31821"/>
    <cellStyle name="Процентный 4 195 2 3 2" xfId="63864"/>
    <cellStyle name="Процентный 4 195 2 4" xfId="42504"/>
    <cellStyle name="Процентный 4 195 3" xfId="15800"/>
    <cellStyle name="Процентный 4 195 3 2" xfId="47844"/>
    <cellStyle name="Процентный 4 195 4" xfId="26481"/>
    <cellStyle name="Процентный 4 195 4 2" xfId="58524"/>
    <cellStyle name="Процентный 4 195 5" xfId="37164"/>
    <cellStyle name="Процентный 4 196" xfId="5151"/>
    <cellStyle name="Процентный 4 196 2" xfId="10492"/>
    <cellStyle name="Процентный 4 196 2 2" xfId="21172"/>
    <cellStyle name="Процентный 4 196 2 2 2" xfId="53216"/>
    <cellStyle name="Процентный 4 196 2 3" xfId="31853"/>
    <cellStyle name="Процентный 4 196 2 3 2" xfId="63896"/>
    <cellStyle name="Процентный 4 196 2 4" xfId="42536"/>
    <cellStyle name="Процентный 4 196 3" xfId="15832"/>
    <cellStyle name="Процентный 4 196 3 2" xfId="47876"/>
    <cellStyle name="Процентный 4 196 4" xfId="26513"/>
    <cellStyle name="Процентный 4 196 4 2" xfId="58556"/>
    <cellStyle name="Процентный 4 196 5" xfId="37196"/>
    <cellStyle name="Процентный 4 197" xfId="5183"/>
    <cellStyle name="Процентный 4 197 2" xfId="10524"/>
    <cellStyle name="Процентный 4 197 2 2" xfId="21204"/>
    <cellStyle name="Процентный 4 197 2 2 2" xfId="53248"/>
    <cellStyle name="Процентный 4 197 2 3" xfId="31885"/>
    <cellStyle name="Процентный 4 197 2 3 2" xfId="63928"/>
    <cellStyle name="Процентный 4 197 2 4" xfId="42568"/>
    <cellStyle name="Процентный 4 197 3" xfId="15864"/>
    <cellStyle name="Процентный 4 197 3 2" xfId="47908"/>
    <cellStyle name="Процентный 4 197 4" xfId="26545"/>
    <cellStyle name="Процентный 4 197 4 2" xfId="58588"/>
    <cellStyle name="Процентный 4 197 5" xfId="37228"/>
    <cellStyle name="Процентный 4 198" xfId="5215"/>
    <cellStyle name="Процентный 4 198 2" xfId="10556"/>
    <cellStyle name="Процентный 4 198 2 2" xfId="21236"/>
    <cellStyle name="Процентный 4 198 2 2 2" xfId="53280"/>
    <cellStyle name="Процентный 4 198 2 3" xfId="31917"/>
    <cellStyle name="Процентный 4 198 2 3 2" xfId="63960"/>
    <cellStyle name="Процентный 4 198 2 4" xfId="42600"/>
    <cellStyle name="Процентный 4 198 3" xfId="15896"/>
    <cellStyle name="Процентный 4 198 3 2" xfId="47940"/>
    <cellStyle name="Процентный 4 198 4" xfId="26577"/>
    <cellStyle name="Процентный 4 198 4 2" xfId="58620"/>
    <cellStyle name="Процентный 4 198 5" xfId="37260"/>
    <cellStyle name="Процентный 4 199" xfId="5247"/>
    <cellStyle name="Процентный 4 199 2" xfId="10588"/>
    <cellStyle name="Процентный 4 199 2 2" xfId="21268"/>
    <cellStyle name="Процентный 4 199 2 2 2" xfId="53312"/>
    <cellStyle name="Процентный 4 199 2 3" xfId="31949"/>
    <cellStyle name="Процентный 4 199 2 3 2" xfId="63992"/>
    <cellStyle name="Процентный 4 199 2 4" xfId="42632"/>
    <cellStyle name="Процентный 4 199 3" xfId="15928"/>
    <cellStyle name="Процентный 4 199 3 2" xfId="47972"/>
    <cellStyle name="Процентный 4 199 4" xfId="26609"/>
    <cellStyle name="Процентный 4 199 4 2" xfId="58652"/>
    <cellStyle name="Процентный 4 199 5" xfId="37292"/>
    <cellStyle name="Процентный 4 2" xfId="35"/>
    <cellStyle name="Процентный 4 2 10" xfId="155"/>
    <cellStyle name="Процентный 4 2 10 2" xfId="623"/>
    <cellStyle name="Процентный 4 2 10 2 2" xfId="5966"/>
    <cellStyle name="Процентный 4 2 10 2 2 2" xfId="16646"/>
    <cellStyle name="Процентный 4 2 10 2 2 2 2" xfId="48690"/>
    <cellStyle name="Процентный 4 2 10 2 2 3" xfId="27327"/>
    <cellStyle name="Процентный 4 2 10 2 2 3 2" xfId="59370"/>
    <cellStyle name="Процентный 4 2 10 2 2 4" xfId="38010"/>
    <cellStyle name="Процентный 4 2 10 2 3" xfId="11306"/>
    <cellStyle name="Процентный 4 2 10 2 3 2" xfId="43350"/>
    <cellStyle name="Процентный 4 2 10 2 4" xfId="21987"/>
    <cellStyle name="Процентный 4 2 10 2 4 2" xfId="54030"/>
    <cellStyle name="Процентный 4 2 10 2 5" xfId="32670"/>
    <cellStyle name="Процентный 4 2 10 3" xfId="5499"/>
    <cellStyle name="Процентный 4 2 10 3 2" xfId="16179"/>
    <cellStyle name="Процентный 4 2 10 3 2 2" xfId="48223"/>
    <cellStyle name="Процентный 4 2 10 3 3" xfId="26860"/>
    <cellStyle name="Процентный 4 2 10 3 3 2" xfId="58903"/>
    <cellStyle name="Процентный 4 2 10 3 4" xfId="37543"/>
    <cellStyle name="Процентный 4 2 10 4" xfId="10839"/>
    <cellStyle name="Процентный 4 2 10 4 2" xfId="42883"/>
    <cellStyle name="Процентный 4 2 10 5" xfId="21520"/>
    <cellStyle name="Процентный 4 2 10 5 2" xfId="53563"/>
    <cellStyle name="Процентный 4 2 10 6" xfId="32203"/>
    <cellStyle name="Процентный 4 2 100" xfId="2492"/>
    <cellStyle name="Процентный 4 2 100 2" xfId="7834"/>
    <cellStyle name="Процентный 4 2 100 2 2" xfId="18514"/>
    <cellStyle name="Процентный 4 2 100 2 2 2" xfId="50558"/>
    <cellStyle name="Процентный 4 2 100 2 3" xfId="29195"/>
    <cellStyle name="Процентный 4 2 100 2 3 2" xfId="61238"/>
    <cellStyle name="Процентный 4 2 100 2 4" xfId="39878"/>
    <cellStyle name="Процентный 4 2 100 3" xfId="13174"/>
    <cellStyle name="Процентный 4 2 100 3 2" xfId="45218"/>
    <cellStyle name="Процентный 4 2 100 4" xfId="23855"/>
    <cellStyle name="Процентный 4 2 100 4 2" xfId="55898"/>
    <cellStyle name="Процентный 4 2 100 5" xfId="34538"/>
    <cellStyle name="Процентный 4 2 101" xfId="2526"/>
    <cellStyle name="Процентный 4 2 101 2" xfId="7868"/>
    <cellStyle name="Процентный 4 2 101 2 2" xfId="18548"/>
    <cellStyle name="Процентный 4 2 101 2 2 2" xfId="50592"/>
    <cellStyle name="Процентный 4 2 101 2 3" xfId="29229"/>
    <cellStyle name="Процентный 4 2 101 2 3 2" xfId="61272"/>
    <cellStyle name="Процентный 4 2 101 2 4" xfId="39912"/>
    <cellStyle name="Процентный 4 2 101 3" xfId="13208"/>
    <cellStyle name="Процентный 4 2 101 3 2" xfId="45252"/>
    <cellStyle name="Процентный 4 2 101 4" xfId="23889"/>
    <cellStyle name="Процентный 4 2 101 4 2" xfId="55932"/>
    <cellStyle name="Процентный 4 2 101 5" xfId="34572"/>
    <cellStyle name="Процентный 4 2 102" xfId="2558"/>
    <cellStyle name="Процентный 4 2 102 2" xfId="7900"/>
    <cellStyle name="Процентный 4 2 102 2 2" xfId="18580"/>
    <cellStyle name="Процентный 4 2 102 2 2 2" xfId="50624"/>
    <cellStyle name="Процентный 4 2 102 2 3" xfId="29261"/>
    <cellStyle name="Процентный 4 2 102 2 3 2" xfId="61304"/>
    <cellStyle name="Процентный 4 2 102 2 4" xfId="39944"/>
    <cellStyle name="Процентный 4 2 102 3" xfId="13240"/>
    <cellStyle name="Процентный 4 2 102 3 2" xfId="45284"/>
    <cellStyle name="Процентный 4 2 102 4" xfId="23921"/>
    <cellStyle name="Процентный 4 2 102 4 2" xfId="55964"/>
    <cellStyle name="Процентный 4 2 102 5" xfId="34604"/>
    <cellStyle name="Процентный 4 2 103" xfId="2590"/>
    <cellStyle name="Процентный 4 2 103 2" xfId="7932"/>
    <cellStyle name="Процентный 4 2 103 2 2" xfId="18612"/>
    <cellStyle name="Процентный 4 2 103 2 2 2" xfId="50656"/>
    <cellStyle name="Процентный 4 2 103 2 3" xfId="29293"/>
    <cellStyle name="Процентный 4 2 103 2 3 2" xfId="61336"/>
    <cellStyle name="Процентный 4 2 103 2 4" xfId="39976"/>
    <cellStyle name="Процентный 4 2 103 3" xfId="13272"/>
    <cellStyle name="Процентный 4 2 103 3 2" xfId="45316"/>
    <cellStyle name="Процентный 4 2 103 4" xfId="23953"/>
    <cellStyle name="Процентный 4 2 103 4 2" xfId="55996"/>
    <cellStyle name="Процентный 4 2 103 5" xfId="34636"/>
    <cellStyle name="Процентный 4 2 104" xfId="2622"/>
    <cellStyle name="Процентный 4 2 104 2" xfId="7964"/>
    <cellStyle name="Процентный 4 2 104 2 2" xfId="18644"/>
    <cellStyle name="Процентный 4 2 104 2 2 2" xfId="50688"/>
    <cellStyle name="Процентный 4 2 104 2 3" xfId="29325"/>
    <cellStyle name="Процентный 4 2 104 2 3 2" xfId="61368"/>
    <cellStyle name="Процентный 4 2 104 2 4" xfId="40008"/>
    <cellStyle name="Процентный 4 2 104 3" xfId="13304"/>
    <cellStyle name="Процентный 4 2 104 3 2" xfId="45348"/>
    <cellStyle name="Процентный 4 2 104 4" xfId="23985"/>
    <cellStyle name="Процентный 4 2 104 4 2" xfId="56028"/>
    <cellStyle name="Процентный 4 2 104 5" xfId="34668"/>
    <cellStyle name="Процентный 4 2 105" xfId="2654"/>
    <cellStyle name="Процентный 4 2 105 2" xfId="7996"/>
    <cellStyle name="Процентный 4 2 105 2 2" xfId="18676"/>
    <cellStyle name="Процентный 4 2 105 2 2 2" xfId="50720"/>
    <cellStyle name="Процентный 4 2 105 2 3" xfId="29357"/>
    <cellStyle name="Процентный 4 2 105 2 3 2" xfId="61400"/>
    <cellStyle name="Процентный 4 2 105 2 4" xfId="40040"/>
    <cellStyle name="Процентный 4 2 105 3" xfId="13336"/>
    <cellStyle name="Процентный 4 2 105 3 2" xfId="45380"/>
    <cellStyle name="Процентный 4 2 105 4" xfId="24017"/>
    <cellStyle name="Процентный 4 2 105 4 2" xfId="56060"/>
    <cellStyle name="Процентный 4 2 105 5" xfId="34700"/>
    <cellStyle name="Процентный 4 2 106" xfId="2686"/>
    <cellStyle name="Процентный 4 2 106 2" xfId="8028"/>
    <cellStyle name="Процентный 4 2 106 2 2" xfId="18708"/>
    <cellStyle name="Процентный 4 2 106 2 2 2" xfId="50752"/>
    <cellStyle name="Процентный 4 2 106 2 3" xfId="29389"/>
    <cellStyle name="Процентный 4 2 106 2 3 2" xfId="61432"/>
    <cellStyle name="Процентный 4 2 106 2 4" xfId="40072"/>
    <cellStyle name="Процентный 4 2 106 3" xfId="13368"/>
    <cellStyle name="Процентный 4 2 106 3 2" xfId="45412"/>
    <cellStyle name="Процентный 4 2 106 4" xfId="24049"/>
    <cellStyle name="Процентный 4 2 106 4 2" xfId="56092"/>
    <cellStyle name="Процентный 4 2 106 5" xfId="34732"/>
    <cellStyle name="Процентный 4 2 107" xfId="2718"/>
    <cellStyle name="Процентный 4 2 107 2" xfId="8060"/>
    <cellStyle name="Процентный 4 2 107 2 2" xfId="18740"/>
    <cellStyle name="Процентный 4 2 107 2 2 2" xfId="50784"/>
    <cellStyle name="Процентный 4 2 107 2 3" xfId="29421"/>
    <cellStyle name="Процентный 4 2 107 2 3 2" xfId="61464"/>
    <cellStyle name="Процентный 4 2 107 2 4" xfId="40104"/>
    <cellStyle name="Процентный 4 2 107 3" xfId="13400"/>
    <cellStyle name="Процентный 4 2 107 3 2" xfId="45444"/>
    <cellStyle name="Процентный 4 2 107 4" xfId="24081"/>
    <cellStyle name="Процентный 4 2 107 4 2" xfId="56124"/>
    <cellStyle name="Процентный 4 2 107 5" xfId="34764"/>
    <cellStyle name="Процентный 4 2 108" xfId="2752"/>
    <cellStyle name="Процентный 4 2 108 2" xfId="8094"/>
    <cellStyle name="Процентный 4 2 108 2 2" xfId="18774"/>
    <cellStyle name="Процентный 4 2 108 2 2 2" xfId="50818"/>
    <cellStyle name="Процентный 4 2 108 2 3" xfId="29455"/>
    <cellStyle name="Процентный 4 2 108 2 3 2" xfId="61498"/>
    <cellStyle name="Процентный 4 2 108 2 4" xfId="40138"/>
    <cellStyle name="Процентный 4 2 108 3" xfId="13434"/>
    <cellStyle name="Процентный 4 2 108 3 2" xfId="45478"/>
    <cellStyle name="Процентный 4 2 108 4" xfId="24115"/>
    <cellStyle name="Процентный 4 2 108 4 2" xfId="56158"/>
    <cellStyle name="Процентный 4 2 108 5" xfId="34798"/>
    <cellStyle name="Процентный 4 2 109" xfId="2784"/>
    <cellStyle name="Процентный 4 2 109 2" xfId="8126"/>
    <cellStyle name="Процентный 4 2 109 2 2" xfId="18806"/>
    <cellStyle name="Процентный 4 2 109 2 2 2" xfId="50850"/>
    <cellStyle name="Процентный 4 2 109 2 3" xfId="29487"/>
    <cellStyle name="Процентный 4 2 109 2 3 2" xfId="61530"/>
    <cellStyle name="Процентный 4 2 109 2 4" xfId="40170"/>
    <cellStyle name="Процентный 4 2 109 3" xfId="13466"/>
    <cellStyle name="Процентный 4 2 109 3 2" xfId="45510"/>
    <cellStyle name="Процентный 4 2 109 4" xfId="24147"/>
    <cellStyle name="Процентный 4 2 109 4 2" xfId="56190"/>
    <cellStyle name="Процентный 4 2 109 5" xfId="34830"/>
    <cellStyle name="Процентный 4 2 11" xfId="165"/>
    <cellStyle name="Процентный 4 2 11 2" xfId="633"/>
    <cellStyle name="Процентный 4 2 11 2 2" xfId="5976"/>
    <cellStyle name="Процентный 4 2 11 2 2 2" xfId="16656"/>
    <cellStyle name="Процентный 4 2 11 2 2 2 2" xfId="48700"/>
    <cellStyle name="Процентный 4 2 11 2 2 3" xfId="27337"/>
    <cellStyle name="Процентный 4 2 11 2 2 3 2" xfId="59380"/>
    <cellStyle name="Процентный 4 2 11 2 2 4" xfId="38020"/>
    <cellStyle name="Процентный 4 2 11 2 3" xfId="11316"/>
    <cellStyle name="Процентный 4 2 11 2 3 2" xfId="43360"/>
    <cellStyle name="Процентный 4 2 11 2 4" xfId="21997"/>
    <cellStyle name="Процентный 4 2 11 2 4 2" xfId="54040"/>
    <cellStyle name="Процентный 4 2 11 2 5" xfId="32680"/>
    <cellStyle name="Процентный 4 2 11 3" xfId="5509"/>
    <cellStyle name="Процентный 4 2 11 3 2" xfId="16189"/>
    <cellStyle name="Процентный 4 2 11 3 2 2" xfId="48233"/>
    <cellStyle name="Процентный 4 2 11 3 3" xfId="26870"/>
    <cellStyle name="Процентный 4 2 11 3 3 2" xfId="58913"/>
    <cellStyle name="Процентный 4 2 11 3 4" xfId="37553"/>
    <cellStyle name="Процентный 4 2 11 4" xfId="10849"/>
    <cellStyle name="Процентный 4 2 11 4 2" xfId="42893"/>
    <cellStyle name="Процентный 4 2 11 5" xfId="21530"/>
    <cellStyle name="Процентный 4 2 11 5 2" xfId="53573"/>
    <cellStyle name="Процентный 4 2 11 6" xfId="32213"/>
    <cellStyle name="Процентный 4 2 110" xfId="2816"/>
    <cellStyle name="Процентный 4 2 110 2" xfId="8158"/>
    <cellStyle name="Процентный 4 2 110 2 2" xfId="18838"/>
    <cellStyle name="Процентный 4 2 110 2 2 2" xfId="50882"/>
    <cellStyle name="Процентный 4 2 110 2 3" xfId="29519"/>
    <cellStyle name="Процентный 4 2 110 2 3 2" xfId="61562"/>
    <cellStyle name="Процентный 4 2 110 2 4" xfId="40202"/>
    <cellStyle name="Процентный 4 2 110 3" xfId="13498"/>
    <cellStyle name="Процентный 4 2 110 3 2" xfId="45542"/>
    <cellStyle name="Процентный 4 2 110 4" xfId="24179"/>
    <cellStyle name="Процентный 4 2 110 4 2" xfId="56222"/>
    <cellStyle name="Процентный 4 2 110 5" xfId="34862"/>
    <cellStyle name="Процентный 4 2 111" xfId="2848"/>
    <cellStyle name="Процентный 4 2 111 2" xfId="8190"/>
    <cellStyle name="Процентный 4 2 111 2 2" xfId="18870"/>
    <cellStyle name="Процентный 4 2 111 2 2 2" xfId="50914"/>
    <cellStyle name="Процентный 4 2 111 2 3" xfId="29551"/>
    <cellStyle name="Процентный 4 2 111 2 3 2" xfId="61594"/>
    <cellStyle name="Процентный 4 2 111 2 4" xfId="40234"/>
    <cellStyle name="Процентный 4 2 111 3" xfId="13530"/>
    <cellStyle name="Процентный 4 2 111 3 2" xfId="45574"/>
    <cellStyle name="Процентный 4 2 111 4" xfId="24211"/>
    <cellStyle name="Процентный 4 2 111 4 2" xfId="56254"/>
    <cellStyle name="Процентный 4 2 111 5" xfId="34894"/>
    <cellStyle name="Процентный 4 2 112" xfId="2880"/>
    <cellStyle name="Процентный 4 2 112 2" xfId="8222"/>
    <cellStyle name="Процентный 4 2 112 2 2" xfId="18902"/>
    <cellStyle name="Процентный 4 2 112 2 2 2" xfId="50946"/>
    <cellStyle name="Процентный 4 2 112 2 3" xfId="29583"/>
    <cellStyle name="Процентный 4 2 112 2 3 2" xfId="61626"/>
    <cellStyle name="Процентный 4 2 112 2 4" xfId="40266"/>
    <cellStyle name="Процентный 4 2 112 3" xfId="13562"/>
    <cellStyle name="Процентный 4 2 112 3 2" xfId="45606"/>
    <cellStyle name="Процентный 4 2 112 4" xfId="24243"/>
    <cellStyle name="Процентный 4 2 112 4 2" xfId="56286"/>
    <cellStyle name="Процентный 4 2 112 5" xfId="34926"/>
    <cellStyle name="Процентный 4 2 113" xfId="2912"/>
    <cellStyle name="Процентный 4 2 113 2" xfId="8254"/>
    <cellStyle name="Процентный 4 2 113 2 2" xfId="18934"/>
    <cellStyle name="Процентный 4 2 113 2 2 2" xfId="50978"/>
    <cellStyle name="Процентный 4 2 113 2 3" xfId="29615"/>
    <cellStyle name="Процентный 4 2 113 2 3 2" xfId="61658"/>
    <cellStyle name="Процентный 4 2 113 2 4" xfId="40298"/>
    <cellStyle name="Процентный 4 2 113 3" xfId="13594"/>
    <cellStyle name="Процентный 4 2 113 3 2" xfId="45638"/>
    <cellStyle name="Процентный 4 2 113 4" xfId="24275"/>
    <cellStyle name="Процентный 4 2 113 4 2" xfId="56318"/>
    <cellStyle name="Процентный 4 2 113 5" xfId="34958"/>
    <cellStyle name="Процентный 4 2 114" xfId="2944"/>
    <cellStyle name="Процентный 4 2 114 2" xfId="8286"/>
    <cellStyle name="Процентный 4 2 114 2 2" xfId="18966"/>
    <cellStyle name="Процентный 4 2 114 2 2 2" xfId="51010"/>
    <cellStyle name="Процентный 4 2 114 2 3" xfId="29647"/>
    <cellStyle name="Процентный 4 2 114 2 3 2" xfId="61690"/>
    <cellStyle name="Процентный 4 2 114 2 4" xfId="40330"/>
    <cellStyle name="Процентный 4 2 114 3" xfId="13626"/>
    <cellStyle name="Процентный 4 2 114 3 2" xfId="45670"/>
    <cellStyle name="Процентный 4 2 114 4" xfId="24307"/>
    <cellStyle name="Процентный 4 2 114 4 2" xfId="56350"/>
    <cellStyle name="Процентный 4 2 114 5" xfId="34990"/>
    <cellStyle name="Процентный 4 2 115" xfId="2976"/>
    <cellStyle name="Процентный 4 2 115 2" xfId="8318"/>
    <cellStyle name="Процентный 4 2 115 2 2" xfId="18998"/>
    <cellStyle name="Процентный 4 2 115 2 2 2" xfId="51042"/>
    <cellStyle name="Процентный 4 2 115 2 3" xfId="29679"/>
    <cellStyle name="Процентный 4 2 115 2 3 2" xfId="61722"/>
    <cellStyle name="Процентный 4 2 115 2 4" xfId="40362"/>
    <cellStyle name="Процентный 4 2 115 3" xfId="13658"/>
    <cellStyle name="Процентный 4 2 115 3 2" xfId="45702"/>
    <cellStyle name="Процентный 4 2 115 4" xfId="24339"/>
    <cellStyle name="Процентный 4 2 115 4 2" xfId="56382"/>
    <cellStyle name="Процентный 4 2 115 5" xfId="35022"/>
    <cellStyle name="Процентный 4 2 116" xfId="3008"/>
    <cellStyle name="Процентный 4 2 116 2" xfId="8350"/>
    <cellStyle name="Процентный 4 2 116 2 2" xfId="19030"/>
    <cellStyle name="Процентный 4 2 116 2 2 2" xfId="51074"/>
    <cellStyle name="Процентный 4 2 116 2 3" xfId="29711"/>
    <cellStyle name="Процентный 4 2 116 2 3 2" xfId="61754"/>
    <cellStyle name="Процентный 4 2 116 2 4" xfId="40394"/>
    <cellStyle name="Процентный 4 2 116 3" xfId="13690"/>
    <cellStyle name="Процентный 4 2 116 3 2" xfId="45734"/>
    <cellStyle name="Процентный 4 2 116 4" xfId="24371"/>
    <cellStyle name="Процентный 4 2 116 4 2" xfId="56414"/>
    <cellStyle name="Процентный 4 2 116 5" xfId="35054"/>
    <cellStyle name="Процентный 4 2 117" xfId="3040"/>
    <cellStyle name="Процентный 4 2 117 2" xfId="8382"/>
    <cellStyle name="Процентный 4 2 117 2 2" xfId="19062"/>
    <cellStyle name="Процентный 4 2 117 2 2 2" xfId="51106"/>
    <cellStyle name="Процентный 4 2 117 2 3" xfId="29743"/>
    <cellStyle name="Процентный 4 2 117 2 3 2" xfId="61786"/>
    <cellStyle name="Процентный 4 2 117 2 4" xfId="40426"/>
    <cellStyle name="Процентный 4 2 117 3" xfId="13722"/>
    <cellStyle name="Процентный 4 2 117 3 2" xfId="45766"/>
    <cellStyle name="Процентный 4 2 117 4" xfId="24403"/>
    <cellStyle name="Процентный 4 2 117 4 2" xfId="56446"/>
    <cellStyle name="Процентный 4 2 117 5" xfId="35086"/>
    <cellStyle name="Процентный 4 2 118" xfId="3072"/>
    <cellStyle name="Процентный 4 2 118 2" xfId="8414"/>
    <cellStyle name="Процентный 4 2 118 2 2" xfId="19094"/>
    <cellStyle name="Процентный 4 2 118 2 2 2" xfId="51138"/>
    <cellStyle name="Процентный 4 2 118 2 3" xfId="29775"/>
    <cellStyle name="Процентный 4 2 118 2 3 2" xfId="61818"/>
    <cellStyle name="Процентный 4 2 118 2 4" xfId="40458"/>
    <cellStyle name="Процентный 4 2 118 3" xfId="13754"/>
    <cellStyle name="Процентный 4 2 118 3 2" xfId="45798"/>
    <cellStyle name="Процентный 4 2 118 4" xfId="24435"/>
    <cellStyle name="Процентный 4 2 118 4 2" xfId="56478"/>
    <cellStyle name="Процентный 4 2 118 5" xfId="35118"/>
    <cellStyle name="Процентный 4 2 119" xfId="3105"/>
    <cellStyle name="Процентный 4 2 119 2" xfId="8446"/>
    <cellStyle name="Процентный 4 2 119 2 2" xfId="19126"/>
    <cellStyle name="Процентный 4 2 119 2 2 2" xfId="51170"/>
    <cellStyle name="Процентный 4 2 119 2 3" xfId="29807"/>
    <cellStyle name="Процентный 4 2 119 2 3 2" xfId="61850"/>
    <cellStyle name="Процентный 4 2 119 2 4" xfId="40490"/>
    <cellStyle name="Процентный 4 2 119 3" xfId="13786"/>
    <cellStyle name="Процентный 4 2 119 3 2" xfId="45830"/>
    <cellStyle name="Процентный 4 2 119 4" xfId="24467"/>
    <cellStyle name="Процентный 4 2 119 4 2" xfId="56510"/>
    <cellStyle name="Процентный 4 2 119 5" xfId="35150"/>
    <cellStyle name="Процентный 4 2 12" xfId="175"/>
    <cellStyle name="Процентный 4 2 12 2" xfId="643"/>
    <cellStyle name="Процентный 4 2 12 2 2" xfId="5986"/>
    <cellStyle name="Процентный 4 2 12 2 2 2" xfId="16666"/>
    <cellStyle name="Процентный 4 2 12 2 2 2 2" xfId="48710"/>
    <cellStyle name="Процентный 4 2 12 2 2 3" xfId="27347"/>
    <cellStyle name="Процентный 4 2 12 2 2 3 2" xfId="59390"/>
    <cellStyle name="Процентный 4 2 12 2 2 4" xfId="38030"/>
    <cellStyle name="Процентный 4 2 12 2 3" xfId="11326"/>
    <cellStyle name="Процентный 4 2 12 2 3 2" xfId="43370"/>
    <cellStyle name="Процентный 4 2 12 2 4" xfId="22007"/>
    <cellStyle name="Процентный 4 2 12 2 4 2" xfId="54050"/>
    <cellStyle name="Процентный 4 2 12 2 5" xfId="32690"/>
    <cellStyle name="Процентный 4 2 12 3" xfId="5519"/>
    <cellStyle name="Процентный 4 2 12 3 2" xfId="16199"/>
    <cellStyle name="Процентный 4 2 12 3 2 2" xfId="48243"/>
    <cellStyle name="Процентный 4 2 12 3 3" xfId="26880"/>
    <cellStyle name="Процентный 4 2 12 3 3 2" xfId="58923"/>
    <cellStyle name="Процентный 4 2 12 3 4" xfId="37563"/>
    <cellStyle name="Процентный 4 2 12 4" xfId="10859"/>
    <cellStyle name="Процентный 4 2 12 4 2" xfId="42903"/>
    <cellStyle name="Процентный 4 2 12 5" xfId="21540"/>
    <cellStyle name="Процентный 4 2 12 5 2" xfId="53583"/>
    <cellStyle name="Процентный 4 2 12 6" xfId="32223"/>
    <cellStyle name="Процентный 4 2 120" xfId="3137"/>
    <cellStyle name="Процентный 4 2 120 2" xfId="8478"/>
    <cellStyle name="Процентный 4 2 120 2 2" xfId="19158"/>
    <cellStyle name="Процентный 4 2 120 2 2 2" xfId="51202"/>
    <cellStyle name="Процентный 4 2 120 2 3" xfId="29839"/>
    <cellStyle name="Процентный 4 2 120 2 3 2" xfId="61882"/>
    <cellStyle name="Процентный 4 2 120 2 4" xfId="40522"/>
    <cellStyle name="Процентный 4 2 120 3" xfId="13818"/>
    <cellStyle name="Процентный 4 2 120 3 2" xfId="45862"/>
    <cellStyle name="Процентный 4 2 120 4" xfId="24499"/>
    <cellStyle name="Процентный 4 2 120 4 2" xfId="56542"/>
    <cellStyle name="Процентный 4 2 120 5" xfId="35182"/>
    <cellStyle name="Процентный 4 2 121" xfId="3169"/>
    <cellStyle name="Процентный 4 2 121 2" xfId="8510"/>
    <cellStyle name="Процентный 4 2 121 2 2" xfId="19190"/>
    <cellStyle name="Процентный 4 2 121 2 2 2" xfId="51234"/>
    <cellStyle name="Процентный 4 2 121 2 3" xfId="29871"/>
    <cellStyle name="Процентный 4 2 121 2 3 2" xfId="61914"/>
    <cellStyle name="Процентный 4 2 121 2 4" xfId="40554"/>
    <cellStyle name="Процентный 4 2 121 3" xfId="13850"/>
    <cellStyle name="Процентный 4 2 121 3 2" xfId="45894"/>
    <cellStyle name="Процентный 4 2 121 4" xfId="24531"/>
    <cellStyle name="Процентный 4 2 121 4 2" xfId="56574"/>
    <cellStyle name="Процентный 4 2 121 5" xfId="35214"/>
    <cellStyle name="Процентный 4 2 122" xfId="3201"/>
    <cellStyle name="Процентный 4 2 122 2" xfId="8542"/>
    <cellStyle name="Процентный 4 2 122 2 2" xfId="19222"/>
    <cellStyle name="Процентный 4 2 122 2 2 2" xfId="51266"/>
    <cellStyle name="Процентный 4 2 122 2 3" xfId="29903"/>
    <cellStyle name="Процентный 4 2 122 2 3 2" xfId="61946"/>
    <cellStyle name="Процентный 4 2 122 2 4" xfId="40586"/>
    <cellStyle name="Процентный 4 2 122 3" xfId="13882"/>
    <cellStyle name="Процентный 4 2 122 3 2" xfId="45926"/>
    <cellStyle name="Процентный 4 2 122 4" xfId="24563"/>
    <cellStyle name="Процентный 4 2 122 4 2" xfId="56606"/>
    <cellStyle name="Процентный 4 2 122 5" xfId="35246"/>
    <cellStyle name="Процентный 4 2 123" xfId="3233"/>
    <cellStyle name="Процентный 4 2 123 2" xfId="8574"/>
    <cellStyle name="Процентный 4 2 123 2 2" xfId="19254"/>
    <cellStyle name="Процентный 4 2 123 2 2 2" xfId="51298"/>
    <cellStyle name="Процентный 4 2 123 2 3" xfId="29935"/>
    <cellStyle name="Процентный 4 2 123 2 3 2" xfId="61978"/>
    <cellStyle name="Процентный 4 2 123 2 4" xfId="40618"/>
    <cellStyle name="Процентный 4 2 123 3" xfId="13914"/>
    <cellStyle name="Процентный 4 2 123 3 2" xfId="45958"/>
    <cellStyle name="Процентный 4 2 123 4" xfId="24595"/>
    <cellStyle name="Процентный 4 2 123 4 2" xfId="56638"/>
    <cellStyle name="Процентный 4 2 123 5" xfId="35278"/>
    <cellStyle name="Процентный 4 2 124" xfId="3265"/>
    <cellStyle name="Процентный 4 2 124 2" xfId="8606"/>
    <cellStyle name="Процентный 4 2 124 2 2" xfId="19286"/>
    <cellStyle name="Процентный 4 2 124 2 2 2" xfId="51330"/>
    <cellStyle name="Процентный 4 2 124 2 3" xfId="29967"/>
    <cellStyle name="Процентный 4 2 124 2 3 2" xfId="62010"/>
    <cellStyle name="Процентный 4 2 124 2 4" xfId="40650"/>
    <cellStyle name="Процентный 4 2 124 3" xfId="13946"/>
    <cellStyle name="Процентный 4 2 124 3 2" xfId="45990"/>
    <cellStyle name="Процентный 4 2 124 4" xfId="24627"/>
    <cellStyle name="Процентный 4 2 124 4 2" xfId="56670"/>
    <cellStyle name="Процентный 4 2 124 5" xfId="35310"/>
    <cellStyle name="Процентный 4 2 125" xfId="3297"/>
    <cellStyle name="Процентный 4 2 125 2" xfId="8638"/>
    <cellStyle name="Процентный 4 2 125 2 2" xfId="19318"/>
    <cellStyle name="Процентный 4 2 125 2 2 2" xfId="51362"/>
    <cellStyle name="Процентный 4 2 125 2 3" xfId="29999"/>
    <cellStyle name="Процентный 4 2 125 2 3 2" xfId="62042"/>
    <cellStyle name="Процентный 4 2 125 2 4" xfId="40682"/>
    <cellStyle name="Процентный 4 2 125 3" xfId="13978"/>
    <cellStyle name="Процентный 4 2 125 3 2" xfId="46022"/>
    <cellStyle name="Процентный 4 2 125 4" xfId="24659"/>
    <cellStyle name="Процентный 4 2 125 4 2" xfId="56702"/>
    <cellStyle name="Процентный 4 2 125 5" xfId="35342"/>
    <cellStyle name="Процентный 4 2 126" xfId="3329"/>
    <cellStyle name="Процентный 4 2 126 2" xfId="8670"/>
    <cellStyle name="Процентный 4 2 126 2 2" xfId="19350"/>
    <cellStyle name="Процентный 4 2 126 2 2 2" xfId="51394"/>
    <cellStyle name="Процентный 4 2 126 2 3" xfId="30031"/>
    <cellStyle name="Процентный 4 2 126 2 3 2" xfId="62074"/>
    <cellStyle name="Процентный 4 2 126 2 4" xfId="40714"/>
    <cellStyle name="Процентный 4 2 126 3" xfId="14010"/>
    <cellStyle name="Процентный 4 2 126 3 2" xfId="46054"/>
    <cellStyle name="Процентный 4 2 126 4" xfId="24691"/>
    <cellStyle name="Процентный 4 2 126 4 2" xfId="56734"/>
    <cellStyle name="Процентный 4 2 126 5" xfId="35374"/>
    <cellStyle name="Процентный 4 2 127" xfId="3361"/>
    <cellStyle name="Процентный 4 2 127 2" xfId="8702"/>
    <cellStyle name="Процентный 4 2 127 2 2" xfId="19382"/>
    <cellStyle name="Процентный 4 2 127 2 2 2" xfId="51426"/>
    <cellStyle name="Процентный 4 2 127 2 3" xfId="30063"/>
    <cellStyle name="Процентный 4 2 127 2 3 2" xfId="62106"/>
    <cellStyle name="Процентный 4 2 127 2 4" xfId="40746"/>
    <cellStyle name="Процентный 4 2 127 3" xfId="14042"/>
    <cellStyle name="Процентный 4 2 127 3 2" xfId="46086"/>
    <cellStyle name="Процентный 4 2 127 4" xfId="24723"/>
    <cellStyle name="Процентный 4 2 127 4 2" xfId="56766"/>
    <cellStyle name="Процентный 4 2 127 5" xfId="35406"/>
    <cellStyle name="Процентный 4 2 128" xfId="3393"/>
    <cellStyle name="Процентный 4 2 128 2" xfId="8734"/>
    <cellStyle name="Процентный 4 2 128 2 2" xfId="19414"/>
    <cellStyle name="Процентный 4 2 128 2 2 2" xfId="51458"/>
    <cellStyle name="Процентный 4 2 128 2 3" xfId="30095"/>
    <cellStyle name="Процентный 4 2 128 2 3 2" xfId="62138"/>
    <cellStyle name="Процентный 4 2 128 2 4" xfId="40778"/>
    <cellStyle name="Процентный 4 2 128 3" xfId="14074"/>
    <cellStyle name="Процентный 4 2 128 3 2" xfId="46118"/>
    <cellStyle name="Процентный 4 2 128 4" xfId="24755"/>
    <cellStyle name="Процентный 4 2 128 4 2" xfId="56798"/>
    <cellStyle name="Процентный 4 2 128 5" xfId="35438"/>
    <cellStyle name="Процентный 4 2 129" xfId="3425"/>
    <cellStyle name="Процентный 4 2 129 2" xfId="8766"/>
    <cellStyle name="Процентный 4 2 129 2 2" xfId="19446"/>
    <cellStyle name="Процентный 4 2 129 2 2 2" xfId="51490"/>
    <cellStyle name="Процентный 4 2 129 2 3" xfId="30127"/>
    <cellStyle name="Процентный 4 2 129 2 3 2" xfId="62170"/>
    <cellStyle name="Процентный 4 2 129 2 4" xfId="40810"/>
    <cellStyle name="Процентный 4 2 129 3" xfId="14106"/>
    <cellStyle name="Процентный 4 2 129 3 2" xfId="46150"/>
    <cellStyle name="Процентный 4 2 129 4" xfId="24787"/>
    <cellStyle name="Процентный 4 2 129 4 2" xfId="56830"/>
    <cellStyle name="Процентный 4 2 129 5" xfId="35470"/>
    <cellStyle name="Процентный 4 2 13" xfId="185"/>
    <cellStyle name="Процентный 4 2 13 2" xfId="653"/>
    <cellStyle name="Процентный 4 2 13 2 2" xfId="5996"/>
    <cellStyle name="Процентный 4 2 13 2 2 2" xfId="16676"/>
    <cellStyle name="Процентный 4 2 13 2 2 2 2" xfId="48720"/>
    <cellStyle name="Процентный 4 2 13 2 2 3" xfId="27357"/>
    <cellStyle name="Процентный 4 2 13 2 2 3 2" xfId="59400"/>
    <cellStyle name="Процентный 4 2 13 2 2 4" xfId="38040"/>
    <cellStyle name="Процентный 4 2 13 2 3" xfId="11336"/>
    <cellStyle name="Процентный 4 2 13 2 3 2" xfId="43380"/>
    <cellStyle name="Процентный 4 2 13 2 4" xfId="22017"/>
    <cellStyle name="Процентный 4 2 13 2 4 2" xfId="54060"/>
    <cellStyle name="Процентный 4 2 13 2 5" xfId="32700"/>
    <cellStyle name="Процентный 4 2 13 3" xfId="5529"/>
    <cellStyle name="Процентный 4 2 13 3 2" xfId="16209"/>
    <cellStyle name="Процентный 4 2 13 3 2 2" xfId="48253"/>
    <cellStyle name="Процентный 4 2 13 3 3" xfId="26890"/>
    <cellStyle name="Процентный 4 2 13 3 3 2" xfId="58933"/>
    <cellStyle name="Процентный 4 2 13 3 4" xfId="37573"/>
    <cellStyle name="Процентный 4 2 13 4" xfId="10869"/>
    <cellStyle name="Процентный 4 2 13 4 2" xfId="42913"/>
    <cellStyle name="Процентный 4 2 13 5" xfId="21550"/>
    <cellStyle name="Процентный 4 2 13 5 2" xfId="53593"/>
    <cellStyle name="Процентный 4 2 13 6" xfId="32233"/>
    <cellStyle name="Процентный 4 2 130" xfId="3457"/>
    <cellStyle name="Процентный 4 2 130 2" xfId="8798"/>
    <cellStyle name="Процентный 4 2 130 2 2" xfId="19478"/>
    <cellStyle name="Процентный 4 2 130 2 2 2" xfId="51522"/>
    <cellStyle name="Процентный 4 2 130 2 3" xfId="30159"/>
    <cellStyle name="Процентный 4 2 130 2 3 2" xfId="62202"/>
    <cellStyle name="Процентный 4 2 130 2 4" xfId="40842"/>
    <cellStyle name="Процентный 4 2 130 3" xfId="14138"/>
    <cellStyle name="Процентный 4 2 130 3 2" xfId="46182"/>
    <cellStyle name="Процентный 4 2 130 4" xfId="24819"/>
    <cellStyle name="Процентный 4 2 130 4 2" xfId="56862"/>
    <cellStyle name="Процентный 4 2 130 5" xfId="35502"/>
    <cellStyle name="Процентный 4 2 131" xfId="3489"/>
    <cellStyle name="Процентный 4 2 131 2" xfId="8830"/>
    <cellStyle name="Процентный 4 2 131 2 2" xfId="19510"/>
    <cellStyle name="Процентный 4 2 131 2 2 2" xfId="51554"/>
    <cellStyle name="Процентный 4 2 131 2 3" xfId="30191"/>
    <cellStyle name="Процентный 4 2 131 2 3 2" xfId="62234"/>
    <cellStyle name="Процентный 4 2 131 2 4" xfId="40874"/>
    <cellStyle name="Процентный 4 2 131 3" xfId="14170"/>
    <cellStyle name="Процентный 4 2 131 3 2" xfId="46214"/>
    <cellStyle name="Процентный 4 2 131 4" xfId="24851"/>
    <cellStyle name="Процентный 4 2 131 4 2" xfId="56894"/>
    <cellStyle name="Процентный 4 2 131 5" xfId="35534"/>
    <cellStyle name="Процентный 4 2 132" xfId="3521"/>
    <cellStyle name="Процентный 4 2 132 2" xfId="8862"/>
    <cellStyle name="Процентный 4 2 132 2 2" xfId="19542"/>
    <cellStyle name="Процентный 4 2 132 2 2 2" xfId="51586"/>
    <cellStyle name="Процентный 4 2 132 2 3" xfId="30223"/>
    <cellStyle name="Процентный 4 2 132 2 3 2" xfId="62266"/>
    <cellStyle name="Процентный 4 2 132 2 4" xfId="40906"/>
    <cellStyle name="Процентный 4 2 132 3" xfId="14202"/>
    <cellStyle name="Процентный 4 2 132 3 2" xfId="46246"/>
    <cellStyle name="Процентный 4 2 132 4" xfId="24883"/>
    <cellStyle name="Процентный 4 2 132 4 2" xfId="56926"/>
    <cellStyle name="Процентный 4 2 132 5" xfId="35566"/>
    <cellStyle name="Процентный 4 2 133" xfId="3553"/>
    <cellStyle name="Процентный 4 2 133 2" xfId="8894"/>
    <cellStyle name="Процентный 4 2 133 2 2" xfId="19574"/>
    <cellStyle name="Процентный 4 2 133 2 2 2" xfId="51618"/>
    <cellStyle name="Процентный 4 2 133 2 3" xfId="30255"/>
    <cellStyle name="Процентный 4 2 133 2 3 2" xfId="62298"/>
    <cellStyle name="Процентный 4 2 133 2 4" xfId="40938"/>
    <cellStyle name="Процентный 4 2 133 3" xfId="14234"/>
    <cellStyle name="Процентный 4 2 133 3 2" xfId="46278"/>
    <cellStyle name="Процентный 4 2 133 4" xfId="24915"/>
    <cellStyle name="Процентный 4 2 133 4 2" xfId="56958"/>
    <cellStyle name="Процентный 4 2 133 5" xfId="35598"/>
    <cellStyle name="Процентный 4 2 134" xfId="3585"/>
    <cellStyle name="Процентный 4 2 134 2" xfId="8926"/>
    <cellStyle name="Процентный 4 2 134 2 2" xfId="19606"/>
    <cellStyle name="Процентный 4 2 134 2 2 2" xfId="51650"/>
    <cellStyle name="Процентный 4 2 134 2 3" xfId="30287"/>
    <cellStyle name="Процентный 4 2 134 2 3 2" xfId="62330"/>
    <cellStyle name="Процентный 4 2 134 2 4" xfId="40970"/>
    <cellStyle name="Процентный 4 2 134 3" xfId="14266"/>
    <cellStyle name="Процентный 4 2 134 3 2" xfId="46310"/>
    <cellStyle name="Процентный 4 2 134 4" xfId="24947"/>
    <cellStyle name="Процентный 4 2 134 4 2" xfId="56990"/>
    <cellStyle name="Процентный 4 2 134 5" xfId="35630"/>
    <cellStyle name="Процентный 4 2 135" xfId="3617"/>
    <cellStyle name="Процентный 4 2 135 2" xfId="8958"/>
    <cellStyle name="Процентный 4 2 135 2 2" xfId="19638"/>
    <cellStyle name="Процентный 4 2 135 2 2 2" xfId="51682"/>
    <cellStyle name="Процентный 4 2 135 2 3" xfId="30319"/>
    <cellStyle name="Процентный 4 2 135 2 3 2" xfId="62362"/>
    <cellStyle name="Процентный 4 2 135 2 4" xfId="41002"/>
    <cellStyle name="Процентный 4 2 135 3" xfId="14298"/>
    <cellStyle name="Процентный 4 2 135 3 2" xfId="46342"/>
    <cellStyle name="Процентный 4 2 135 4" xfId="24979"/>
    <cellStyle name="Процентный 4 2 135 4 2" xfId="57022"/>
    <cellStyle name="Процентный 4 2 135 5" xfId="35662"/>
    <cellStyle name="Процентный 4 2 136" xfId="3649"/>
    <cellStyle name="Процентный 4 2 136 2" xfId="8990"/>
    <cellStyle name="Процентный 4 2 136 2 2" xfId="19670"/>
    <cellStyle name="Процентный 4 2 136 2 2 2" xfId="51714"/>
    <cellStyle name="Процентный 4 2 136 2 3" xfId="30351"/>
    <cellStyle name="Процентный 4 2 136 2 3 2" xfId="62394"/>
    <cellStyle name="Процентный 4 2 136 2 4" xfId="41034"/>
    <cellStyle name="Процентный 4 2 136 3" xfId="14330"/>
    <cellStyle name="Процентный 4 2 136 3 2" xfId="46374"/>
    <cellStyle name="Процентный 4 2 136 4" xfId="25011"/>
    <cellStyle name="Процентный 4 2 136 4 2" xfId="57054"/>
    <cellStyle name="Процентный 4 2 136 5" xfId="35694"/>
    <cellStyle name="Процентный 4 2 137" xfId="3681"/>
    <cellStyle name="Процентный 4 2 137 2" xfId="9022"/>
    <cellStyle name="Процентный 4 2 137 2 2" xfId="19702"/>
    <cellStyle name="Процентный 4 2 137 2 2 2" xfId="51746"/>
    <cellStyle name="Процентный 4 2 137 2 3" xfId="30383"/>
    <cellStyle name="Процентный 4 2 137 2 3 2" xfId="62426"/>
    <cellStyle name="Процентный 4 2 137 2 4" xfId="41066"/>
    <cellStyle name="Процентный 4 2 137 3" xfId="14362"/>
    <cellStyle name="Процентный 4 2 137 3 2" xfId="46406"/>
    <cellStyle name="Процентный 4 2 137 4" xfId="25043"/>
    <cellStyle name="Процентный 4 2 137 4 2" xfId="57086"/>
    <cellStyle name="Процентный 4 2 137 5" xfId="35726"/>
    <cellStyle name="Процентный 4 2 138" xfId="3713"/>
    <cellStyle name="Процентный 4 2 138 2" xfId="9054"/>
    <cellStyle name="Процентный 4 2 138 2 2" xfId="19734"/>
    <cellStyle name="Процентный 4 2 138 2 2 2" xfId="51778"/>
    <cellStyle name="Процентный 4 2 138 2 3" xfId="30415"/>
    <cellStyle name="Процентный 4 2 138 2 3 2" xfId="62458"/>
    <cellStyle name="Процентный 4 2 138 2 4" xfId="41098"/>
    <cellStyle name="Процентный 4 2 138 3" xfId="14394"/>
    <cellStyle name="Процентный 4 2 138 3 2" xfId="46438"/>
    <cellStyle name="Процентный 4 2 138 4" xfId="25075"/>
    <cellStyle name="Процентный 4 2 138 4 2" xfId="57118"/>
    <cellStyle name="Процентный 4 2 138 5" xfId="35758"/>
    <cellStyle name="Процентный 4 2 139" xfId="3745"/>
    <cellStyle name="Процентный 4 2 139 2" xfId="9086"/>
    <cellStyle name="Процентный 4 2 139 2 2" xfId="19766"/>
    <cellStyle name="Процентный 4 2 139 2 2 2" xfId="51810"/>
    <cellStyle name="Процентный 4 2 139 2 3" xfId="30447"/>
    <cellStyle name="Процентный 4 2 139 2 3 2" xfId="62490"/>
    <cellStyle name="Процентный 4 2 139 2 4" xfId="41130"/>
    <cellStyle name="Процентный 4 2 139 3" xfId="14426"/>
    <cellStyle name="Процентный 4 2 139 3 2" xfId="46470"/>
    <cellStyle name="Процентный 4 2 139 4" xfId="25107"/>
    <cellStyle name="Процентный 4 2 139 4 2" xfId="57150"/>
    <cellStyle name="Процентный 4 2 139 5" xfId="35790"/>
    <cellStyle name="Процентный 4 2 14" xfId="195"/>
    <cellStyle name="Процентный 4 2 14 2" xfId="663"/>
    <cellStyle name="Процентный 4 2 14 2 2" xfId="6006"/>
    <cellStyle name="Процентный 4 2 14 2 2 2" xfId="16686"/>
    <cellStyle name="Процентный 4 2 14 2 2 2 2" xfId="48730"/>
    <cellStyle name="Процентный 4 2 14 2 2 3" xfId="27367"/>
    <cellStyle name="Процентный 4 2 14 2 2 3 2" xfId="59410"/>
    <cellStyle name="Процентный 4 2 14 2 2 4" xfId="38050"/>
    <cellStyle name="Процентный 4 2 14 2 3" xfId="11346"/>
    <cellStyle name="Процентный 4 2 14 2 3 2" xfId="43390"/>
    <cellStyle name="Процентный 4 2 14 2 4" xfId="22027"/>
    <cellStyle name="Процентный 4 2 14 2 4 2" xfId="54070"/>
    <cellStyle name="Процентный 4 2 14 2 5" xfId="32710"/>
    <cellStyle name="Процентный 4 2 14 3" xfId="5539"/>
    <cellStyle name="Процентный 4 2 14 3 2" xfId="16219"/>
    <cellStyle name="Процентный 4 2 14 3 2 2" xfId="48263"/>
    <cellStyle name="Процентный 4 2 14 3 3" xfId="26900"/>
    <cellStyle name="Процентный 4 2 14 3 3 2" xfId="58943"/>
    <cellStyle name="Процентный 4 2 14 3 4" xfId="37583"/>
    <cellStyle name="Процентный 4 2 14 4" xfId="10879"/>
    <cellStyle name="Процентный 4 2 14 4 2" xfId="42923"/>
    <cellStyle name="Процентный 4 2 14 5" xfId="21560"/>
    <cellStyle name="Процентный 4 2 14 5 2" xfId="53603"/>
    <cellStyle name="Процентный 4 2 14 6" xfId="32243"/>
    <cellStyle name="Процентный 4 2 140" xfId="3777"/>
    <cellStyle name="Процентный 4 2 140 2" xfId="9118"/>
    <cellStyle name="Процентный 4 2 140 2 2" xfId="19798"/>
    <cellStyle name="Процентный 4 2 140 2 2 2" xfId="51842"/>
    <cellStyle name="Процентный 4 2 140 2 3" xfId="30479"/>
    <cellStyle name="Процентный 4 2 140 2 3 2" xfId="62522"/>
    <cellStyle name="Процентный 4 2 140 2 4" xfId="41162"/>
    <cellStyle name="Процентный 4 2 140 3" xfId="14458"/>
    <cellStyle name="Процентный 4 2 140 3 2" xfId="46502"/>
    <cellStyle name="Процентный 4 2 140 4" xfId="25139"/>
    <cellStyle name="Процентный 4 2 140 4 2" xfId="57182"/>
    <cellStyle name="Процентный 4 2 140 5" xfId="35822"/>
    <cellStyle name="Процентный 4 2 141" xfId="3809"/>
    <cellStyle name="Процентный 4 2 141 2" xfId="9150"/>
    <cellStyle name="Процентный 4 2 141 2 2" xfId="19830"/>
    <cellStyle name="Процентный 4 2 141 2 2 2" xfId="51874"/>
    <cellStyle name="Процентный 4 2 141 2 3" xfId="30511"/>
    <cellStyle name="Процентный 4 2 141 2 3 2" xfId="62554"/>
    <cellStyle name="Процентный 4 2 141 2 4" xfId="41194"/>
    <cellStyle name="Процентный 4 2 141 3" xfId="14490"/>
    <cellStyle name="Процентный 4 2 141 3 2" xfId="46534"/>
    <cellStyle name="Процентный 4 2 141 4" xfId="25171"/>
    <cellStyle name="Процентный 4 2 141 4 2" xfId="57214"/>
    <cellStyle name="Процентный 4 2 141 5" xfId="35854"/>
    <cellStyle name="Процентный 4 2 142" xfId="3841"/>
    <cellStyle name="Процентный 4 2 142 2" xfId="9182"/>
    <cellStyle name="Процентный 4 2 142 2 2" xfId="19862"/>
    <cellStyle name="Процентный 4 2 142 2 2 2" xfId="51906"/>
    <cellStyle name="Процентный 4 2 142 2 3" xfId="30543"/>
    <cellStyle name="Процентный 4 2 142 2 3 2" xfId="62586"/>
    <cellStyle name="Процентный 4 2 142 2 4" xfId="41226"/>
    <cellStyle name="Процентный 4 2 142 3" xfId="14522"/>
    <cellStyle name="Процентный 4 2 142 3 2" xfId="46566"/>
    <cellStyle name="Процентный 4 2 142 4" xfId="25203"/>
    <cellStyle name="Процентный 4 2 142 4 2" xfId="57246"/>
    <cellStyle name="Процентный 4 2 142 5" xfId="35886"/>
    <cellStyle name="Процентный 4 2 143" xfId="3873"/>
    <cellStyle name="Процентный 4 2 143 2" xfId="9214"/>
    <cellStyle name="Процентный 4 2 143 2 2" xfId="19894"/>
    <cellStyle name="Процентный 4 2 143 2 2 2" xfId="51938"/>
    <cellStyle name="Процентный 4 2 143 2 3" xfId="30575"/>
    <cellStyle name="Процентный 4 2 143 2 3 2" xfId="62618"/>
    <cellStyle name="Процентный 4 2 143 2 4" xfId="41258"/>
    <cellStyle name="Процентный 4 2 143 3" xfId="14554"/>
    <cellStyle name="Процентный 4 2 143 3 2" xfId="46598"/>
    <cellStyle name="Процентный 4 2 143 4" xfId="25235"/>
    <cellStyle name="Процентный 4 2 143 4 2" xfId="57278"/>
    <cellStyle name="Процентный 4 2 143 5" xfId="35918"/>
    <cellStyle name="Процентный 4 2 144" xfId="3905"/>
    <cellStyle name="Процентный 4 2 144 2" xfId="9246"/>
    <cellStyle name="Процентный 4 2 144 2 2" xfId="19926"/>
    <cellStyle name="Процентный 4 2 144 2 2 2" xfId="51970"/>
    <cellStyle name="Процентный 4 2 144 2 3" xfId="30607"/>
    <cellStyle name="Процентный 4 2 144 2 3 2" xfId="62650"/>
    <cellStyle name="Процентный 4 2 144 2 4" xfId="41290"/>
    <cellStyle name="Процентный 4 2 144 3" xfId="14586"/>
    <cellStyle name="Процентный 4 2 144 3 2" xfId="46630"/>
    <cellStyle name="Процентный 4 2 144 4" xfId="25267"/>
    <cellStyle name="Процентный 4 2 144 4 2" xfId="57310"/>
    <cellStyle name="Процентный 4 2 144 5" xfId="35950"/>
    <cellStyle name="Процентный 4 2 145" xfId="3937"/>
    <cellStyle name="Процентный 4 2 145 2" xfId="9278"/>
    <cellStyle name="Процентный 4 2 145 2 2" xfId="19958"/>
    <cellStyle name="Процентный 4 2 145 2 2 2" xfId="52002"/>
    <cellStyle name="Процентный 4 2 145 2 3" xfId="30639"/>
    <cellStyle name="Процентный 4 2 145 2 3 2" xfId="62682"/>
    <cellStyle name="Процентный 4 2 145 2 4" xfId="41322"/>
    <cellStyle name="Процентный 4 2 145 3" xfId="14618"/>
    <cellStyle name="Процентный 4 2 145 3 2" xfId="46662"/>
    <cellStyle name="Процентный 4 2 145 4" xfId="25299"/>
    <cellStyle name="Процентный 4 2 145 4 2" xfId="57342"/>
    <cellStyle name="Процентный 4 2 145 5" xfId="35982"/>
    <cellStyle name="Процентный 4 2 146" xfId="3969"/>
    <cellStyle name="Процентный 4 2 146 2" xfId="9310"/>
    <cellStyle name="Процентный 4 2 146 2 2" xfId="19990"/>
    <cellStyle name="Процентный 4 2 146 2 2 2" xfId="52034"/>
    <cellStyle name="Процентный 4 2 146 2 3" xfId="30671"/>
    <cellStyle name="Процентный 4 2 146 2 3 2" xfId="62714"/>
    <cellStyle name="Процентный 4 2 146 2 4" xfId="41354"/>
    <cellStyle name="Процентный 4 2 146 3" xfId="14650"/>
    <cellStyle name="Процентный 4 2 146 3 2" xfId="46694"/>
    <cellStyle name="Процентный 4 2 146 4" xfId="25331"/>
    <cellStyle name="Процентный 4 2 146 4 2" xfId="57374"/>
    <cellStyle name="Процентный 4 2 146 5" xfId="36014"/>
    <cellStyle name="Процентный 4 2 147" xfId="4001"/>
    <cellStyle name="Процентный 4 2 147 2" xfId="9342"/>
    <cellStyle name="Процентный 4 2 147 2 2" xfId="20022"/>
    <cellStyle name="Процентный 4 2 147 2 2 2" xfId="52066"/>
    <cellStyle name="Процентный 4 2 147 2 3" xfId="30703"/>
    <cellStyle name="Процентный 4 2 147 2 3 2" xfId="62746"/>
    <cellStyle name="Процентный 4 2 147 2 4" xfId="41386"/>
    <cellStyle name="Процентный 4 2 147 3" xfId="14682"/>
    <cellStyle name="Процентный 4 2 147 3 2" xfId="46726"/>
    <cellStyle name="Процентный 4 2 147 4" xfId="25363"/>
    <cellStyle name="Процентный 4 2 147 4 2" xfId="57406"/>
    <cellStyle name="Процентный 4 2 147 5" xfId="36046"/>
    <cellStyle name="Процентный 4 2 148" xfId="4033"/>
    <cellStyle name="Процентный 4 2 148 2" xfId="9374"/>
    <cellStyle name="Процентный 4 2 148 2 2" xfId="20054"/>
    <cellStyle name="Процентный 4 2 148 2 2 2" xfId="52098"/>
    <cellStyle name="Процентный 4 2 148 2 3" xfId="30735"/>
    <cellStyle name="Процентный 4 2 148 2 3 2" xfId="62778"/>
    <cellStyle name="Процентный 4 2 148 2 4" xfId="41418"/>
    <cellStyle name="Процентный 4 2 148 3" xfId="14714"/>
    <cellStyle name="Процентный 4 2 148 3 2" xfId="46758"/>
    <cellStyle name="Процентный 4 2 148 4" xfId="25395"/>
    <cellStyle name="Процентный 4 2 148 4 2" xfId="57438"/>
    <cellStyle name="Процентный 4 2 148 5" xfId="36078"/>
    <cellStyle name="Процентный 4 2 149" xfId="4065"/>
    <cellStyle name="Процентный 4 2 149 2" xfId="9406"/>
    <cellStyle name="Процентный 4 2 149 2 2" xfId="20086"/>
    <cellStyle name="Процентный 4 2 149 2 2 2" xfId="52130"/>
    <cellStyle name="Процентный 4 2 149 2 3" xfId="30767"/>
    <cellStyle name="Процентный 4 2 149 2 3 2" xfId="62810"/>
    <cellStyle name="Процентный 4 2 149 2 4" xfId="41450"/>
    <cellStyle name="Процентный 4 2 149 3" xfId="14746"/>
    <cellStyle name="Процентный 4 2 149 3 2" xfId="46790"/>
    <cellStyle name="Процентный 4 2 149 4" xfId="25427"/>
    <cellStyle name="Процентный 4 2 149 4 2" xfId="57470"/>
    <cellStyle name="Процентный 4 2 149 5" xfId="36110"/>
    <cellStyle name="Процентный 4 2 15" xfId="205"/>
    <cellStyle name="Процентный 4 2 15 2" xfId="673"/>
    <cellStyle name="Процентный 4 2 15 2 2" xfId="6016"/>
    <cellStyle name="Процентный 4 2 15 2 2 2" xfId="16696"/>
    <cellStyle name="Процентный 4 2 15 2 2 2 2" xfId="48740"/>
    <cellStyle name="Процентный 4 2 15 2 2 3" xfId="27377"/>
    <cellStyle name="Процентный 4 2 15 2 2 3 2" xfId="59420"/>
    <cellStyle name="Процентный 4 2 15 2 2 4" xfId="38060"/>
    <cellStyle name="Процентный 4 2 15 2 3" xfId="11356"/>
    <cellStyle name="Процентный 4 2 15 2 3 2" xfId="43400"/>
    <cellStyle name="Процентный 4 2 15 2 4" xfId="22037"/>
    <cellStyle name="Процентный 4 2 15 2 4 2" xfId="54080"/>
    <cellStyle name="Процентный 4 2 15 2 5" xfId="32720"/>
    <cellStyle name="Процентный 4 2 15 3" xfId="5549"/>
    <cellStyle name="Процентный 4 2 15 3 2" xfId="16229"/>
    <cellStyle name="Процентный 4 2 15 3 2 2" xfId="48273"/>
    <cellStyle name="Процентный 4 2 15 3 3" xfId="26910"/>
    <cellStyle name="Процентный 4 2 15 3 3 2" xfId="58953"/>
    <cellStyle name="Процентный 4 2 15 3 4" xfId="37593"/>
    <cellStyle name="Процентный 4 2 15 4" xfId="10889"/>
    <cellStyle name="Процентный 4 2 15 4 2" xfId="42933"/>
    <cellStyle name="Процентный 4 2 15 5" xfId="21570"/>
    <cellStyle name="Процентный 4 2 15 5 2" xfId="53613"/>
    <cellStyle name="Процентный 4 2 15 6" xfId="32253"/>
    <cellStyle name="Процентный 4 2 150" xfId="4097"/>
    <cellStyle name="Процентный 4 2 150 2" xfId="9438"/>
    <cellStyle name="Процентный 4 2 150 2 2" xfId="20118"/>
    <cellStyle name="Процентный 4 2 150 2 2 2" xfId="52162"/>
    <cellStyle name="Процентный 4 2 150 2 3" xfId="30799"/>
    <cellStyle name="Процентный 4 2 150 2 3 2" xfId="62842"/>
    <cellStyle name="Процентный 4 2 150 2 4" xfId="41482"/>
    <cellStyle name="Процентный 4 2 150 3" xfId="14778"/>
    <cellStyle name="Процентный 4 2 150 3 2" xfId="46822"/>
    <cellStyle name="Процентный 4 2 150 4" xfId="25459"/>
    <cellStyle name="Процентный 4 2 150 4 2" xfId="57502"/>
    <cellStyle name="Процентный 4 2 150 5" xfId="36142"/>
    <cellStyle name="Процентный 4 2 151" xfId="4129"/>
    <cellStyle name="Процентный 4 2 151 2" xfId="9470"/>
    <cellStyle name="Процентный 4 2 151 2 2" xfId="20150"/>
    <cellStyle name="Процентный 4 2 151 2 2 2" xfId="52194"/>
    <cellStyle name="Процентный 4 2 151 2 3" xfId="30831"/>
    <cellStyle name="Процентный 4 2 151 2 3 2" xfId="62874"/>
    <cellStyle name="Процентный 4 2 151 2 4" xfId="41514"/>
    <cellStyle name="Процентный 4 2 151 3" xfId="14810"/>
    <cellStyle name="Процентный 4 2 151 3 2" xfId="46854"/>
    <cellStyle name="Процентный 4 2 151 4" xfId="25491"/>
    <cellStyle name="Процентный 4 2 151 4 2" xfId="57534"/>
    <cellStyle name="Процентный 4 2 151 5" xfId="36174"/>
    <cellStyle name="Процентный 4 2 152" xfId="4161"/>
    <cellStyle name="Процентный 4 2 152 2" xfId="9502"/>
    <cellStyle name="Процентный 4 2 152 2 2" xfId="20182"/>
    <cellStyle name="Процентный 4 2 152 2 2 2" xfId="52226"/>
    <cellStyle name="Процентный 4 2 152 2 3" xfId="30863"/>
    <cellStyle name="Процентный 4 2 152 2 3 2" xfId="62906"/>
    <cellStyle name="Процентный 4 2 152 2 4" xfId="41546"/>
    <cellStyle name="Процентный 4 2 152 3" xfId="14842"/>
    <cellStyle name="Процентный 4 2 152 3 2" xfId="46886"/>
    <cellStyle name="Процентный 4 2 152 4" xfId="25523"/>
    <cellStyle name="Процентный 4 2 152 4 2" xfId="57566"/>
    <cellStyle name="Процентный 4 2 152 5" xfId="36206"/>
    <cellStyle name="Процентный 4 2 153" xfId="4193"/>
    <cellStyle name="Процентный 4 2 153 2" xfId="9534"/>
    <cellStyle name="Процентный 4 2 153 2 2" xfId="20214"/>
    <cellStyle name="Процентный 4 2 153 2 2 2" xfId="52258"/>
    <cellStyle name="Процентный 4 2 153 2 3" xfId="30895"/>
    <cellStyle name="Процентный 4 2 153 2 3 2" xfId="62938"/>
    <cellStyle name="Процентный 4 2 153 2 4" xfId="41578"/>
    <cellStyle name="Процентный 4 2 153 3" xfId="14874"/>
    <cellStyle name="Процентный 4 2 153 3 2" xfId="46918"/>
    <cellStyle name="Процентный 4 2 153 4" xfId="25555"/>
    <cellStyle name="Процентный 4 2 153 4 2" xfId="57598"/>
    <cellStyle name="Процентный 4 2 153 5" xfId="36238"/>
    <cellStyle name="Процентный 4 2 154" xfId="4225"/>
    <cellStyle name="Процентный 4 2 154 2" xfId="9566"/>
    <cellStyle name="Процентный 4 2 154 2 2" xfId="20246"/>
    <cellStyle name="Процентный 4 2 154 2 2 2" xfId="52290"/>
    <cellStyle name="Процентный 4 2 154 2 3" xfId="30927"/>
    <cellStyle name="Процентный 4 2 154 2 3 2" xfId="62970"/>
    <cellStyle name="Процентный 4 2 154 2 4" xfId="41610"/>
    <cellStyle name="Процентный 4 2 154 3" xfId="14906"/>
    <cellStyle name="Процентный 4 2 154 3 2" xfId="46950"/>
    <cellStyle name="Процентный 4 2 154 4" xfId="25587"/>
    <cellStyle name="Процентный 4 2 154 4 2" xfId="57630"/>
    <cellStyle name="Процентный 4 2 154 5" xfId="36270"/>
    <cellStyle name="Процентный 4 2 155" xfId="4257"/>
    <cellStyle name="Процентный 4 2 155 2" xfId="9598"/>
    <cellStyle name="Процентный 4 2 155 2 2" xfId="20278"/>
    <cellStyle name="Процентный 4 2 155 2 2 2" xfId="52322"/>
    <cellStyle name="Процентный 4 2 155 2 3" xfId="30959"/>
    <cellStyle name="Процентный 4 2 155 2 3 2" xfId="63002"/>
    <cellStyle name="Процентный 4 2 155 2 4" xfId="41642"/>
    <cellStyle name="Процентный 4 2 155 3" xfId="14938"/>
    <cellStyle name="Процентный 4 2 155 3 2" xfId="46982"/>
    <cellStyle name="Процентный 4 2 155 4" xfId="25619"/>
    <cellStyle name="Процентный 4 2 155 4 2" xfId="57662"/>
    <cellStyle name="Процентный 4 2 155 5" xfId="36302"/>
    <cellStyle name="Процентный 4 2 156" xfId="4289"/>
    <cellStyle name="Процентный 4 2 156 2" xfId="9630"/>
    <cellStyle name="Процентный 4 2 156 2 2" xfId="20310"/>
    <cellStyle name="Процентный 4 2 156 2 2 2" xfId="52354"/>
    <cellStyle name="Процентный 4 2 156 2 3" xfId="30991"/>
    <cellStyle name="Процентный 4 2 156 2 3 2" xfId="63034"/>
    <cellStyle name="Процентный 4 2 156 2 4" xfId="41674"/>
    <cellStyle name="Процентный 4 2 156 3" xfId="14970"/>
    <cellStyle name="Процентный 4 2 156 3 2" xfId="47014"/>
    <cellStyle name="Процентный 4 2 156 4" xfId="25651"/>
    <cellStyle name="Процентный 4 2 156 4 2" xfId="57694"/>
    <cellStyle name="Процентный 4 2 156 5" xfId="36334"/>
    <cellStyle name="Процентный 4 2 157" xfId="4321"/>
    <cellStyle name="Процентный 4 2 157 2" xfId="9662"/>
    <cellStyle name="Процентный 4 2 157 2 2" xfId="20342"/>
    <cellStyle name="Процентный 4 2 157 2 2 2" xfId="52386"/>
    <cellStyle name="Процентный 4 2 157 2 3" xfId="31023"/>
    <cellStyle name="Процентный 4 2 157 2 3 2" xfId="63066"/>
    <cellStyle name="Процентный 4 2 157 2 4" xfId="41706"/>
    <cellStyle name="Процентный 4 2 157 3" xfId="15002"/>
    <cellStyle name="Процентный 4 2 157 3 2" xfId="47046"/>
    <cellStyle name="Процентный 4 2 157 4" xfId="25683"/>
    <cellStyle name="Процентный 4 2 157 4 2" xfId="57726"/>
    <cellStyle name="Процентный 4 2 157 5" xfId="36366"/>
    <cellStyle name="Процентный 4 2 158" xfId="4353"/>
    <cellStyle name="Процентный 4 2 158 2" xfId="9694"/>
    <cellStyle name="Процентный 4 2 158 2 2" xfId="20374"/>
    <cellStyle name="Процентный 4 2 158 2 2 2" xfId="52418"/>
    <cellStyle name="Процентный 4 2 158 2 3" xfId="31055"/>
    <cellStyle name="Процентный 4 2 158 2 3 2" xfId="63098"/>
    <cellStyle name="Процентный 4 2 158 2 4" xfId="41738"/>
    <cellStyle name="Процентный 4 2 158 3" xfId="15034"/>
    <cellStyle name="Процентный 4 2 158 3 2" xfId="47078"/>
    <cellStyle name="Процентный 4 2 158 4" xfId="25715"/>
    <cellStyle name="Процентный 4 2 158 4 2" xfId="57758"/>
    <cellStyle name="Процентный 4 2 158 5" xfId="36398"/>
    <cellStyle name="Процентный 4 2 159" xfId="4385"/>
    <cellStyle name="Процентный 4 2 159 2" xfId="9726"/>
    <cellStyle name="Процентный 4 2 159 2 2" xfId="20406"/>
    <cellStyle name="Процентный 4 2 159 2 2 2" xfId="52450"/>
    <cellStyle name="Процентный 4 2 159 2 3" xfId="31087"/>
    <cellStyle name="Процентный 4 2 159 2 3 2" xfId="63130"/>
    <cellStyle name="Процентный 4 2 159 2 4" xfId="41770"/>
    <cellStyle name="Процентный 4 2 159 3" xfId="15066"/>
    <cellStyle name="Процентный 4 2 159 3 2" xfId="47110"/>
    <cellStyle name="Процентный 4 2 159 4" xfId="25747"/>
    <cellStyle name="Процентный 4 2 159 4 2" xfId="57790"/>
    <cellStyle name="Процентный 4 2 159 5" xfId="36430"/>
    <cellStyle name="Процентный 4 2 16" xfId="215"/>
    <cellStyle name="Процентный 4 2 16 2" xfId="683"/>
    <cellStyle name="Процентный 4 2 16 2 2" xfId="6026"/>
    <cellStyle name="Процентный 4 2 16 2 2 2" xfId="16706"/>
    <cellStyle name="Процентный 4 2 16 2 2 2 2" xfId="48750"/>
    <cellStyle name="Процентный 4 2 16 2 2 3" xfId="27387"/>
    <cellStyle name="Процентный 4 2 16 2 2 3 2" xfId="59430"/>
    <cellStyle name="Процентный 4 2 16 2 2 4" xfId="38070"/>
    <cellStyle name="Процентный 4 2 16 2 3" xfId="11366"/>
    <cellStyle name="Процентный 4 2 16 2 3 2" xfId="43410"/>
    <cellStyle name="Процентный 4 2 16 2 4" xfId="22047"/>
    <cellStyle name="Процентный 4 2 16 2 4 2" xfId="54090"/>
    <cellStyle name="Процентный 4 2 16 2 5" xfId="32730"/>
    <cellStyle name="Процентный 4 2 16 3" xfId="5559"/>
    <cellStyle name="Процентный 4 2 16 3 2" xfId="16239"/>
    <cellStyle name="Процентный 4 2 16 3 2 2" xfId="48283"/>
    <cellStyle name="Процентный 4 2 16 3 3" xfId="26920"/>
    <cellStyle name="Процентный 4 2 16 3 3 2" xfId="58963"/>
    <cellStyle name="Процентный 4 2 16 3 4" xfId="37603"/>
    <cellStyle name="Процентный 4 2 16 4" xfId="10899"/>
    <cellStyle name="Процентный 4 2 16 4 2" xfId="42943"/>
    <cellStyle name="Процентный 4 2 16 5" xfId="21580"/>
    <cellStyle name="Процентный 4 2 16 5 2" xfId="53623"/>
    <cellStyle name="Процентный 4 2 16 6" xfId="32263"/>
    <cellStyle name="Процентный 4 2 160" xfId="4417"/>
    <cellStyle name="Процентный 4 2 160 2" xfId="9758"/>
    <cellStyle name="Процентный 4 2 160 2 2" xfId="20438"/>
    <cellStyle name="Процентный 4 2 160 2 2 2" xfId="52482"/>
    <cellStyle name="Процентный 4 2 160 2 3" xfId="31119"/>
    <cellStyle name="Процентный 4 2 160 2 3 2" xfId="63162"/>
    <cellStyle name="Процентный 4 2 160 2 4" xfId="41802"/>
    <cellStyle name="Процентный 4 2 160 3" xfId="15098"/>
    <cellStyle name="Процентный 4 2 160 3 2" xfId="47142"/>
    <cellStyle name="Процентный 4 2 160 4" xfId="25779"/>
    <cellStyle name="Процентный 4 2 160 4 2" xfId="57822"/>
    <cellStyle name="Процентный 4 2 160 5" xfId="36462"/>
    <cellStyle name="Процентный 4 2 161" xfId="4449"/>
    <cellStyle name="Процентный 4 2 161 2" xfId="9790"/>
    <cellStyle name="Процентный 4 2 161 2 2" xfId="20470"/>
    <cellStyle name="Процентный 4 2 161 2 2 2" xfId="52514"/>
    <cellStyle name="Процентный 4 2 161 2 3" xfId="31151"/>
    <cellStyle name="Процентный 4 2 161 2 3 2" xfId="63194"/>
    <cellStyle name="Процентный 4 2 161 2 4" xfId="41834"/>
    <cellStyle name="Процентный 4 2 161 3" xfId="15130"/>
    <cellStyle name="Процентный 4 2 161 3 2" xfId="47174"/>
    <cellStyle name="Процентный 4 2 161 4" xfId="25811"/>
    <cellStyle name="Процентный 4 2 161 4 2" xfId="57854"/>
    <cellStyle name="Процентный 4 2 161 5" xfId="36494"/>
    <cellStyle name="Процентный 4 2 162" xfId="4481"/>
    <cellStyle name="Процентный 4 2 162 2" xfId="9822"/>
    <cellStyle name="Процентный 4 2 162 2 2" xfId="20502"/>
    <cellStyle name="Процентный 4 2 162 2 2 2" xfId="52546"/>
    <cellStyle name="Процентный 4 2 162 2 3" xfId="31183"/>
    <cellStyle name="Процентный 4 2 162 2 3 2" xfId="63226"/>
    <cellStyle name="Процентный 4 2 162 2 4" xfId="41866"/>
    <cellStyle name="Процентный 4 2 162 3" xfId="15162"/>
    <cellStyle name="Процентный 4 2 162 3 2" xfId="47206"/>
    <cellStyle name="Процентный 4 2 162 4" xfId="25843"/>
    <cellStyle name="Процентный 4 2 162 4 2" xfId="57886"/>
    <cellStyle name="Процентный 4 2 162 5" xfId="36526"/>
    <cellStyle name="Процентный 4 2 163" xfId="4513"/>
    <cellStyle name="Процентный 4 2 163 2" xfId="9854"/>
    <cellStyle name="Процентный 4 2 163 2 2" xfId="20534"/>
    <cellStyle name="Процентный 4 2 163 2 2 2" xfId="52578"/>
    <cellStyle name="Процентный 4 2 163 2 3" xfId="31215"/>
    <cellStyle name="Процентный 4 2 163 2 3 2" xfId="63258"/>
    <cellStyle name="Процентный 4 2 163 2 4" xfId="41898"/>
    <cellStyle name="Процентный 4 2 163 3" xfId="15194"/>
    <cellStyle name="Процентный 4 2 163 3 2" xfId="47238"/>
    <cellStyle name="Процентный 4 2 163 4" xfId="25875"/>
    <cellStyle name="Процентный 4 2 163 4 2" xfId="57918"/>
    <cellStyle name="Процентный 4 2 163 5" xfId="36558"/>
    <cellStyle name="Процентный 4 2 164" xfId="4545"/>
    <cellStyle name="Процентный 4 2 164 2" xfId="9886"/>
    <cellStyle name="Процентный 4 2 164 2 2" xfId="20566"/>
    <cellStyle name="Процентный 4 2 164 2 2 2" xfId="52610"/>
    <cellStyle name="Процентный 4 2 164 2 3" xfId="31247"/>
    <cellStyle name="Процентный 4 2 164 2 3 2" xfId="63290"/>
    <cellStyle name="Процентный 4 2 164 2 4" xfId="41930"/>
    <cellStyle name="Процентный 4 2 164 3" xfId="15226"/>
    <cellStyle name="Процентный 4 2 164 3 2" xfId="47270"/>
    <cellStyle name="Процентный 4 2 164 4" xfId="25907"/>
    <cellStyle name="Процентный 4 2 164 4 2" xfId="57950"/>
    <cellStyle name="Процентный 4 2 164 5" xfId="36590"/>
    <cellStyle name="Процентный 4 2 165" xfId="4577"/>
    <cellStyle name="Процентный 4 2 165 2" xfId="9918"/>
    <cellStyle name="Процентный 4 2 165 2 2" xfId="20598"/>
    <cellStyle name="Процентный 4 2 165 2 2 2" xfId="52642"/>
    <cellStyle name="Процентный 4 2 165 2 3" xfId="31279"/>
    <cellStyle name="Процентный 4 2 165 2 3 2" xfId="63322"/>
    <cellStyle name="Процентный 4 2 165 2 4" xfId="41962"/>
    <cellStyle name="Процентный 4 2 165 3" xfId="15258"/>
    <cellStyle name="Процентный 4 2 165 3 2" xfId="47302"/>
    <cellStyle name="Процентный 4 2 165 4" xfId="25939"/>
    <cellStyle name="Процентный 4 2 165 4 2" xfId="57982"/>
    <cellStyle name="Процентный 4 2 165 5" xfId="36622"/>
    <cellStyle name="Процентный 4 2 166" xfId="4609"/>
    <cellStyle name="Процентный 4 2 166 2" xfId="9950"/>
    <cellStyle name="Процентный 4 2 166 2 2" xfId="20630"/>
    <cellStyle name="Процентный 4 2 166 2 2 2" xfId="52674"/>
    <cellStyle name="Процентный 4 2 166 2 3" xfId="31311"/>
    <cellStyle name="Процентный 4 2 166 2 3 2" xfId="63354"/>
    <cellStyle name="Процентный 4 2 166 2 4" xfId="41994"/>
    <cellStyle name="Процентный 4 2 166 3" xfId="15290"/>
    <cellStyle name="Процентный 4 2 166 3 2" xfId="47334"/>
    <cellStyle name="Процентный 4 2 166 4" xfId="25971"/>
    <cellStyle name="Процентный 4 2 166 4 2" xfId="58014"/>
    <cellStyle name="Процентный 4 2 166 5" xfId="36654"/>
    <cellStyle name="Процентный 4 2 167" xfId="4641"/>
    <cellStyle name="Процентный 4 2 167 2" xfId="9982"/>
    <cellStyle name="Процентный 4 2 167 2 2" xfId="20662"/>
    <cellStyle name="Процентный 4 2 167 2 2 2" xfId="52706"/>
    <cellStyle name="Процентный 4 2 167 2 3" xfId="31343"/>
    <cellStyle name="Процентный 4 2 167 2 3 2" xfId="63386"/>
    <cellStyle name="Процентный 4 2 167 2 4" xfId="42026"/>
    <cellStyle name="Процентный 4 2 167 3" xfId="15322"/>
    <cellStyle name="Процентный 4 2 167 3 2" xfId="47366"/>
    <cellStyle name="Процентный 4 2 167 4" xfId="26003"/>
    <cellStyle name="Процентный 4 2 167 4 2" xfId="58046"/>
    <cellStyle name="Процентный 4 2 167 5" xfId="36686"/>
    <cellStyle name="Процентный 4 2 168" xfId="4673"/>
    <cellStyle name="Процентный 4 2 168 2" xfId="10014"/>
    <cellStyle name="Процентный 4 2 168 2 2" xfId="20694"/>
    <cellStyle name="Процентный 4 2 168 2 2 2" xfId="52738"/>
    <cellStyle name="Процентный 4 2 168 2 3" xfId="31375"/>
    <cellStyle name="Процентный 4 2 168 2 3 2" xfId="63418"/>
    <cellStyle name="Процентный 4 2 168 2 4" xfId="42058"/>
    <cellStyle name="Процентный 4 2 168 3" xfId="15354"/>
    <cellStyle name="Процентный 4 2 168 3 2" xfId="47398"/>
    <cellStyle name="Процентный 4 2 168 4" xfId="26035"/>
    <cellStyle name="Процентный 4 2 168 4 2" xfId="58078"/>
    <cellStyle name="Процентный 4 2 168 5" xfId="36718"/>
    <cellStyle name="Процентный 4 2 169" xfId="4707"/>
    <cellStyle name="Процентный 4 2 169 2" xfId="10048"/>
    <cellStyle name="Процентный 4 2 169 2 2" xfId="20728"/>
    <cellStyle name="Процентный 4 2 169 2 2 2" xfId="52772"/>
    <cellStyle name="Процентный 4 2 169 2 3" xfId="31409"/>
    <cellStyle name="Процентный 4 2 169 2 3 2" xfId="63452"/>
    <cellStyle name="Процентный 4 2 169 2 4" xfId="42092"/>
    <cellStyle name="Процентный 4 2 169 3" xfId="15388"/>
    <cellStyle name="Процентный 4 2 169 3 2" xfId="47432"/>
    <cellStyle name="Процентный 4 2 169 4" xfId="26069"/>
    <cellStyle name="Процентный 4 2 169 4 2" xfId="58112"/>
    <cellStyle name="Процентный 4 2 169 5" xfId="36752"/>
    <cellStyle name="Процентный 4 2 17" xfId="225"/>
    <cellStyle name="Процентный 4 2 17 2" xfId="693"/>
    <cellStyle name="Процентный 4 2 17 2 2" xfId="6036"/>
    <cellStyle name="Процентный 4 2 17 2 2 2" xfId="16716"/>
    <cellStyle name="Процентный 4 2 17 2 2 2 2" xfId="48760"/>
    <cellStyle name="Процентный 4 2 17 2 2 3" xfId="27397"/>
    <cellStyle name="Процентный 4 2 17 2 2 3 2" xfId="59440"/>
    <cellStyle name="Процентный 4 2 17 2 2 4" xfId="38080"/>
    <cellStyle name="Процентный 4 2 17 2 3" xfId="11376"/>
    <cellStyle name="Процентный 4 2 17 2 3 2" xfId="43420"/>
    <cellStyle name="Процентный 4 2 17 2 4" xfId="22057"/>
    <cellStyle name="Процентный 4 2 17 2 4 2" xfId="54100"/>
    <cellStyle name="Процентный 4 2 17 2 5" xfId="32740"/>
    <cellStyle name="Процентный 4 2 17 3" xfId="5569"/>
    <cellStyle name="Процентный 4 2 17 3 2" xfId="16249"/>
    <cellStyle name="Процентный 4 2 17 3 2 2" xfId="48293"/>
    <cellStyle name="Процентный 4 2 17 3 3" xfId="26930"/>
    <cellStyle name="Процентный 4 2 17 3 3 2" xfId="58973"/>
    <cellStyle name="Процентный 4 2 17 3 4" xfId="37613"/>
    <cellStyle name="Процентный 4 2 17 4" xfId="10909"/>
    <cellStyle name="Процентный 4 2 17 4 2" xfId="42953"/>
    <cellStyle name="Процентный 4 2 17 5" xfId="21590"/>
    <cellStyle name="Процентный 4 2 17 5 2" xfId="53633"/>
    <cellStyle name="Процентный 4 2 17 6" xfId="32273"/>
    <cellStyle name="Процентный 4 2 170" xfId="4739"/>
    <cellStyle name="Процентный 4 2 170 2" xfId="10080"/>
    <cellStyle name="Процентный 4 2 170 2 2" xfId="20760"/>
    <cellStyle name="Процентный 4 2 170 2 2 2" xfId="52804"/>
    <cellStyle name="Процентный 4 2 170 2 3" xfId="31441"/>
    <cellStyle name="Процентный 4 2 170 2 3 2" xfId="63484"/>
    <cellStyle name="Процентный 4 2 170 2 4" xfId="42124"/>
    <cellStyle name="Процентный 4 2 170 3" xfId="15420"/>
    <cellStyle name="Процентный 4 2 170 3 2" xfId="47464"/>
    <cellStyle name="Процентный 4 2 170 4" xfId="26101"/>
    <cellStyle name="Процентный 4 2 170 4 2" xfId="58144"/>
    <cellStyle name="Процентный 4 2 170 5" xfId="36784"/>
    <cellStyle name="Процентный 4 2 171" xfId="4771"/>
    <cellStyle name="Процентный 4 2 171 2" xfId="10112"/>
    <cellStyle name="Процентный 4 2 171 2 2" xfId="20792"/>
    <cellStyle name="Процентный 4 2 171 2 2 2" xfId="52836"/>
    <cellStyle name="Процентный 4 2 171 2 3" xfId="31473"/>
    <cellStyle name="Процентный 4 2 171 2 3 2" xfId="63516"/>
    <cellStyle name="Процентный 4 2 171 2 4" xfId="42156"/>
    <cellStyle name="Процентный 4 2 171 3" xfId="15452"/>
    <cellStyle name="Процентный 4 2 171 3 2" xfId="47496"/>
    <cellStyle name="Процентный 4 2 171 4" xfId="26133"/>
    <cellStyle name="Процентный 4 2 171 4 2" xfId="58176"/>
    <cellStyle name="Процентный 4 2 171 5" xfId="36816"/>
    <cellStyle name="Процентный 4 2 172" xfId="4803"/>
    <cellStyle name="Процентный 4 2 172 2" xfId="10144"/>
    <cellStyle name="Процентный 4 2 172 2 2" xfId="20824"/>
    <cellStyle name="Процентный 4 2 172 2 2 2" xfId="52868"/>
    <cellStyle name="Процентный 4 2 172 2 3" xfId="31505"/>
    <cellStyle name="Процентный 4 2 172 2 3 2" xfId="63548"/>
    <cellStyle name="Процентный 4 2 172 2 4" xfId="42188"/>
    <cellStyle name="Процентный 4 2 172 3" xfId="15484"/>
    <cellStyle name="Процентный 4 2 172 3 2" xfId="47528"/>
    <cellStyle name="Процентный 4 2 172 4" xfId="26165"/>
    <cellStyle name="Процентный 4 2 172 4 2" xfId="58208"/>
    <cellStyle name="Процентный 4 2 172 5" xfId="36848"/>
    <cellStyle name="Процентный 4 2 173" xfId="4835"/>
    <cellStyle name="Процентный 4 2 173 2" xfId="10176"/>
    <cellStyle name="Процентный 4 2 173 2 2" xfId="20856"/>
    <cellStyle name="Процентный 4 2 173 2 2 2" xfId="52900"/>
    <cellStyle name="Процентный 4 2 173 2 3" xfId="31537"/>
    <cellStyle name="Процентный 4 2 173 2 3 2" xfId="63580"/>
    <cellStyle name="Процентный 4 2 173 2 4" xfId="42220"/>
    <cellStyle name="Процентный 4 2 173 3" xfId="15516"/>
    <cellStyle name="Процентный 4 2 173 3 2" xfId="47560"/>
    <cellStyle name="Процентный 4 2 173 4" xfId="26197"/>
    <cellStyle name="Процентный 4 2 173 4 2" xfId="58240"/>
    <cellStyle name="Процентный 4 2 173 5" xfId="36880"/>
    <cellStyle name="Процентный 4 2 174" xfId="4867"/>
    <cellStyle name="Процентный 4 2 174 2" xfId="10208"/>
    <cellStyle name="Процентный 4 2 174 2 2" xfId="20888"/>
    <cellStyle name="Процентный 4 2 174 2 2 2" xfId="52932"/>
    <cellStyle name="Процентный 4 2 174 2 3" xfId="31569"/>
    <cellStyle name="Процентный 4 2 174 2 3 2" xfId="63612"/>
    <cellStyle name="Процентный 4 2 174 2 4" xfId="42252"/>
    <cellStyle name="Процентный 4 2 174 3" xfId="15548"/>
    <cellStyle name="Процентный 4 2 174 3 2" xfId="47592"/>
    <cellStyle name="Процентный 4 2 174 4" xfId="26229"/>
    <cellStyle name="Процентный 4 2 174 4 2" xfId="58272"/>
    <cellStyle name="Процентный 4 2 174 5" xfId="36912"/>
    <cellStyle name="Процентный 4 2 175" xfId="4899"/>
    <cellStyle name="Процентный 4 2 175 2" xfId="10240"/>
    <cellStyle name="Процентный 4 2 175 2 2" xfId="20920"/>
    <cellStyle name="Процентный 4 2 175 2 2 2" xfId="52964"/>
    <cellStyle name="Процентный 4 2 175 2 3" xfId="31601"/>
    <cellStyle name="Процентный 4 2 175 2 3 2" xfId="63644"/>
    <cellStyle name="Процентный 4 2 175 2 4" xfId="42284"/>
    <cellStyle name="Процентный 4 2 175 3" xfId="15580"/>
    <cellStyle name="Процентный 4 2 175 3 2" xfId="47624"/>
    <cellStyle name="Процентный 4 2 175 4" xfId="26261"/>
    <cellStyle name="Процентный 4 2 175 4 2" xfId="58304"/>
    <cellStyle name="Процентный 4 2 175 5" xfId="36944"/>
    <cellStyle name="Процентный 4 2 176" xfId="4931"/>
    <cellStyle name="Процентный 4 2 176 2" xfId="10272"/>
    <cellStyle name="Процентный 4 2 176 2 2" xfId="20952"/>
    <cellStyle name="Процентный 4 2 176 2 2 2" xfId="52996"/>
    <cellStyle name="Процентный 4 2 176 2 3" xfId="31633"/>
    <cellStyle name="Процентный 4 2 176 2 3 2" xfId="63676"/>
    <cellStyle name="Процентный 4 2 176 2 4" xfId="42316"/>
    <cellStyle name="Процентный 4 2 176 3" xfId="15612"/>
    <cellStyle name="Процентный 4 2 176 3 2" xfId="47656"/>
    <cellStyle name="Процентный 4 2 176 4" xfId="26293"/>
    <cellStyle name="Процентный 4 2 176 4 2" xfId="58336"/>
    <cellStyle name="Процентный 4 2 176 5" xfId="36976"/>
    <cellStyle name="Процентный 4 2 177" xfId="4963"/>
    <cellStyle name="Процентный 4 2 177 2" xfId="10304"/>
    <cellStyle name="Процентный 4 2 177 2 2" xfId="20984"/>
    <cellStyle name="Процентный 4 2 177 2 2 2" xfId="53028"/>
    <cellStyle name="Процентный 4 2 177 2 3" xfId="31665"/>
    <cellStyle name="Процентный 4 2 177 2 3 2" xfId="63708"/>
    <cellStyle name="Процентный 4 2 177 2 4" xfId="42348"/>
    <cellStyle name="Процентный 4 2 177 3" xfId="15644"/>
    <cellStyle name="Процентный 4 2 177 3 2" xfId="47688"/>
    <cellStyle name="Процентный 4 2 177 4" xfId="26325"/>
    <cellStyle name="Процентный 4 2 177 4 2" xfId="58368"/>
    <cellStyle name="Процентный 4 2 177 5" xfId="37008"/>
    <cellStyle name="Процентный 4 2 178" xfId="4995"/>
    <cellStyle name="Процентный 4 2 178 2" xfId="10336"/>
    <cellStyle name="Процентный 4 2 178 2 2" xfId="21016"/>
    <cellStyle name="Процентный 4 2 178 2 2 2" xfId="53060"/>
    <cellStyle name="Процентный 4 2 178 2 3" xfId="31697"/>
    <cellStyle name="Процентный 4 2 178 2 3 2" xfId="63740"/>
    <cellStyle name="Процентный 4 2 178 2 4" xfId="42380"/>
    <cellStyle name="Процентный 4 2 178 3" xfId="15676"/>
    <cellStyle name="Процентный 4 2 178 3 2" xfId="47720"/>
    <cellStyle name="Процентный 4 2 178 4" xfId="26357"/>
    <cellStyle name="Процентный 4 2 178 4 2" xfId="58400"/>
    <cellStyle name="Процентный 4 2 178 5" xfId="37040"/>
    <cellStyle name="Процентный 4 2 179" xfId="5027"/>
    <cellStyle name="Процентный 4 2 179 2" xfId="10368"/>
    <cellStyle name="Процентный 4 2 179 2 2" xfId="21048"/>
    <cellStyle name="Процентный 4 2 179 2 2 2" xfId="53092"/>
    <cellStyle name="Процентный 4 2 179 2 3" xfId="31729"/>
    <cellStyle name="Процентный 4 2 179 2 3 2" xfId="63772"/>
    <cellStyle name="Процентный 4 2 179 2 4" xfId="42412"/>
    <cellStyle name="Процентный 4 2 179 3" xfId="15708"/>
    <cellStyle name="Процентный 4 2 179 3 2" xfId="47752"/>
    <cellStyle name="Процентный 4 2 179 4" xfId="26389"/>
    <cellStyle name="Процентный 4 2 179 4 2" xfId="58432"/>
    <cellStyle name="Процентный 4 2 179 5" xfId="37072"/>
    <cellStyle name="Процентный 4 2 18" xfId="235"/>
    <cellStyle name="Процентный 4 2 18 2" xfId="703"/>
    <cellStyle name="Процентный 4 2 18 2 2" xfId="6046"/>
    <cellStyle name="Процентный 4 2 18 2 2 2" xfId="16726"/>
    <cellStyle name="Процентный 4 2 18 2 2 2 2" xfId="48770"/>
    <cellStyle name="Процентный 4 2 18 2 2 3" xfId="27407"/>
    <cellStyle name="Процентный 4 2 18 2 2 3 2" xfId="59450"/>
    <cellStyle name="Процентный 4 2 18 2 2 4" xfId="38090"/>
    <cellStyle name="Процентный 4 2 18 2 3" xfId="11386"/>
    <cellStyle name="Процентный 4 2 18 2 3 2" xfId="43430"/>
    <cellStyle name="Процентный 4 2 18 2 4" xfId="22067"/>
    <cellStyle name="Процентный 4 2 18 2 4 2" xfId="54110"/>
    <cellStyle name="Процентный 4 2 18 2 5" xfId="32750"/>
    <cellStyle name="Процентный 4 2 18 3" xfId="5579"/>
    <cellStyle name="Процентный 4 2 18 3 2" xfId="16259"/>
    <cellStyle name="Процентный 4 2 18 3 2 2" xfId="48303"/>
    <cellStyle name="Процентный 4 2 18 3 3" xfId="26940"/>
    <cellStyle name="Процентный 4 2 18 3 3 2" xfId="58983"/>
    <cellStyle name="Процентный 4 2 18 3 4" xfId="37623"/>
    <cellStyle name="Процентный 4 2 18 4" xfId="10919"/>
    <cellStyle name="Процентный 4 2 18 4 2" xfId="42963"/>
    <cellStyle name="Процентный 4 2 18 5" xfId="21600"/>
    <cellStyle name="Процентный 4 2 18 5 2" xfId="53643"/>
    <cellStyle name="Процентный 4 2 18 6" xfId="32283"/>
    <cellStyle name="Процентный 4 2 180" xfId="5059"/>
    <cellStyle name="Процентный 4 2 180 2" xfId="10400"/>
    <cellStyle name="Процентный 4 2 180 2 2" xfId="21080"/>
    <cellStyle name="Процентный 4 2 180 2 2 2" xfId="53124"/>
    <cellStyle name="Процентный 4 2 180 2 3" xfId="31761"/>
    <cellStyle name="Процентный 4 2 180 2 3 2" xfId="63804"/>
    <cellStyle name="Процентный 4 2 180 2 4" xfId="42444"/>
    <cellStyle name="Процентный 4 2 180 3" xfId="15740"/>
    <cellStyle name="Процентный 4 2 180 3 2" xfId="47784"/>
    <cellStyle name="Процентный 4 2 180 4" xfId="26421"/>
    <cellStyle name="Процентный 4 2 180 4 2" xfId="58464"/>
    <cellStyle name="Процентный 4 2 180 5" xfId="37104"/>
    <cellStyle name="Процентный 4 2 181" xfId="5091"/>
    <cellStyle name="Процентный 4 2 181 2" xfId="10432"/>
    <cellStyle name="Процентный 4 2 181 2 2" xfId="21112"/>
    <cellStyle name="Процентный 4 2 181 2 2 2" xfId="53156"/>
    <cellStyle name="Процентный 4 2 181 2 3" xfId="31793"/>
    <cellStyle name="Процентный 4 2 181 2 3 2" xfId="63836"/>
    <cellStyle name="Процентный 4 2 181 2 4" xfId="42476"/>
    <cellStyle name="Процентный 4 2 181 3" xfId="15772"/>
    <cellStyle name="Процентный 4 2 181 3 2" xfId="47816"/>
    <cellStyle name="Процентный 4 2 181 4" xfId="26453"/>
    <cellStyle name="Процентный 4 2 181 4 2" xfId="58496"/>
    <cellStyle name="Процентный 4 2 181 5" xfId="37136"/>
    <cellStyle name="Процентный 4 2 182" xfId="5123"/>
    <cellStyle name="Процентный 4 2 182 2" xfId="10464"/>
    <cellStyle name="Процентный 4 2 182 2 2" xfId="21144"/>
    <cellStyle name="Процентный 4 2 182 2 2 2" xfId="53188"/>
    <cellStyle name="Процентный 4 2 182 2 3" xfId="31825"/>
    <cellStyle name="Процентный 4 2 182 2 3 2" xfId="63868"/>
    <cellStyle name="Процентный 4 2 182 2 4" xfId="42508"/>
    <cellStyle name="Процентный 4 2 182 3" xfId="15804"/>
    <cellStyle name="Процентный 4 2 182 3 2" xfId="47848"/>
    <cellStyle name="Процентный 4 2 182 4" xfId="26485"/>
    <cellStyle name="Процентный 4 2 182 4 2" xfId="58528"/>
    <cellStyle name="Процентный 4 2 182 5" xfId="37168"/>
    <cellStyle name="Процентный 4 2 183" xfId="5155"/>
    <cellStyle name="Процентный 4 2 183 2" xfId="10496"/>
    <cellStyle name="Процентный 4 2 183 2 2" xfId="21176"/>
    <cellStyle name="Процентный 4 2 183 2 2 2" xfId="53220"/>
    <cellStyle name="Процентный 4 2 183 2 3" xfId="31857"/>
    <cellStyle name="Процентный 4 2 183 2 3 2" xfId="63900"/>
    <cellStyle name="Процентный 4 2 183 2 4" xfId="42540"/>
    <cellStyle name="Процентный 4 2 183 3" xfId="15836"/>
    <cellStyle name="Процентный 4 2 183 3 2" xfId="47880"/>
    <cellStyle name="Процентный 4 2 183 4" xfId="26517"/>
    <cellStyle name="Процентный 4 2 183 4 2" xfId="58560"/>
    <cellStyle name="Процентный 4 2 183 5" xfId="37200"/>
    <cellStyle name="Процентный 4 2 184" xfId="5187"/>
    <cellStyle name="Процентный 4 2 184 2" xfId="10528"/>
    <cellStyle name="Процентный 4 2 184 2 2" xfId="21208"/>
    <cellStyle name="Процентный 4 2 184 2 2 2" xfId="53252"/>
    <cellStyle name="Процентный 4 2 184 2 3" xfId="31889"/>
    <cellStyle name="Процентный 4 2 184 2 3 2" xfId="63932"/>
    <cellStyle name="Процентный 4 2 184 2 4" xfId="42572"/>
    <cellStyle name="Процентный 4 2 184 3" xfId="15868"/>
    <cellStyle name="Процентный 4 2 184 3 2" xfId="47912"/>
    <cellStyle name="Процентный 4 2 184 4" xfId="26549"/>
    <cellStyle name="Процентный 4 2 184 4 2" xfId="58592"/>
    <cellStyle name="Процентный 4 2 184 5" xfId="37232"/>
    <cellStyle name="Процентный 4 2 185" xfId="5219"/>
    <cellStyle name="Процентный 4 2 185 2" xfId="10560"/>
    <cellStyle name="Процентный 4 2 185 2 2" xfId="21240"/>
    <cellStyle name="Процентный 4 2 185 2 2 2" xfId="53284"/>
    <cellStyle name="Процентный 4 2 185 2 3" xfId="31921"/>
    <cellStyle name="Процентный 4 2 185 2 3 2" xfId="63964"/>
    <cellStyle name="Процентный 4 2 185 2 4" xfId="42604"/>
    <cellStyle name="Процентный 4 2 185 3" xfId="15900"/>
    <cellStyle name="Процентный 4 2 185 3 2" xfId="47944"/>
    <cellStyle name="Процентный 4 2 185 4" xfId="26581"/>
    <cellStyle name="Процентный 4 2 185 4 2" xfId="58624"/>
    <cellStyle name="Процентный 4 2 185 5" xfId="37264"/>
    <cellStyle name="Процентный 4 2 186" xfId="5251"/>
    <cellStyle name="Процентный 4 2 186 2" xfId="10592"/>
    <cellStyle name="Процентный 4 2 186 2 2" xfId="21272"/>
    <cellStyle name="Процентный 4 2 186 2 2 2" xfId="53316"/>
    <cellStyle name="Процентный 4 2 186 2 3" xfId="31953"/>
    <cellStyle name="Процентный 4 2 186 2 3 2" xfId="63996"/>
    <cellStyle name="Процентный 4 2 186 2 4" xfId="42636"/>
    <cellStyle name="Процентный 4 2 186 3" xfId="15932"/>
    <cellStyle name="Процентный 4 2 186 3 2" xfId="47976"/>
    <cellStyle name="Процентный 4 2 186 4" xfId="26613"/>
    <cellStyle name="Процентный 4 2 186 4 2" xfId="58656"/>
    <cellStyle name="Процентный 4 2 186 5" xfId="37296"/>
    <cellStyle name="Процентный 4 2 187" xfId="5283"/>
    <cellStyle name="Процентный 4 2 187 2" xfId="10624"/>
    <cellStyle name="Процентный 4 2 187 2 2" xfId="21304"/>
    <cellStyle name="Процентный 4 2 187 2 2 2" xfId="53348"/>
    <cellStyle name="Процентный 4 2 187 2 3" xfId="31985"/>
    <cellStyle name="Процентный 4 2 187 2 3 2" xfId="64028"/>
    <cellStyle name="Процентный 4 2 187 2 4" xfId="42668"/>
    <cellStyle name="Процентный 4 2 187 3" xfId="15964"/>
    <cellStyle name="Процентный 4 2 187 3 2" xfId="48008"/>
    <cellStyle name="Процентный 4 2 187 4" xfId="26645"/>
    <cellStyle name="Процентный 4 2 187 4 2" xfId="58688"/>
    <cellStyle name="Процентный 4 2 187 5" xfId="37328"/>
    <cellStyle name="Процентный 4 2 188" xfId="5315"/>
    <cellStyle name="Процентный 4 2 188 2" xfId="10656"/>
    <cellStyle name="Процентный 4 2 188 2 2" xfId="21336"/>
    <cellStyle name="Процентный 4 2 188 2 2 2" xfId="53380"/>
    <cellStyle name="Процентный 4 2 188 2 3" xfId="32017"/>
    <cellStyle name="Процентный 4 2 188 2 3 2" xfId="64060"/>
    <cellStyle name="Процентный 4 2 188 2 4" xfId="42700"/>
    <cellStyle name="Процентный 4 2 188 3" xfId="15996"/>
    <cellStyle name="Процентный 4 2 188 3 2" xfId="48040"/>
    <cellStyle name="Процентный 4 2 188 4" xfId="26677"/>
    <cellStyle name="Процентный 4 2 188 4 2" xfId="58720"/>
    <cellStyle name="Процентный 4 2 188 5" xfId="37360"/>
    <cellStyle name="Процентный 4 2 189" xfId="5347"/>
    <cellStyle name="Процентный 4 2 189 2" xfId="10688"/>
    <cellStyle name="Процентный 4 2 189 2 2" xfId="21368"/>
    <cellStyle name="Процентный 4 2 189 2 2 2" xfId="53412"/>
    <cellStyle name="Процентный 4 2 189 2 3" xfId="32049"/>
    <cellStyle name="Процентный 4 2 189 2 3 2" xfId="64092"/>
    <cellStyle name="Процентный 4 2 189 2 4" xfId="42732"/>
    <cellStyle name="Процентный 4 2 189 3" xfId="16028"/>
    <cellStyle name="Процентный 4 2 189 3 2" xfId="48072"/>
    <cellStyle name="Процентный 4 2 189 4" xfId="26709"/>
    <cellStyle name="Процентный 4 2 189 4 2" xfId="58752"/>
    <cellStyle name="Процентный 4 2 189 5" xfId="37392"/>
    <cellStyle name="Процентный 4 2 19" xfId="245"/>
    <cellStyle name="Процентный 4 2 19 2" xfId="713"/>
    <cellStyle name="Процентный 4 2 19 2 2" xfId="6056"/>
    <cellStyle name="Процентный 4 2 19 2 2 2" xfId="16736"/>
    <cellStyle name="Процентный 4 2 19 2 2 2 2" xfId="48780"/>
    <cellStyle name="Процентный 4 2 19 2 2 3" xfId="27417"/>
    <cellStyle name="Процентный 4 2 19 2 2 3 2" xfId="59460"/>
    <cellStyle name="Процентный 4 2 19 2 2 4" xfId="38100"/>
    <cellStyle name="Процентный 4 2 19 2 3" xfId="11396"/>
    <cellStyle name="Процентный 4 2 19 2 3 2" xfId="43440"/>
    <cellStyle name="Процентный 4 2 19 2 4" xfId="22077"/>
    <cellStyle name="Процентный 4 2 19 2 4 2" xfId="54120"/>
    <cellStyle name="Процентный 4 2 19 2 5" xfId="32760"/>
    <cellStyle name="Процентный 4 2 19 3" xfId="5589"/>
    <cellStyle name="Процентный 4 2 19 3 2" xfId="16269"/>
    <cellStyle name="Процентный 4 2 19 3 2 2" xfId="48313"/>
    <cellStyle name="Процентный 4 2 19 3 3" xfId="26950"/>
    <cellStyle name="Процентный 4 2 19 3 3 2" xfId="58993"/>
    <cellStyle name="Процентный 4 2 19 3 4" xfId="37633"/>
    <cellStyle name="Процентный 4 2 19 4" xfId="10929"/>
    <cellStyle name="Процентный 4 2 19 4 2" xfId="42973"/>
    <cellStyle name="Процентный 4 2 19 5" xfId="21610"/>
    <cellStyle name="Процентный 4 2 19 5 2" xfId="53653"/>
    <cellStyle name="Процентный 4 2 19 6" xfId="32293"/>
    <cellStyle name="Процентный 4 2 190" xfId="5379"/>
    <cellStyle name="Процентный 4 2 190 2" xfId="16059"/>
    <cellStyle name="Процентный 4 2 190 2 2" xfId="48103"/>
    <cellStyle name="Процентный 4 2 190 3" xfId="26740"/>
    <cellStyle name="Процентный 4 2 190 3 2" xfId="58783"/>
    <cellStyle name="Процентный 4 2 190 4" xfId="37423"/>
    <cellStyle name="Процентный 4 2 191" xfId="10719"/>
    <cellStyle name="Процентный 4 2 191 2" xfId="42763"/>
    <cellStyle name="Процентный 4 2 192" xfId="21400"/>
    <cellStyle name="Процентный 4 2 192 2" xfId="53443"/>
    <cellStyle name="Процентный 4 2 193" xfId="32083"/>
    <cellStyle name="Процентный 4 2 2" xfId="79"/>
    <cellStyle name="Процентный 4 2 2 10" xfId="1161"/>
    <cellStyle name="Процентный 4 2 2 10 2" xfId="6504"/>
    <cellStyle name="Процентный 4 2 2 10 2 2" xfId="17184"/>
    <cellStyle name="Процентный 4 2 2 10 2 2 2" xfId="49228"/>
    <cellStyle name="Процентный 4 2 2 10 2 3" xfId="27865"/>
    <cellStyle name="Процентный 4 2 2 10 2 3 2" xfId="59908"/>
    <cellStyle name="Процентный 4 2 2 10 2 4" xfId="38548"/>
    <cellStyle name="Процентный 4 2 2 10 3" xfId="11844"/>
    <cellStyle name="Процентный 4 2 2 10 3 2" xfId="43888"/>
    <cellStyle name="Процентный 4 2 2 10 4" xfId="22525"/>
    <cellStyle name="Процентный 4 2 2 10 4 2" xfId="54568"/>
    <cellStyle name="Процентный 4 2 2 10 5" xfId="33208"/>
    <cellStyle name="Процентный 4 2 2 100" xfId="3821"/>
    <cellStyle name="Процентный 4 2 2 100 2" xfId="9162"/>
    <cellStyle name="Процентный 4 2 2 100 2 2" xfId="19842"/>
    <cellStyle name="Процентный 4 2 2 100 2 2 2" xfId="51886"/>
    <cellStyle name="Процентный 4 2 2 100 2 3" xfId="30523"/>
    <cellStyle name="Процентный 4 2 2 100 2 3 2" xfId="62566"/>
    <cellStyle name="Процентный 4 2 2 100 2 4" xfId="41206"/>
    <cellStyle name="Процентный 4 2 2 100 3" xfId="14502"/>
    <cellStyle name="Процентный 4 2 2 100 3 2" xfId="46546"/>
    <cellStyle name="Процентный 4 2 2 100 4" xfId="25183"/>
    <cellStyle name="Процентный 4 2 2 100 4 2" xfId="57226"/>
    <cellStyle name="Процентный 4 2 2 100 5" xfId="35866"/>
    <cellStyle name="Процентный 4 2 2 101" xfId="3853"/>
    <cellStyle name="Процентный 4 2 2 101 2" xfId="9194"/>
    <cellStyle name="Процентный 4 2 2 101 2 2" xfId="19874"/>
    <cellStyle name="Процентный 4 2 2 101 2 2 2" xfId="51918"/>
    <cellStyle name="Процентный 4 2 2 101 2 3" xfId="30555"/>
    <cellStyle name="Процентный 4 2 2 101 2 3 2" xfId="62598"/>
    <cellStyle name="Процентный 4 2 2 101 2 4" xfId="41238"/>
    <cellStyle name="Процентный 4 2 2 101 3" xfId="14534"/>
    <cellStyle name="Процентный 4 2 2 101 3 2" xfId="46578"/>
    <cellStyle name="Процентный 4 2 2 101 4" xfId="25215"/>
    <cellStyle name="Процентный 4 2 2 101 4 2" xfId="57258"/>
    <cellStyle name="Процентный 4 2 2 101 5" xfId="35898"/>
    <cellStyle name="Процентный 4 2 2 102" xfId="3885"/>
    <cellStyle name="Процентный 4 2 2 102 2" xfId="9226"/>
    <cellStyle name="Процентный 4 2 2 102 2 2" xfId="19906"/>
    <cellStyle name="Процентный 4 2 2 102 2 2 2" xfId="51950"/>
    <cellStyle name="Процентный 4 2 2 102 2 3" xfId="30587"/>
    <cellStyle name="Процентный 4 2 2 102 2 3 2" xfId="62630"/>
    <cellStyle name="Процентный 4 2 2 102 2 4" xfId="41270"/>
    <cellStyle name="Процентный 4 2 2 102 3" xfId="14566"/>
    <cellStyle name="Процентный 4 2 2 102 3 2" xfId="46610"/>
    <cellStyle name="Процентный 4 2 2 102 4" xfId="25247"/>
    <cellStyle name="Процентный 4 2 2 102 4 2" xfId="57290"/>
    <cellStyle name="Процентный 4 2 2 102 5" xfId="35930"/>
    <cellStyle name="Процентный 4 2 2 103" xfId="3917"/>
    <cellStyle name="Процентный 4 2 2 103 2" xfId="9258"/>
    <cellStyle name="Процентный 4 2 2 103 2 2" xfId="19938"/>
    <cellStyle name="Процентный 4 2 2 103 2 2 2" xfId="51982"/>
    <cellStyle name="Процентный 4 2 2 103 2 3" xfId="30619"/>
    <cellStyle name="Процентный 4 2 2 103 2 3 2" xfId="62662"/>
    <cellStyle name="Процентный 4 2 2 103 2 4" xfId="41302"/>
    <cellStyle name="Процентный 4 2 2 103 3" xfId="14598"/>
    <cellStyle name="Процентный 4 2 2 103 3 2" xfId="46642"/>
    <cellStyle name="Процентный 4 2 2 103 4" xfId="25279"/>
    <cellStyle name="Процентный 4 2 2 103 4 2" xfId="57322"/>
    <cellStyle name="Процентный 4 2 2 103 5" xfId="35962"/>
    <cellStyle name="Процентный 4 2 2 104" xfId="3949"/>
    <cellStyle name="Процентный 4 2 2 104 2" xfId="9290"/>
    <cellStyle name="Процентный 4 2 2 104 2 2" xfId="19970"/>
    <cellStyle name="Процентный 4 2 2 104 2 2 2" xfId="52014"/>
    <cellStyle name="Процентный 4 2 2 104 2 3" xfId="30651"/>
    <cellStyle name="Процентный 4 2 2 104 2 3 2" xfId="62694"/>
    <cellStyle name="Процентный 4 2 2 104 2 4" xfId="41334"/>
    <cellStyle name="Процентный 4 2 2 104 3" xfId="14630"/>
    <cellStyle name="Процентный 4 2 2 104 3 2" xfId="46674"/>
    <cellStyle name="Процентный 4 2 2 104 4" xfId="25311"/>
    <cellStyle name="Процентный 4 2 2 104 4 2" xfId="57354"/>
    <cellStyle name="Процентный 4 2 2 104 5" xfId="35994"/>
    <cellStyle name="Процентный 4 2 2 105" xfId="3981"/>
    <cellStyle name="Процентный 4 2 2 105 2" xfId="9322"/>
    <cellStyle name="Процентный 4 2 2 105 2 2" xfId="20002"/>
    <cellStyle name="Процентный 4 2 2 105 2 2 2" xfId="52046"/>
    <cellStyle name="Процентный 4 2 2 105 2 3" xfId="30683"/>
    <cellStyle name="Процентный 4 2 2 105 2 3 2" xfId="62726"/>
    <cellStyle name="Процентный 4 2 2 105 2 4" xfId="41366"/>
    <cellStyle name="Процентный 4 2 2 105 3" xfId="14662"/>
    <cellStyle name="Процентный 4 2 2 105 3 2" xfId="46706"/>
    <cellStyle name="Процентный 4 2 2 105 4" xfId="25343"/>
    <cellStyle name="Процентный 4 2 2 105 4 2" xfId="57386"/>
    <cellStyle name="Процентный 4 2 2 105 5" xfId="36026"/>
    <cellStyle name="Процентный 4 2 2 106" xfId="4013"/>
    <cellStyle name="Процентный 4 2 2 106 2" xfId="9354"/>
    <cellStyle name="Процентный 4 2 2 106 2 2" xfId="20034"/>
    <cellStyle name="Процентный 4 2 2 106 2 2 2" xfId="52078"/>
    <cellStyle name="Процентный 4 2 2 106 2 3" xfId="30715"/>
    <cellStyle name="Процентный 4 2 2 106 2 3 2" xfId="62758"/>
    <cellStyle name="Процентный 4 2 2 106 2 4" xfId="41398"/>
    <cellStyle name="Процентный 4 2 2 106 3" xfId="14694"/>
    <cellStyle name="Процентный 4 2 2 106 3 2" xfId="46738"/>
    <cellStyle name="Процентный 4 2 2 106 4" xfId="25375"/>
    <cellStyle name="Процентный 4 2 2 106 4 2" xfId="57418"/>
    <cellStyle name="Процентный 4 2 2 106 5" xfId="36058"/>
    <cellStyle name="Процентный 4 2 2 107" xfId="4045"/>
    <cellStyle name="Процентный 4 2 2 107 2" xfId="9386"/>
    <cellStyle name="Процентный 4 2 2 107 2 2" xfId="20066"/>
    <cellStyle name="Процентный 4 2 2 107 2 2 2" xfId="52110"/>
    <cellStyle name="Процентный 4 2 2 107 2 3" xfId="30747"/>
    <cellStyle name="Процентный 4 2 2 107 2 3 2" xfId="62790"/>
    <cellStyle name="Процентный 4 2 2 107 2 4" xfId="41430"/>
    <cellStyle name="Процентный 4 2 2 107 3" xfId="14726"/>
    <cellStyle name="Процентный 4 2 2 107 3 2" xfId="46770"/>
    <cellStyle name="Процентный 4 2 2 107 4" xfId="25407"/>
    <cellStyle name="Процентный 4 2 2 107 4 2" xfId="57450"/>
    <cellStyle name="Процентный 4 2 2 107 5" xfId="36090"/>
    <cellStyle name="Процентный 4 2 2 108" xfId="4077"/>
    <cellStyle name="Процентный 4 2 2 108 2" xfId="9418"/>
    <cellStyle name="Процентный 4 2 2 108 2 2" xfId="20098"/>
    <cellStyle name="Процентный 4 2 2 108 2 2 2" xfId="52142"/>
    <cellStyle name="Процентный 4 2 2 108 2 3" xfId="30779"/>
    <cellStyle name="Процентный 4 2 2 108 2 3 2" xfId="62822"/>
    <cellStyle name="Процентный 4 2 2 108 2 4" xfId="41462"/>
    <cellStyle name="Процентный 4 2 2 108 3" xfId="14758"/>
    <cellStyle name="Процентный 4 2 2 108 3 2" xfId="46802"/>
    <cellStyle name="Процентный 4 2 2 108 4" xfId="25439"/>
    <cellStyle name="Процентный 4 2 2 108 4 2" xfId="57482"/>
    <cellStyle name="Процентный 4 2 2 108 5" xfId="36122"/>
    <cellStyle name="Процентный 4 2 2 109" xfId="4109"/>
    <cellStyle name="Процентный 4 2 2 109 2" xfId="9450"/>
    <cellStyle name="Процентный 4 2 2 109 2 2" xfId="20130"/>
    <cellStyle name="Процентный 4 2 2 109 2 2 2" xfId="52174"/>
    <cellStyle name="Процентный 4 2 2 109 2 3" xfId="30811"/>
    <cellStyle name="Процентный 4 2 2 109 2 3 2" xfId="62854"/>
    <cellStyle name="Процентный 4 2 2 109 2 4" xfId="41494"/>
    <cellStyle name="Процентный 4 2 2 109 3" xfId="14790"/>
    <cellStyle name="Процентный 4 2 2 109 3 2" xfId="46834"/>
    <cellStyle name="Процентный 4 2 2 109 4" xfId="25471"/>
    <cellStyle name="Процентный 4 2 2 109 4 2" xfId="57514"/>
    <cellStyle name="Процентный 4 2 2 109 5" xfId="36154"/>
    <cellStyle name="Процентный 4 2 2 11" xfId="1187"/>
    <cellStyle name="Процентный 4 2 2 11 2" xfId="6530"/>
    <cellStyle name="Процентный 4 2 2 11 2 2" xfId="17210"/>
    <cellStyle name="Процентный 4 2 2 11 2 2 2" xfId="49254"/>
    <cellStyle name="Процентный 4 2 2 11 2 3" xfId="27891"/>
    <cellStyle name="Процентный 4 2 2 11 2 3 2" xfId="59934"/>
    <cellStyle name="Процентный 4 2 2 11 2 4" xfId="38574"/>
    <cellStyle name="Процентный 4 2 2 11 3" xfId="11870"/>
    <cellStyle name="Процентный 4 2 2 11 3 2" xfId="43914"/>
    <cellStyle name="Процентный 4 2 2 11 4" xfId="22551"/>
    <cellStyle name="Процентный 4 2 2 11 4 2" xfId="54594"/>
    <cellStyle name="Процентный 4 2 2 11 5" xfId="33234"/>
    <cellStyle name="Процентный 4 2 2 110" xfId="4141"/>
    <cellStyle name="Процентный 4 2 2 110 2" xfId="9482"/>
    <cellStyle name="Процентный 4 2 2 110 2 2" xfId="20162"/>
    <cellStyle name="Процентный 4 2 2 110 2 2 2" xfId="52206"/>
    <cellStyle name="Процентный 4 2 2 110 2 3" xfId="30843"/>
    <cellStyle name="Процентный 4 2 2 110 2 3 2" xfId="62886"/>
    <cellStyle name="Процентный 4 2 2 110 2 4" xfId="41526"/>
    <cellStyle name="Процентный 4 2 2 110 3" xfId="14822"/>
    <cellStyle name="Процентный 4 2 2 110 3 2" xfId="46866"/>
    <cellStyle name="Процентный 4 2 2 110 4" xfId="25503"/>
    <cellStyle name="Процентный 4 2 2 110 4 2" xfId="57546"/>
    <cellStyle name="Процентный 4 2 2 110 5" xfId="36186"/>
    <cellStyle name="Процентный 4 2 2 111" xfId="4173"/>
    <cellStyle name="Процентный 4 2 2 111 2" xfId="9514"/>
    <cellStyle name="Процентный 4 2 2 111 2 2" xfId="20194"/>
    <cellStyle name="Процентный 4 2 2 111 2 2 2" xfId="52238"/>
    <cellStyle name="Процентный 4 2 2 111 2 3" xfId="30875"/>
    <cellStyle name="Процентный 4 2 2 111 2 3 2" xfId="62918"/>
    <cellStyle name="Процентный 4 2 2 111 2 4" xfId="41558"/>
    <cellStyle name="Процентный 4 2 2 111 3" xfId="14854"/>
    <cellStyle name="Процентный 4 2 2 111 3 2" xfId="46898"/>
    <cellStyle name="Процентный 4 2 2 111 4" xfId="25535"/>
    <cellStyle name="Процентный 4 2 2 111 4 2" xfId="57578"/>
    <cellStyle name="Процентный 4 2 2 111 5" xfId="36218"/>
    <cellStyle name="Процентный 4 2 2 112" xfId="4205"/>
    <cellStyle name="Процентный 4 2 2 112 2" xfId="9546"/>
    <cellStyle name="Процентный 4 2 2 112 2 2" xfId="20226"/>
    <cellStyle name="Процентный 4 2 2 112 2 2 2" xfId="52270"/>
    <cellStyle name="Процентный 4 2 2 112 2 3" xfId="30907"/>
    <cellStyle name="Процентный 4 2 2 112 2 3 2" xfId="62950"/>
    <cellStyle name="Процентный 4 2 2 112 2 4" xfId="41590"/>
    <cellStyle name="Процентный 4 2 2 112 3" xfId="14886"/>
    <cellStyle name="Процентный 4 2 2 112 3 2" xfId="46930"/>
    <cellStyle name="Процентный 4 2 2 112 4" xfId="25567"/>
    <cellStyle name="Процентный 4 2 2 112 4 2" xfId="57610"/>
    <cellStyle name="Процентный 4 2 2 112 5" xfId="36250"/>
    <cellStyle name="Процентный 4 2 2 113" xfId="4237"/>
    <cellStyle name="Процентный 4 2 2 113 2" xfId="9578"/>
    <cellStyle name="Процентный 4 2 2 113 2 2" xfId="20258"/>
    <cellStyle name="Процентный 4 2 2 113 2 2 2" xfId="52302"/>
    <cellStyle name="Процентный 4 2 2 113 2 3" xfId="30939"/>
    <cellStyle name="Процентный 4 2 2 113 2 3 2" xfId="62982"/>
    <cellStyle name="Процентный 4 2 2 113 2 4" xfId="41622"/>
    <cellStyle name="Процентный 4 2 2 113 3" xfId="14918"/>
    <cellStyle name="Процентный 4 2 2 113 3 2" xfId="46962"/>
    <cellStyle name="Процентный 4 2 2 113 4" xfId="25599"/>
    <cellStyle name="Процентный 4 2 2 113 4 2" xfId="57642"/>
    <cellStyle name="Процентный 4 2 2 113 5" xfId="36282"/>
    <cellStyle name="Процентный 4 2 2 114" xfId="4269"/>
    <cellStyle name="Процентный 4 2 2 114 2" xfId="9610"/>
    <cellStyle name="Процентный 4 2 2 114 2 2" xfId="20290"/>
    <cellStyle name="Процентный 4 2 2 114 2 2 2" xfId="52334"/>
    <cellStyle name="Процентный 4 2 2 114 2 3" xfId="30971"/>
    <cellStyle name="Процентный 4 2 2 114 2 3 2" xfId="63014"/>
    <cellStyle name="Процентный 4 2 2 114 2 4" xfId="41654"/>
    <cellStyle name="Процентный 4 2 2 114 3" xfId="14950"/>
    <cellStyle name="Процентный 4 2 2 114 3 2" xfId="46994"/>
    <cellStyle name="Процентный 4 2 2 114 4" xfId="25631"/>
    <cellStyle name="Процентный 4 2 2 114 4 2" xfId="57674"/>
    <cellStyle name="Процентный 4 2 2 114 5" xfId="36314"/>
    <cellStyle name="Процентный 4 2 2 115" xfId="4301"/>
    <cellStyle name="Процентный 4 2 2 115 2" xfId="9642"/>
    <cellStyle name="Процентный 4 2 2 115 2 2" xfId="20322"/>
    <cellStyle name="Процентный 4 2 2 115 2 2 2" xfId="52366"/>
    <cellStyle name="Процентный 4 2 2 115 2 3" xfId="31003"/>
    <cellStyle name="Процентный 4 2 2 115 2 3 2" xfId="63046"/>
    <cellStyle name="Процентный 4 2 2 115 2 4" xfId="41686"/>
    <cellStyle name="Процентный 4 2 2 115 3" xfId="14982"/>
    <cellStyle name="Процентный 4 2 2 115 3 2" xfId="47026"/>
    <cellStyle name="Процентный 4 2 2 115 4" xfId="25663"/>
    <cellStyle name="Процентный 4 2 2 115 4 2" xfId="57706"/>
    <cellStyle name="Процентный 4 2 2 115 5" xfId="36346"/>
    <cellStyle name="Процентный 4 2 2 116" xfId="4333"/>
    <cellStyle name="Процентный 4 2 2 116 2" xfId="9674"/>
    <cellStyle name="Процентный 4 2 2 116 2 2" xfId="20354"/>
    <cellStyle name="Процентный 4 2 2 116 2 2 2" xfId="52398"/>
    <cellStyle name="Процентный 4 2 2 116 2 3" xfId="31035"/>
    <cellStyle name="Процентный 4 2 2 116 2 3 2" xfId="63078"/>
    <cellStyle name="Процентный 4 2 2 116 2 4" xfId="41718"/>
    <cellStyle name="Процентный 4 2 2 116 3" xfId="15014"/>
    <cellStyle name="Процентный 4 2 2 116 3 2" xfId="47058"/>
    <cellStyle name="Процентный 4 2 2 116 4" xfId="25695"/>
    <cellStyle name="Процентный 4 2 2 116 4 2" xfId="57738"/>
    <cellStyle name="Процентный 4 2 2 116 5" xfId="36378"/>
    <cellStyle name="Процентный 4 2 2 117" xfId="4365"/>
    <cellStyle name="Процентный 4 2 2 117 2" xfId="9706"/>
    <cellStyle name="Процентный 4 2 2 117 2 2" xfId="20386"/>
    <cellStyle name="Процентный 4 2 2 117 2 2 2" xfId="52430"/>
    <cellStyle name="Процентный 4 2 2 117 2 3" xfId="31067"/>
    <cellStyle name="Процентный 4 2 2 117 2 3 2" xfId="63110"/>
    <cellStyle name="Процентный 4 2 2 117 2 4" xfId="41750"/>
    <cellStyle name="Процентный 4 2 2 117 3" xfId="15046"/>
    <cellStyle name="Процентный 4 2 2 117 3 2" xfId="47090"/>
    <cellStyle name="Процентный 4 2 2 117 4" xfId="25727"/>
    <cellStyle name="Процентный 4 2 2 117 4 2" xfId="57770"/>
    <cellStyle name="Процентный 4 2 2 117 5" xfId="36410"/>
    <cellStyle name="Процентный 4 2 2 118" xfId="4397"/>
    <cellStyle name="Процентный 4 2 2 118 2" xfId="9738"/>
    <cellStyle name="Процентный 4 2 2 118 2 2" xfId="20418"/>
    <cellStyle name="Процентный 4 2 2 118 2 2 2" xfId="52462"/>
    <cellStyle name="Процентный 4 2 2 118 2 3" xfId="31099"/>
    <cellStyle name="Процентный 4 2 2 118 2 3 2" xfId="63142"/>
    <cellStyle name="Процентный 4 2 2 118 2 4" xfId="41782"/>
    <cellStyle name="Процентный 4 2 2 118 3" xfId="15078"/>
    <cellStyle name="Процентный 4 2 2 118 3 2" xfId="47122"/>
    <cellStyle name="Процентный 4 2 2 118 4" xfId="25759"/>
    <cellStyle name="Процентный 4 2 2 118 4 2" xfId="57802"/>
    <cellStyle name="Процентный 4 2 2 118 5" xfId="36442"/>
    <cellStyle name="Процентный 4 2 2 119" xfId="4429"/>
    <cellStyle name="Процентный 4 2 2 119 2" xfId="9770"/>
    <cellStyle name="Процентный 4 2 2 119 2 2" xfId="20450"/>
    <cellStyle name="Процентный 4 2 2 119 2 2 2" xfId="52494"/>
    <cellStyle name="Процентный 4 2 2 119 2 3" xfId="31131"/>
    <cellStyle name="Процентный 4 2 2 119 2 3 2" xfId="63174"/>
    <cellStyle name="Процентный 4 2 2 119 2 4" xfId="41814"/>
    <cellStyle name="Процентный 4 2 2 119 3" xfId="15110"/>
    <cellStyle name="Процентный 4 2 2 119 3 2" xfId="47154"/>
    <cellStyle name="Процентный 4 2 2 119 4" xfId="25791"/>
    <cellStyle name="Процентный 4 2 2 119 4 2" xfId="57834"/>
    <cellStyle name="Процентный 4 2 2 119 5" xfId="36474"/>
    <cellStyle name="Процентный 4 2 2 12" xfId="1213"/>
    <cellStyle name="Процентный 4 2 2 12 2" xfId="6556"/>
    <cellStyle name="Процентный 4 2 2 12 2 2" xfId="17236"/>
    <cellStyle name="Процентный 4 2 2 12 2 2 2" xfId="49280"/>
    <cellStyle name="Процентный 4 2 2 12 2 3" xfId="27917"/>
    <cellStyle name="Процентный 4 2 2 12 2 3 2" xfId="59960"/>
    <cellStyle name="Процентный 4 2 2 12 2 4" xfId="38600"/>
    <cellStyle name="Процентный 4 2 2 12 3" xfId="11896"/>
    <cellStyle name="Процентный 4 2 2 12 3 2" xfId="43940"/>
    <cellStyle name="Процентный 4 2 2 12 4" xfId="22577"/>
    <cellStyle name="Процентный 4 2 2 12 4 2" xfId="54620"/>
    <cellStyle name="Процентный 4 2 2 12 5" xfId="33260"/>
    <cellStyle name="Процентный 4 2 2 120" xfId="4461"/>
    <cellStyle name="Процентный 4 2 2 120 2" xfId="9802"/>
    <cellStyle name="Процентный 4 2 2 120 2 2" xfId="20482"/>
    <cellStyle name="Процентный 4 2 2 120 2 2 2" xfId="52526"/>
    <cellStyle name="Процентный 4 2 2 120 2 3" xfId="31163"/>
    <cellStyle name="Процентный 4 2 2 120 2 3 2" xfId="63206"/>
    <cellStyle name="Процентный 4 2 2 120 2 4" xfId="41846"/>
    <cellStyle name="Процентный 4 2 2 120 3" xfId="15142"/>
    <cellStyle name="Процентный 4 2 2 120 3 2" xfId="47186"/>
    <cellStyle name="Процентный 4 2 2 120 4" xfId="25823"/>
    <cellStyle name="Процентный 4 2 2 120 4 2" xfId="57866"/>
    <cellStyle name="Процентный 4 2 2 120 5" xfId="36506"/>
    <cellStyle name="Процентный 4 2 2 121" xfId="4493"/>
    <cellStyle name="Процентный 4 2 2 121 2" xfId="9834"/>
    <cellStyle name="Процентный 4 2 2 121 2 2" xfId="20514"/>
    <cellStyle name="Процентный 4 2 2 121 2 2 2" xfId="52558"/>
    <cellStyle name="Процентный 4 2 2 121 2 3" xfId="31195"/>
    <cellStyle name="Процентный 4 2 2 121 2 3 2" xfId="63238"/>
    <cellStyle name="Процентный 4 2 2 121 2 4" xfId="41878"/>
    <cellStyle name="Процентный 4 2 2 121 3" xfId="15174"/>
    <cellStyle name="Процентный 4 2 2 121 3 2" xfId="47218"/>
    <cellStyle name="Процентный 4 2 2 121 4" xfId="25855"/>
    <cellStyle name="Процентный 4 2 2 121 4 2" xfId="57898"/>
    <cellStyle name="Процентный 4 2 2 121 5" xfId="36538"/>
    <cellStyle name="Процентный 4 2 2 122" xfId="4525"/>
    <cellStyle name="Процентный 4 2 2 122 2" xfId="9866"/>
    <cellStyle name="Процентный 4 2 2 122 2 2" xfId="20546"/>
    <cellStyle name="Процентный 4 2 2 122 2 2 2" xfId="52590"/>
    <cellStyle name="Процентный 4 2 2 122 2 3" xfId="31227"/>
    <cellStyle name="Процентный 4 2 2 122 2 3 2" xfId="63270"/>
    <cellStyle name="Процентный 4 2 2 122 2 4" xfId="41910"/>
    <cellStyle name="Процентный 4 2 2 122 3" xfId="15206"/>
    <cellStyle name="Процентный 4 2 2 122 3 2" xfId="47250"/>
    <cellStyle name="Процентный 4 2 2 122 4" xfId="25887"/>
    <cellStyle name="Процентный 4 2 2 122 4 2" xfId="57930"/>
    <cellStyle name="Процентный 4 2 2 122 5" xfId="36570"/>
    <cellStyle name="Процентный 4 2 2 123" xfId="4557"/>
    <cellStyle name="Процентный 4 2 2 123 2" xfId="9898"/>
    <cellStyle name="Процентный 4 2 2 123 2 2" xfId="20578"/>
    <cellStyle name="Процентный 4 2 2 123 2 2 2" xfId="52622"/>
    <cellStyle name="Процентный 4 2 2 123 2 3" xfId="31259"/>
    <cellStyle name="Процентный 4 2 2 123 2 3 2" xfId="63302"/>
    <cellStyle name="Процентный 4 2 2 123 2 4" xfId="41942"/>
    <cellStyle name="Процентный 4 2 2 123 3" xfId="15238"/>
    <cellStyle name="Процентный 4 2 2 123 3 2" xfId="47282"/>
    <cellStyle name="Процентный 4 2 2 123 4" xfId="25919"/>
    <cellStyle name="Процентный 4 2 2 123 4 2" xfId="57962"/>
    <cellStyle name="Процентный 4 2 2 123 5" xfId="36602"/>
    <cellStyle name="Процентный 4 2 2 124" xfId="4589"/>
    <cellStyle name="Процентный 4 2 2 124 2" xfId="9930"/>
    <cellStyle name="Процентный 4 2 2 124 2 2" xfId="20610"/>
    <cellStyle name="Процентный 4 2 2 124 2 2 2" xfId="52654"/>
    <cellStyle name="Процентный 4 2 2 124 2 3" xfId="31291"/>
    <cellStyle name="Процентный 4 2 2 124 2 3 2" xfId="63334"/>
    <cellStyle name="Процентный 4 2 2 124 2 4" xfId="41974"/>
    <cellStyle name="Процентный 4 2 2 124 3" xfId="15270"/>
    <cellStyle name="Процентный 4 2 2 124 3 2" xfId="47314"/>
    <cellStyle name="Процентный 4 2 2 124 4" xfId="25951"/>
    <cellStyle name="Процентный 4 2 2 124 4 2" xfId="57994"/>
    <cellStyle name="Процентный 4 2 2 124 5" xfId="36634"/>
    <cellStyle name="Процентный 4 2 2 125" xfId="4621"/>
    <cellStyle name="Процентный 4 2 2 125 2" xfId="9962"/>
    <cellStyle name="Процентный 4 2 2 125 2 2" xfId="20642"/>
    <cellStyle name="Процентный 4 2 2 125 2 2 2" xfId="52686"/>
    <cellStyle name="Процентный 4 2 2 125 2 3" xfId="31323"/>
    <cellStyle name="Процентный 4 2 2 125 2 3 2" xfId="63366"/>
    <cellStyle name="Процентный 4 2 2 125 2 4" xfId="42006"/>
    <cellStyle name="Процентный 4 2 2 125 3" xfId="15302"/>
    <cellStyle name="Процентный 4 2 2 125 3 2" xfId="47346"/>
    <cellStyle name="Процентный 4 2 2 125 4" xfId="25983"/>
    <cellStyle name="Процентный 4 2 2 125 4 2" xfId="58026"/>
    <cellStyle name="Процентный 4 2 2 125 5" xfId="36666"/>
    <cellStyle name="Процентный 4 2 2 126" xfId="4653"/>
    <cellStyle name="Процентный 4 2 2 126 2" xfId="9994"/>
    <cellStyle name="Процентный 4 2 2 126 2 2" xfId="20674"/>
    <cellStyle name="Процентный 4 2 2 126 2 2 2" xfId="52718"/>
    <cellStyle name="Процентный 4 2 2 126 2 3" xfId="31355"/>
    <cellStyle name="Процентный 4 2 2 126 2 3 2" xfId="63398"/>
    <cellStyle name="Процентный 4 2 2 126 2 4" xfId="42038"/>
    <cellStyle name="Процентный 4 2 2 126 3" xfId="15334"/>
    <cellStyle name="Процентный 4 2 2 126 3 2" xfId="47378"/>
    <cellStyle name="Процентный 4 2 2 126 4" xfId="26015"/>
    <cellStyle name="Процентный 4 2 2 126 4 2" xfId="58058"/>
    <cellStyle name="Процентный 4 2 2 126 5" xfId="36698"/>
    <cellStyle name="Процентный 4 2 2 127" xfId="4685"/>
    <cellStyle name="Процентный 4 2 2 127 2" xfId="10026"/>
    <cellStyle name="Процентный 4 2 2 127 2 2" xfId="20706"/>
    <cellStyle name="Процентный 4 2 2 127 2 2 2" xfId="52750"/>
    <cellStyle name="Процентный 4 2 2 127 2 3" xfId="31387"/>
    <cellStyle name="Процентный 4 2 2 127 2 3 2" xfId="63430"/>
    <cellStyle name="Процентный 4 2 2 127 2 4" xfId="42070"/>
    <cellStyle name="Процентный 4 2 2 127 3" xfId="15366"/>
    <cellStyle name="Процентный 4 2 2 127 3 2" xfId="47410"/>
    <cellStyle name="Процентный 4 2 2 127 4" xfId="26047"/>
    <cellStyle name="Процентный 4 2 2 127 4 2" xfId="58090"/>
    <cellStyle name="Процентный 4 2 2 127 5" xfId="36730"/>
    <cellStyle name="Процентный 4 2 2 128" xfId="4719"/>
    <cellStyle name="Процентный 4 2 2 128 2" xfId="10060"/>
    <cellStyle name="Процентный 4 2 2 128 2 2" xfId="20740"/>
    <cellStyle name="Процентный 4 2 2 128 2 2 2" xfId="52784"/>
    <cellStyle name="Процентный 4 2 2 128 2 3" xfId="31421"/>
    <cellStyle name="Процентный 4 2 2 128 2 3 2" xfId="63464"/>
    <cellStyle name="Процентный 4 2 2 128 2 4" xfId="42104"/>
    <cellStyle name="Процентный 4 2 2 128 3" xfId="15400"/>
    <cellStyle name="Процентный 4 2 2 128 3 2" xfId="47444"/>
    <cellStyle name="Процентный 4 2 2 128 4" xfId="26081"/>
    <cellStyle name="Процентный 4 2 2 128 4 2" xfId="58124"/>
    <cellStyle name="Процентный 4 2 2 128 5" xfId="36764"/>
    <cellStyle name="Процентный 4 2 2 129" xfId="4751"/>
    <cellStyle name="Процентный 4 2 2 129 2" xfId="10092"/>
    <cellStyle name="Процентный 4 2 2 129 2 2" xfId="20772"/>
    <cellStyle name="Процентный 4 2 2 129 2 2 2" xfId="52816"/>
    <cellStyle name="Процентный 4 2 2 129 2 3" xfId="31453"/>
    <cellStyle name="Процентный 4 2 2 129 2 3 2" xfId="63496"/>
    <cellStyle name="Процентный 4 2 2 129 2 4" xfId="42136"/>
    <cellStyle name="Процентный 4 2 2 129 3" xfId="15432"/>
    <cellStyle name="Процентный 4 2 2 129 3 2" xfId="47476"/>
    <cellStyle name="Процентный 4 2 2 129 4" xfId="26113"/>
    <cellStyle name="Процентный 4 2 2 129 4 2" xfId="58156"/>
    <cellStyle name="Процентный 4 2 2 129 5" xfId="36796"/>
    <cellStyle name="Процентный 4 2 2 13" xfId="1239"/>
    <cellStyle name="Процентный 4 2 2 13 2" xfId="6582"/>
    <cellStyle name="Процентный 4 2 2 13 2 2" xfId="17262"/>
    <cellStyle name="Процентный 4 2 2 13 2 2 2" xfId="49306"/>
    <cellStyle name="Процентный 4 2 2 13 2 3" xfId="27943"/>
    <cellStyle name="Процентный 4 2 2 13 2 3 2" xfId="59986"/>
    <cellStyle name="Процентный 4 2 2 13 2 4" xfId="38626"/>
    <cellStyle name="Процентный 4 2 2 13 3" xfId="11922"/>
    <cellStyle name="Процентный 4 2 2 13 3 2" xfId="43966"/>
    <cellStyle name="Процентный 4 2 2 13 4" xfId="22603"/>
    <cellStyle name="Процентный 4 2 2 13 4 2" xfId="54646"/>
    <cellStyle name="Процентный 4 2 2 13 5" xfId="33286"/>
    <cellStyle name="Процентный 4 2 2 130" xfId="4783"/>
    <cellStyle name="Процентный 4 2 2 130 2" xfId="10124"/>
    <cellStyle name="Процентный 4 2 2 130 2 2" xfId="20804"/>
    <cellStyle name="Процентный 4 2 2 130 2 2 2" xfId="52848"/>
    <cellStyle name="Процентный 4 2 2 130 2 3" xfId="31485"/>
    <cellStyle name="Процентный 4 2 2 130 2 3 2" xfId="63528"/>
    <cellStyle name="Процентный 4 2 2 130 2 4" xfId="42168"/>
    <cellStyle name="Процентный 4 2 2 130 3" xfId="15464"/>
    <cellStyle name="Процентный 4 2 2 130 3 2" xfId="47508"/>
    <cellStyle name="Процентный 4 2 2 130 4" xfId="26145"/>
    <cellStyle name="Процентный 4 2 2 130 4 2" xfId="58188"/>
    <cellStyle name="Процентный 4 2 2 130 5" xfId="36828"/>
    <cellStyle name="Процентный 4 2 2 131" xfId="4815"/>
    <cellStyle name="Процентный 4 2 2 131 2" xfId="10156"/>
    <cellStyle name="Процентный 4 2 2 131 2 2" xfId="20836"/>
    <cellStyle name="Процентный 4 2 2 131 2 2 2" xfId="52880"/>
    <cellStyle name="Процентный 4 2 2 131 2 3" xfId="31517"/>
    <cellStyle name="Процентный 4 2 2 131 2 3 2" xfId="63560"/>
    <cellStyle name="Процентный 4 2 2 131 2 4" xfId="42200"/>
    <cellStyle name="Процентный 4 2 2 131 3" xfId="15496"/>
    <cellStyle name="Процентный 4 2 2 131 3 2" xfId="47540"/>
    <cellStyle name="Процентный 4 2 2 131 4" xfId="26177"/>
    <cellStyle name="Процентный 4 2 2 131 4 2" xfId="58220"/>
    <cellStyle name="Процентный 4 2 2 131 5" xfId="36860"/>
    <cellStyle name="Процентный 4 2 2 132" xfId="4847"/>
    <cellStyle name="Процентный 4 2 2 132 2" xfId="10188"/>
    <cellStyle name="Процентный 4 2 2 132 2 2" xfId="20868"/>
    <cellStyle name="Процентный 4 2 2 132 2 2 2" xfId="52912"/>
    <cellStyle name="Процентный 4 2 2 132 2 3" xfId="31549"/>
    <cellStyle name="Процентный 4 2 2 132 2 3 2" xfId="63592"/>
    <cellStyle name="Процентный 4 2 2 132 2 4" xfId="42232"/>
    <cellStyle name="Процентный 4 2 2 132 3" xfId="15528"/>
    <cellStyle name="Процентный 4 2 2 132 3 2" xfId="47572"/>
    <cellStyle name="Процентный 4 2 2 132 4" xfId="26209"/>
    <cellStyle name="Процентный 4 2 2 132 4 2" xfId="58252"/>
    <cellStyle name="Процентный 4 2 2 132 5" xfId="36892"/>
    <cellStyle name="Процентный 4 2 2 133" xfId="4879"/>
    <cellStyle name="Процентный 4 2 2 133 2" xfId="10220"/>
    <cellStyle name="Процентный 4 2 2 133 2 2" xfId="20900"/>
    <cellStyle name="Процентный 4 2 2 133 2 2 2" xfId="52944"/>
    <cellStyle name="Процентный 4 2 2 133 2 3" xfId="31581"/>
    <cellStyle name="Процентный 4 2 2 133 2 3 2" xfId="63624"/>
    <cellStyle name="Процентный 4 2 2 133 2 4" xfId="42264"/>
    <cellStyle name="Процентный 4 2 2 133 3" xfId="15560"/>
    <cellStyle name="Процентный 4 2 2 133 3 2" xfId="47604"/>
    <cellStyle name="Процентный 4 2 2 133 4" xfId="26241"/>
    <cellStyle name="Процентный 4 2 2 133 4 2" xfId="58284"/>
    <cellStyle name="Процентный 4 2 2 133 5" xfId="36924"/>
    <cellStyle name="Процентный 4 2 2 134" xfId="4911"/>
    <cellStyle name="Процентный 4 2 2 134 2" xfId="10252"/>
    <cellStyle name="Процентный 4 2 2 134 2 2" xfId="20932"/>
    <cellStyle name="Процентный 4 2 2 134 2 2 2" xfId="52976"/>
    <cellStyle name="Процентный 4 2 2 134 2 3" xfId="31613"/>
    <cellStyle name="Процентный 4 2 2 134 2 3 2" xfId="63656"/>
    <cellStyle name="Процентный 4 2 2 134 2 4" xfId="42296"/>
    <cellStyle name="Процентный 4 2 2 134 3" xfId="15592"/>
    <cellStyle name="Процентный 4 2 2 134 3 2" xfId="47636"/>
    <cellStyle name="Процентный 4 2 2 134 4" xfId="26273"/>
    <cellStyle name="Процентный 4 2 2 134 4 2" xfId="58316"/>
    <cellStyle name="Процентный 4 2 2 134 5" xfId="36956"/>
    <cellStyle name="Процентный 4 2 2 135" xfId="4943"/>
    <cellStyle name="Процентный 4 2 2 135 2" xfId="10284"/>
    <cellStyle name="Процентный 4 2 2 135 2 2" xfId="20964"/>
    <cellStyle name="Процентный 4 2 2 135 2 2 2" xfId="53008"/>
    <cellStyle name="Процентный 4 2 2 135 2 3" xfId="31645"/>
    <cellStyle name="Процентный 4 2 2 135 2 3 2" xfId="63688"/>
    <cellStyle name="Процентный 4 2 2 135 2 4" xfId="42328"/>
    <cellStyle name="Процентный 4 2 2 135 3" xfId="15624"/>
    <cellStyle name="Процентный 4 2 2 135 3 2" xfId="47668"/>
    <cellStyle name="Процентный 4 2 2 135 4" xfId="26305"/>
    <cellStyle name="Процентный 4 2 2 135 4 2" xfId="58348"/>
    <cellStyle name="Процентный 4 2 2 135 5" xfId="36988"/>
    <cellStyle name="Процентный 4 2 2 136" xfId="4975"/>
    <cellStyle name="Процентный 4 2 2 136 2" xfId="10316"/>
    <cellStyle name="Процентный 4 2 2 136 2 2" xfId="20996"/>
    <cellStyle name="Процентный 4 2 2 136 2 2 2" xfId="53040"/>
    <cellStyle name="Процентный 4 2 2 136 2 3" xfId="31677"/>
    <cellStyle name="Процентный 4 2 2 136 2 3 2" xfId="63720"/>
    <cellStyle name="Процентный 4 2 2 136 2 4" xfId="42360"/>
    <cellStyle name="Процентный 4 2 2 136 3" xfId="15656"/>
    <cellStyle name="Процентный 4 2 2 136 3 2" xfId="47700"/>
    <cellStyle name="Процентный 4 2 2 136 4" xfId="26337"/>
    <cellStyle name="Процентный 4 2 2 136 4 2" xfId="58380"/>
    <cellStyle name="Процентный 4 2 2 136 5" xfId="37020"/>
    <cellStyle name="Процентный 4 2 2 137" xfId="5007"/>
    <cellStyle name="Процентный 4 2 2 137 2" xfId="10348"/>
    <cellStyle name="Процентный 4 2 2 137 2 2" xfId="21028"/>
    <cellStyle name="Процентный 4 2 2 137 2 2 2" xfId="53072"/>
    <cellStyle name="Процентный 4 2 2 137 2 3" xfId="31709"/>
    <cellStyle name="Процентный 4 2 2 137 2 3 2" xfId="63752"/>
    <cellStyle name="Процентный 4 2 2 137 2 4" xfId="42392"/>
    <cellStyle name="Процентный 4 2 2 137 3" xfId="15688"/>
    <cellStyle name="Процентный 4 2 2 137 3 2" xfId="47732"/>
    <cellStyle name="Процентный 4 2 2 137 4" xfId="26369"/>
    <cellStyle name="Процентный 4 2 2 137 4 2" xfId="58412"/>
    <cellStyle name="Процентный 4 2 2 137 5" xfId="37052"/>
    <cellStyle name="Процентный 4 2 2 138" xfId="5039"/>
    <cellStyle name="Процентный 4 2 2 138 2" xfId="10380"/>
    <cellStyle name="Процентный 4 2 2 138 2 2" xfId="21060"/>
    <cellStyle name="Процентный 4 2 2 138 2 2 2" xfId="53104"/>
    <cellStyle name="Процентный 4 2 2 138 2 3" xfId="31741"/>
    <cellStyle name="Процентный 4 2 2 138 2 3 2" xfId="63784"/>
    <cellStyle name="Процентный 4 2 2 138 2 4" xfId="42424"/>
    <cellStyle name="Процентный 4 2 2 138 3" xfId="15720"/>
    <cellStyle name="Процентный 4 2 2 138 3 2" xfId="47764"/>
    <cellStyle name="Процентный 4 2 2 138 4" xfId="26401"/>
    <cellStyle name="Процентный 4 2 2 138 4 2" xfId="58444"/>
    <cellStyle name="Процентный 4 2 2 138 5" xfId="37084"/>
    <cellStyle name="Процентный 4 2 2 139" xfId="5071"/>
    <cellStyle name="Процентный 4 2 2 139 2" xfId="10412"/>
    <cellStyle name="Процентный 4 2 2 139 2 2" xfId="21092"/>
    <cellStyle name="Процентный 4 2 2 139 2 2 2" xfId="53136"/>
    <cellStyle name="Процентный 4 2 2 139 2 3" xfId="31773"/>
    <cellStyle name="Процентный 4 2 2 139 2 3 2" xfId="63816"/>
    <cellStyle name="Процентный 4 2 2 139 2 4" xfId="42456"/>
    <cellStyle name="Процентный 4 2 2 139 3" xfId="15752"/>
    <cellStyle name="Процентный 4 2 2 139 3 2" xfId="47796"/>
    <cellStyle name="Процентный 4 2 2 139 4" xfId="26433"/>
    <cellStyle name="Процентный 4 2 2 139 4 2" xfId="58476"/>
    <cellStyle name="Процентный 4 2 2 139 5" xfId="37116"/>
    <cellStyle name="Процентный 4 2 2 14" xfId="1265"/>
    <cellStyle name="Процентный 4 2 2 14 2" xfId="6608"/>
    <cellStyle name="Процентный 4 2 2 14 2 2" xfId="17288"/>
    <cellStyle name="Процентный 4 2 2 14 2 2 2" xfId="49332"/>
    <cellStyle name="Процентный 4 2 2 14 2 3" xfId="27969"/>
    <cellStyle name="Процентный 4 2 2 14 2 3 2" xfId="60012"/>
    <cellStyle name="Процентный 4 2 2 14 2 4" xfId="38652"/>
    <cellStyle name="Процентный 4 2 2 14 3" xfId="11948"/>
    <cellStyle name="Процентный 4 2 2 14 3 2" xfId="43992"/>
    <cellStyle name="Процентный 4 2 2 14 4" xfId="22629"/>
    <cellStyle name="Процентный 4 2 2 14 4 2" xfId="54672"/>
    <cellStyle name="Процентный 4 2 2 14 5" xfId="33312"/>
    <cellStyle name="Процентный 4 2 2 140" xfId="5103"/>
    <cellStyle name="Процентный 4 2 2 140 2" xfId="10444"/>
    <cellStyle name="Процентный 4 2 2 140 2 2" xfId="21124"/>
    <cellStyle name="Процентный 4 2 2 140 2 2 2" xfId="53168"/>
    <cellStyle name="Процентный 4 2 2 140 2 3" xfId="31805"/>
    <cellStyle name="Процентный 4 2 2 140 2 3 2" xfId="63848"/>
    <cellStyle name="Процентный 4 2 2 140 2 4" xfId="42488"/>
    <cellStyle name="Процентный 4 2 2 140 3" xfId="15784"/>
    <cellStyle name="Процентный 4 2 2 140 3 2" xfId="47828"/>
    <cellStyle name="Процентный 4 2 2 140 4" xfId="26465"/>
    <cellStyle name="Процентный 4 2 2 140 4 2" xfId="58508"/>
    <cellStyle name="Процентный 4 2 2 140 5" xfId="37148"/>
    <cellStyle name="Процентный 4 2 2 141" xfId="5135"/>
    <cellStyle name="Процентный 4 2 2 141 2" xfId="10476"/>
    <cellStyle name="Процентный 4 2 2 141 2 2" xfId="21156"/>
    <cellStyle name="Процентный 4 2 2 141 2 2 2" xfId="53200"/>
    <cellStyle name="Процентный 4 2 2 141 2 3" xfId="31837"/>
    <cellStyle name="Процентный 4 2 2 141 2 3 2" xfId="63880"/>
    <cellStyle name="Процентный 4 2 2 141 2 4" xfId="42520"/>
    <cellStyle name="Процентный 4 2 2 141 3" xfId="15816"/>
    <cellStyle name="Процентный 4 2 2 141 3 2" xfId="47860"/>
    <cellStyle name="Процентный 4 2 2 141 4" xfId="26497"/>
    <cellStyle name="Процентный 4 2 2 141 4 2" xfId="58540"/>
    <cellStyle name="Процентный 4 2 2 141 5" xfId="37180"/>
    <cellStyle name="Процентный 4 2 2 142" xfId="5167"/>
    <cellStyle name="Процентный 4 2 2 142 2" xfId="10508"/>
    <cellStyle name="Процентный 4 2 2 142 2 2" xfId="21188"/>
    <cellStyle name="Процентный 4 2 2 142 2 2 2" xfId="53232"/>
    <cellStyle name="Процентный 4 2 2 142 2 3" xfId="31869"/>
    <cellStyle name="Процентный 4 2 2 142 2 3 2" xfId="63912"/>
    <cellStyle name="Процентный 4 2 2 142 2 4" xfId="42552"/>
    <cellStyle name="Процентный 4 2 2 142 3" xfId="15848"/>
    <cellStyle name="Процентный 4 2 2 142 3 2" xfId="47892"/>
    <cellStyle name="Процентный 4 2 2 142 4" xfId="26529"/>
    <cellStyle name="Процентный 4 2 2 142 4 2" xfId="58572"/>
    <cellStyle name="Процентный 4 2 2 142 5" xfId="37212"/>
    <cellStyle name="Процентный 4 2 2 143" xfId="5199"/>
    <cellStyle name="Процентный 4 2 2 143 2" xfId="10540"/>
    <cellStyle name="Процентный 4 2 2 143 2 2" xfId="21220"/>
    <cellStyle name="Процентный 4 2 2 143 2 2 2" xfId="53264"/>
    <cellStyle name="Процентный 4 2 2 143 2 3" xfId="31901"/>
    <cellStyle name="Процентный 4 2 2 143 2 3 2" xfId="63944"/>
    <cellStyle name="Процентный 4 2 2 143 2 4" xfId="42584"/>
    <cellStyle name="Процентный 4 2 2 143 3" xfId="15880"/>
    <cellStyle name="Процентный 4 2 2 143 3 2" xfId="47924"/>
    <cellStyle name="Процентный 4 2 2 143 4" xfId="26561"/>
    <cellStyle name="Процентный 4 2 2 143 4 2" xfId="58604"/>
    <cellStyle name="Процентный 4 2 2 143 5" xfId="37244"/>
    <cellStyle name="Процентный 4 2 2 144" xfId="5231"/>
    <cellStyle name="Процентный 4 2 2 144 2" xfId="10572"/>
    <cellStyle name="Процентный 4 2 2 144 2 2" xfId="21252"/>
    <cellStyle name="Процентный 4 2 2 144 2 2 2" xfId="53296"/>
    <cellStyle name="Процентный 4 2 2 144 2 3" xfId="31933"/>
    <cellStyle name="Процентный 4 2 2 144 2 3 2" xfId="63976"/>
    <cellStyle name="Процентный 4 2 2 144 2 4" xfId="42616"/>
    <cellStyle name="Процентный 4 2 2 144 3" xfId="15912"/>
    <cellStyle name="Процентный 4 2 2 144 3 2" xfId="47956"/>
    <cellStyle name="Процентный 4 2 2 144 4" xfId="26593"/>
    <cellStyle name="Процентный 4 2 2 144 4 2" xfId="58636"/>
    <cellStyle name="Процентный 4 2 2 144 5" xfId="37276"/>
    <cellStyle name="Процентный 4 2 2 145" xfId="5263"/>
    <cellStyle name="Процентный 4 2 2 145 2" xfId="10604"/>
    <cellStyle name="Процентный 4 2 2 145 2 2" xfId="21284"/>
    <cellStyle name="Процентный 4 2 2 145 2 2 2" xfId="53328"/>
    <cellStyle name="Процентный 4 2 2 145 2 3" xfId="31965"/>
    <cellStyle name="Процентный 4 2 2 145 2 3 2" xfId="64008"/>
    <cellStyle name="Процентный 4 2 2 145 2 4" xfId="42648"/>
    <cellStyle name="Процентный 4 2 2 145 3" xfId="15944"/>
    <cellStyle name="Процентный 4 2 2 145 3 2" xfId="47988"/>
    <cellStyle name="Процентный 4 2 2 145 4" xfId="26625"/>
    <cellStyle name="Процентный 4 2 2 145 4 2" xfId="58668"/>
    <cellStyle name="Процентный 4 2 2 145 5" xfId="37308"/>
    <cellStyle name="Процентный 4 2 2 146" xfId="5295"/>
    <cellStyle name="Процентный 4 2 2 146 2" xfId="10636"/>
    <cellStyle name="Процентный 4 2 2 146 2 2" xfId="21316"/>
    <cellStyle name="Процентный 4 2 2 146 2 2 2" xfId="53360"/>
    <cellStyle name="Процентный 4 2 2 146 2 3" xfId="31997"/>
    <cellStyle name="Процентный 4 2 2 146 2 3 2" xfId="64040"/>
    <cellStyle name="Процентный 4 2 2 146 2 4" xfId="42680"/>
    <cellStyle name="Процентный 4 2 2 146 3" xfId="15976"/>
    <cellStyle name="Процентный 4 2 2 146 3 2" xfId="48020"/>
    <cellStyle name="Процентный 4 2 2 146 4" xfId="26657"/>
    <cellStyle name="Процентный 4 2 2 146 4 2" xfId="58700"/>
    <cellStyle name="Процентный 4 2 2 146 5" xfId="37340"/>
    <cellStyle name="Процентный 4 2 2 147" xfId="5327"/>
    <cellStyle name="Процентный 4 2 2 147 2" xfId="10668"/>
    <cellStyle name="Процентный 4 2 2 147 2 2" xfId="21348"/>
    <cellStyle name="Процентный 4 2 2 147 2 2 2" xfId="53392"/>
    <cellStyle name="Процентный 4 2 2 147 2 3" xfId="32029"/>
    <cellStyle name="Процентный 4 2 2 147 2 3 2" xfId="64072"/>
    <cellStyle name="Процентный 4 2 2 147 2 4" xfId="42712"/>
    <cellStyle name="Процентный 4 2 2 147 3" xfId="16008"/>
    <cellStyle name="Процентный 4 2 2 147 3 2" xfId="48052"/>
    <cellStyle name="Процентный 4 2 2 147 4" xfId="26689"/>
    <cellStyle name="Процентный 4 2 2 147 4 2" xfId="58732"/>
    <cellStyle name="Процентный 4 2 2 147 5" xfId="37372"/>
    <cellStyle name="Процентный 4 2 2 148" xfId="5359"/>
    <cellStyle name="Процентный 4 2 2 148 2" xfId="10700"/>
    <cellStyle name="Процентный 4 2 2 148 2 2" xfId="21380"/>
    <cellStyle name="Процентный 4 2 2 148 2 2 2" xfId="53424"/>
    <cellStyle name="Процентный 4 2 2 148 2 3" xfId="32061"/>
    <cellStyle name="Процентный 4 2 2 148 2 3 2" xfId="64104"/>
    <cellStyle name="Процентный 4 2 2 148 2 4" xfId="42744"/>
    <cellStyle name="Процентный 4 2 2 148 3" xfId="16040"/>
    <cellStyle name="Процентный 4 2 2 148 3 2" xfId="48084"/>
    <cellStyle name="Процентный 4 2 2 148 4" xfId="26721"/>
    <cellStyle name="Процентный 4 2 2 148 4 2" xfId="58764"/>
    <cellStyle name="Процентный 4 2 2 148 5" xfId="37404"/>
    <cellStyle name="Процентный 4 2 2 149" xfId="5423"/>
    <cellStyle name="Процентный 4 2 2 149 2" xfId="16103"/>
    <cellStyle name="Процентный 4 2 2 149 2 2" xfId="48147"/>
    <cellStyle name="Процентный 4 2 2 149 3" xfId="26784"/>
    <cellStyle name="Процентный 4 2 2 149 3 2" xfId="58827"/>
    <cellStyle name="Процентный 4 2 2 149 4" xfId="37467"/>
    <cellStyle name="Процентный 4 2 2 15" xfId="1291"/>
    <cellStyle name="Процентный 4 2 2 15 2" xfId="6634"/>
    <cellStyle name="Процентный 4 2 2 15 2 2" xfId="17314"/>
    <cellStyle name="Процентный 4 2 2 15 2 2 2" xfId="49358"/>
    <cellStyle name="Процентный 4 2 2 15 2 3" xfId="27995"/>
    <cellStyle name="Процентный 4 2 2 15 2 3 2" xfId="60038"/>
    <cellStyle name="Процентный 4 2 2 15 2 4" xfId="38678"/>
    <cellStyle name="Процентный 4 2 2 15 3" xfId="11974"/>
    <cellStyle name="Процентный 4 2 2 15 3 2" xfId="44018"/>
    <cellStyle name="Процентный 4 2 2 15 4" xfId="22655"/>
    <cellStyle name="Процентный 4 2 2 15 4 2" xfId="54698"/>
    <cellStyle name="Процентный 4 2 2 15 5" xfId="33338"/>
    <cellStyle name="Процентный 4 2 2 150" xfId="10763"/>
    <cellStyle name="Процентный 4 2 2 150 2" xfId="42807"/>
    <cellStyle name="Процентный 4 2 2 151" xfId="21444"/>
    <cellStyle name="Процентный 4 2 2 151 2" xfId="53487"/>
    <cellStyle name="Процентный 4 2 2 152" xfId="32127"/>
    <cellStyle name="Процентный 4 2 2 16" xfId="1318"/>
    <cellStyle name="Процентный 4 2 2 16 2" xfId="6660"/>
    <cellStyle name="Процентный 4 2 2 16 2 2" xfId="17340"/>
    <cellStyle name="Процентный 4 2 2 16 2 2 2" xfId="49384"/>
    <cellStyle name="Процентный 4 2 2 16 2 3" xfId="28021"/>
    <cellStyle name="Процентный 4 2 2 16 2 3 2" xfId="60064"/>
    <cellStyle name="Процентный 4 2 2 16 2 4" xfId="38704"/>
    <cellStyle name="Процентный 4 2 2 16 3" xfId="12000"/>
    <cellStyle name="Процентный 4 2 2 16 3 2" xfId="44044"/>
    <cellStyle name="Процентный 4 2 2 16 4" xfId="22681"/>
    <cellStyle name="Процентный 4 2 2 16 4 2" xfId="54724"/>
    <cellStyle name="Процентный 4 2 2 16 5" xfId="33364"/>
    <cellStyle name="Процентный 4 2 2 17" xfId="1344"/>
    <cellStyle name="Процентный 4 2 2 17 2" xfId="6686"/>
    <cellStyle name="Процентный 4 2 2 17 2 2" xfId="17366"/>
    <cellStyle name="Процентный 4 2 2 17 2 2 2" xfId="49410"/>
    <cellStyle name="Процентный 4 2 2 17 2 3" xfId="28047"/>
    <cellStyle name="Процентный 4 2 2 17 2 3 2" xfId="60090"/>
    <cellStyle name="Процентный 4 2 2 17 2 4" xfId="38730"/>
    <cellStyle name="Процентный 4 2 2 17 3" xfId="12026"/>
    <cellStyle name="Процентный 4 2 2 17 3 2" xfId="44070"/>
    <cellStyle name="Процентный 4 2 2 17 4" xfId="22707"/>
    <cellStyle name="Процентный 4 2 2 17 4 2" xfId="54750"/>
    <cellStyle name="Процентный 4 2 2 17 5" xfId="33390"/>
    <cellStyle name="Процентный 4 2 2 18" xfId="1370"/>
    <cellStyle name="Процентный 4 2 2 18 2" xfId="6712"/>
    <cellStyle name="Процентный 4 2 2 18 2 2" xfId="17392"/>
    <cellStyle name="Процентный 4 2 2 18 2 2 2" xfId="49436"/>
    <cellStyle name="Процентный 4 2 2 18 2 3" xfId="28073"/>
    <cellStyle name="Процентный 4 2 2 18 2 3 2" xfId="60116"/>
    <cellStyle name="Процентный 4 2 2 18 2 4" xfId="38756"/>
    <cellStyle name="Процентный 4 2 2 18 3" xfId="12052"/>
    <cellStyle name="Процентный 4 2 2 18 3 2" xfId="44096"/>
    <cellStyle name="Процентный 4 2 2 18 4" xfId="22733"/>
    <cellStyle name="Процентный 4 2 2 18 4 2" xfId="54776"/>
    <cellStyle name="Процентный 4 2 2 18 5" xfId="33416"/>
    <cellStyle name="Процентный 4 2 2 19" xfId="1396"/>
    <cellStyle name="Процентный 4 2 2 19 2" xfId="6738"/>
    <cellStyle name="Процентный 4 2 2 19 2 2" xfId="17418"/>
    <cellStyle name="Процентный 4 2 2 19 2 2 2" xfId="49462"/>
    <cellStyle name="Процентный 4 2 2 19 2 3" xfId="28099"/>
    <cellStyle name="Процентный 4 2 2 19 2 3 2" xfId="60142"/>
    <cellStyle name="Процентный 4 2 2 19 2 4" xfId="38782"/>
    <cellStyle name="Процентный 4 2 2 19 3" xfId="12078"/>
    <cellStyle name="Процентный 4 2 2 19 3 2" xfId="44122"/>
    <cellStyle name="Процентный 4 2 2 19 4" xfId="22759"/>
    <cellStyle name="Процентный 4 2 2 19 4 2" xfId="54802"/>
    <cellStyle name="Процентный 4 2 2 19 5" xfId="33442"/>
    <cellStyle name="Процентный 4 2 2 2" xfId="547"/>
    <cellStyle name="Процентный 4 2 2 2 2" xfId="5890"/>
    <cellStyle name="Процентный 4 2 2 2 2 2" xfId="16570"/>
    <cellStyle name="Процентный 4 2 2 2 2 2 2" xfId="48614"/>
    <cellStyle name="Процентный 4 2 2 2 2 3" xfId="27251"/>
    <cellStyle name="Процентный 4 2 2 2 2 3 2" xfId="59294"/>
    <cellStyle name="Процентный 4 2 2 2 2 4" xfId="37934"/>
    <cellStyle name="Процентный 4 2 2 2 3" xfId="11230"/>
    <cellStyle name="Процентный 4 2 2 2 3 2" xfId="43274"/>
    <cellStyle name="Процентный 4 2 2 2 4" xfId="21911"/>
    <cellStyle name="Процентный 4 2 2 2 4 2" xfId="53954"/>
    <cellStyle name="Процентный 4 2 2 2 5" xfId="32594"/>
    <cellStyle name="Процентный 4 2 2 20" xfId="1422"/>
    <cellStyle name="Процентный 4 2 2 20 2" xfId="6764"/>
    <cellStyle name="Процентный 4 2 2 20 2 2" xfId="17444"/>
    <cellStyle name="Процентный 4 2 2 20 2 2 2" xfId="49488"/>
    <cellStyle name="Процентный 4 2 2 20 2 3" xfId="28125"/>
    <cellStyle name="Процентный 4 2 2 20 2 3 2" xfId="60168"/>
    <cellStyle name="Процентный 4 2 2 20 2 4" xfId="38808"/>
    <cellStyle name="Процентный 4 2 2 20 3" xfId="12104"/>
    <cellStyle name="Процентный 4 2 2 20 3 2" xfId="44148"/>
    <cellStyle name="Процентный 4 2 2 20 4" xfId="22785"/>
    <cellStyle name="Процентный 4 2 2 20 4 2" xfId="54828"/>
    <cellStyle name="Процентный 4 2 2 20 5" xfId="33468"/>
    <cellStyle name="Процентный 4 2 2 21" xfId="1448"/>
    <cellStyle name="Процентный 4 2 2 21 2" xfId="6790"/>
    <cellStyle name="Процентный 4 2 2 21 2 2" xfId="17470"/>
    <cellStyle name="Процентный 4 2 2 21 2 2 2" xfId="49514"/>
    <cellStyle name="Процентный 4 2 2 21 2 3" xfId="28151"/>
    <cellStyle name="Процентный 4 2 2 21 2 3 2" xfId="60194"/>
    <cellStyle name="Процентный 4 2 2 21 2 4" xfId="38834"/>
    <cellStyle name="Процентный 4 2 2 21 3" xfId="12130"/>
    <cellStyle name="Процентный 4 2 2 21 3 2" xfId="44174"/>
    <cellStyle name="Процентный 4 2 2 21 4" xfId="22811"/>
    <cellStyle name="Процентный 4 2 2 21 4 2" xfId="54854"/>
    <cellStyle name="Процентный 4 2 2 21 5" xfId="33494"/>
    <cellStyle name="Процентный 4 2 2 22" xfId="1474"/>
    <cellStyle name="Процентный 4 2 2 22 2" xfId="6816"/>
    <cellStyle name="Процентный 4 2 2 22 2 2" xfId="17496"/>
    <cellStyle name="Процентный 4 2 2 22 2 2 2" xfId="49540"/>
    <cellStyle name="Процентный 4 2 2 22 2 3" xfId="28177"/>
    <cellStyle name="Процентный 4 2 2 22 2 3 2" xfId="60220"/>
    <cellStyle name="Процентный 4 2 2 22 2 4" xfId="38860"/>
    <cellStyle name="Процентный 4 2 2 22 3" xfId="12156"/>
    <cellStyle name="Процентный 4 2 2 22 3 2" xfId="44200"/>
    <cellStyle name="Процентный 4 2 2 22 4" xfId="22837"/>
    <cellStyle name="Процентный 4 2 2 22 4 2" xfId="54880"/>
    <cellStyle name="Процентный 4 2 2 22 5" xfId="33520"/>
    <cellStyle name="Процентный 4 2 2 23" xfId="1500"/>
    <cellStyle name="Процентный 4 2 2 23 2" xfId="6842"/>
    <cellStyle name="Процентный 4 2 2 23 2 2" xfId="17522"/>
    <cellStyle name="Процентный 4 2 2 23 2 2 2" xfId="49566"/>
    <cellStyle name="Процентный 4 2 2 23 2 3" xfId="28203"/>
    <cellStyle name="Процентный 4 2 2 23 2 3 2" xfId="60246"/>
    <cellStyle name="Процентный 4 2 2 23 2 4" xfId="38886"/>
    <cellStyle name="Процентный 4 2 2 23 3" xfId="12182"/>
    <cellStyle name="Процентный 4 2 2 23 3 2" xfId="44226"/>
    <cellStyle name="Процентный 4 2 2 23 4" xfId="22863"/>
    <cellStyle name="Процентный 4 2 2 23 4 2" xfId="54906"/>
    <cellStyle name="Процентный 4 2 2 23 5" xfId="33546"/>
    <cellStyle name="Процентный 4 2 2 24" xfId="1526"/>
    <cellStyle name="Процентный 4 2 2 24 2" xfId="6868"/>
    <cellStyle name="Процентный 4 2 2 24 2 2" xfId="17548"/>
    <cellStyle name="Процентный 4 2 2 24 2 2 2" xfId="49592"/>
    <cellStyle name="Процентный 4 2 2 24 2 3" xfId="28229"/>
    <cellStyle name="Процентный 4 2 2 24 2 3 2" xfId="60272"/>
    <cellStyle name="Процентный 4 2 2 24 2 4" xfId="38912"/>
    <cellStyle name="Процентный 4 2 2 24 3" xfId="12208"/>
    <cellStyle name="Процентный 4 2 2 24 3 2" xfId="44252"/>
    <cellStyle name="Процентный 4 2 2 24 4" xfId="22889"/>
    <cellStyle name="Процентный 4 2 2 24 4 2" xfId="54932"/>
    <cellStyle name="Процентный 4 2 2 24 5" xfId="33572"/>
    <cellStyle name="Процентный 4 2 2 25" xfId="1552"/>
    <cellStyle name="Процентный 4 2 2 25 2" xfId="6894"/>
    <cellStyle name="Процентный 4 2 2 25 2 2" xfId="17574"/>
    <cellStyle name="Процентный 4 2 2 25 2 2 2" xfId="49618"/>
    <cellStyle name="Процентный 4 2 2 25 2 3" xfId="28255"/>
    <cellStyle name="Процентный 4 2 2 25 2 3 2" xfId="60298"/>
    <cellStyle name="Процентный 4 2 2 25 2 4" xfId="38938"/>
    <cellStyle name="Процентный 4 2 2 25 3" xfId="12234"/>
    <cellStyle name="Процентный 4 2 2 25 3 2" xfId="44278"/>
    <cellStyle name="Процентный 4 2 2 25 4" xfId="22915"/>
    <cellStyle name="Процентный 4 2 2 25 4 2" xfId="54958"/>
    <cellStyle name="Процентный 4 2 2 25 5" xfId="33598"/>
    <cellStyle name="Процентный 4 2 2 26" xfId="1578"/>
    <cellStyle name="Процентный 4 2 2 26 2" xfId="6920"/>
    <cellStyle name="Процентный 4 2 2 26 2 2" xfId="17600"/>
    <cellStyle name="Процентный 4 2 2 26 2 2 2" xfId="49644"/>
    <cellStyle name="Процентный 4 2 2 26 2 3" xfId="28281"/>
    <cellStyle name="Процентный 4 2 2 26 2 3 2" xfId="60324"/>
    <cellStyle name="Процентный 4 2 2 26 2 4" xfId="38964"/>
    <cellStyle name="Процентный 4 2 2 26 3" xfId="12260"/>
    <cellStyle name="Процентный 4 2 2 26 3 2" xfId="44304"/>
    <cellStyle name="Процентный 4 2 2 26 4" xfId="22941"/>
    <cellStyle name="Процентный 4 2 2 26 4 2" xfId="54984"/>
    <cellStyle name="Процентный 4 2 2 26 5" xfId="33624"/>
    <cellStyle name="Процентный 4 2 2 27" xfId="1604"/>
    <cellStyle name="Процентный 4 2 2 27 2" xfId="6946"/>
    <cellStyle name="Процентный 4 2 2 27 2 2" xfId="17626"/>
    <cellStyle name="Процентный 4 2 2 27 2 2 2" xfId="49670"/>
    <cellStyle name="Процентный 4 2 2 27 2 3" xfId="28307"/>
    <cellStyle name="Процентный 4 2 2 27 2 3 2" xfId="60350"/>
    <cellStyle name="Процентный 4 2 2 27 2 4" xfId="38990"/>
    <cellStyle name="Процентный 4 2 2 27 3" xfId="12286"/>
    <cellStyle name="Процентный 4 2 2 27 3 2" xfId="44330"/>
    <cellStyle name="Процентный 4 2 2 27 4" xfId="22967"/>
    <cellStyle name="Процентный 4 2 2 27 4 2" xfId="55010"/>
    <cellStyle name="Процентный 4 2 2 27 5" xfId="33650"/>
    <cellStyle name="Процентный 4 2 2 28" xfId="1630"/>
    <cellStyle name="Процентный 4 2 2 28 2" xfId="6972"/>
    <cellStyle name="Процентный 4 2 2 28 2 2" xfId="17652"/>
    <cellStyle name="Процентный 4 2 2 28 2 2 2" xfId="49696"/>
    <cellStyle name="Процентный 4 2 2 28 2 3" xfId="28333"/>
    <cellStyle name="Процентный 4 2 2 28 2 3 2" xfId="60376"/>
    <cellStyle name="Процентный 4 2 2 28 2 4" xfId="39016"/>
    <cellStyle name="Процентный 4 2 2 28 3" xfId="12312"/>
    <cellStyle name="Процентный 4 2 2 28 3 2" xfId="44356"/>
    <cellStyle name="Процентный 4 2 2 28 4" xfId="22993"/>
    <cellStyle name="Процентный 4 2 2 28 4 2" xfId="55036"/>
    <cellStyle name="Процентный 4 2 2 28 5" xfId="33676"/>
    <cellStyle name="Процентный 4 2 2 29" xfId="1656"/>
    <cellStyle name="Процентный 4 2 2 29 2" xfId="6998"/>
    <cellStyle name="Процентный 4 2 2 29 2 2" xfId="17678"/>
    <cellStyle name="Процентный 4 2 2 29 2 2 2" xfId="49722"/>
    <cellStyle name="Процентный 4 2 2 29 2 3" xfId="28359"/>
    <cellStyle name="Процентный 4 2 2 29 2 3 2" xfId="60402"/>
    <cellStyle name="Процентный 4 2 2 29 2 4" xfId="39042"/>
    <cellStyle name="Процентный 4 2 2 29 3" xfId="12338"/>
    <cellStyle name="Процентный 4 2 2 29 3 2" xfId="44382"/>
    <cellStyle name="Процентный 4 2 2 29 4" xfId="23019"/>
    <cellStyle name="Процентный 4 2 2 29 4 2" xfId="55062"/>
    <cellStyle name="Процентный 4 2 2 29 5" xfId="33702"/>
    <cellStyle name="Процентный 4 2 2 3" xfId="983"/>
    <cellStyle name="Процентный 4 2 2 3 2" xfId="6326"/>
    <cellStyle name="Процентный 4 2 2 3 2 2" xfId="17006"/>
    <cellStyle name="Процентный 4 2 2 3 2 2 2" xfId="49050"/>
    <cellStyle name="Процентный 4 2 2 3 2 3" xfId="27687"/>
    <cellStyle name="Процентный 4 2 2 3 2 3 2" xfId="59730"/>
    <cellStyle name="Процентный 4 2 2 3 2 4" xfId="38370"/>
    <cellStyle name="Процентный 4 2 2 3 3" xfId="11666"/>
    <cellStyle name="Процентный 4 2 2 3 3 2" xfId="43710"/>
    <cellStyle name="Процентный 4 2 2 3 4" xfId="22347"/>
    <cellStyle name="Процентный 4 2 2 3 4 2" xfId="54390"/>
    <cellStyle name="Процентный 4 2 2 3 5" xfId="33030"/>
    <cellStyle name="Процентный 4 2 2 30" xfId="1682"/>
    <cellStyle name="Процентный 4 2 2 30 2" xfId="7024"/>
    <cellStyle name="Процентный 4 2 2 30 2 2" xfId="17704"/>
    <cellStyle name="Процентный 4 2 2 30 2 2 2" xfId="49748"/>
    <cellStyle name="Процентный 4 2 2 30 2 3" xfId="28385"/>
    <cellStyle name="Процентный 4 2 2 30 2 3 2" xfId="60428"/>
    <cellStyle name="Процентный 4 2 2 30 2 4" xfId="39068"/>
    <cellStyle name="Процентный 4 2 2 30 3" xfId="12364"/>
    <cellStyle name="Процентный 4 2 2 30 3 2" xfId="44408"/>
    <cellStyle name="Процентный 4 2 2 30 4" xfId="23045"/>
    <cellStyle name="Процентный 4 2 2 30 4 2" xfId="55088"/>
    <cellStyle name="Процентный 4 2 2 30 5" xfId="33728"/>
    <cellStyle name="Процентный 4 2 2 31" xfId="1708"/>
    <cellStyle name="Процентный 4 2 2 31 2" xfId="7050"/>
    <cellStyle name="Процентный 4 2 2 31 2 2" xfId="17730"/>
    <cellStyle name="Процентный 4 2 2 31 2 2 2" xfId="49774"/>
    <cellStyle name="Процентный 4 2 2 31 2 3" xfId="28411"/>
    <cellStyle name="Процентный 4 2 2 31 2 3 2" xfId="60454"/>
    <cellStyle name="Процентный 4 2 2 31 2 4" xfId="39094"/>
    <cellStyle name="Процентный 4 2 2 31 3" xfId="12390"/>
    <cellStyle name="Процентный 4 2 2 31 3 2" xfId="44434"/>
    <cellStyle name="Процентный 4 2 2 31 4" xfId="23071"/>
    <cellStyle name="Процентный 4 2 2 31 4 2" xfId="55114"/>
    <cellStyle name="Процентный 4 2 2 31 5" xfId="33754"/>
    <cellStyle name="Процентный 4 2 2 32" xfId="1734"/>
    <cellStyle name="Процентный 4 2 2 32 2" xfId="7076"/>
    <cellStyle name="Процентный 4 2 2 32 2 2" xfId="17756"/>
    <cellStyle name="Процентный 4 2 2 32 2 2 2" xfId="49800"/>
    <cellStyle name="Процентный 4 2 2 32 2 3" xfId="28437"/>
    <cellStyle name="Процентный 4 2 2 32 2 3 2" xfId="60480"/>
    <cellStyle name="Процентный 4 2 2 32 2 4" xfId="39120"/>
    <cellStyle name="Процентный 4 2 2 32 3" xfId="12416"/>
    <cellStyle name="Процентный 4 2 2 32 3 2" xfId="44460"/>
    <cellStyle name="Процентный 4 2 2 32 4" xfId="23097"/>
    <cellStyle name="Процентный 4 2 2 32 4 2" xfId="55140"/>
    <cellStyle name="Процентный 4 2 2 32 5" xfId="33780"/>
    <cellStyle name="Процентный 4 2 2 33" xfId="1760"/>
    <cellStyle name="Процентный 4 2 2 33 2" xfId="7102"/>
    <cellStyle name="Процентный 4 2 2 33 2 2" xfId="17782"/>
    <cellStyle name="Процентный 4 2 2 33 2 2 2" xfId="49826"/>
    <cellStyle name="Процентный 4 2 2 33 2 3" xfId="28463"/>
    <cellStyle name="Процентный 4 2 2 33 2 3 2" xfId="60506"/>
    <cellStyle name="Процентный 4 2 2 33 2 4" xfId="39146"/>
    <cellStyle name="Процентный 4 2 2 33 3" xfId="12442"/>
    <cellStyle name="Процентный 4 2 2 33 3 2" xfId="44486"/>
    <cellStyle name="Процентный 4 2 2 33 4" xfId="23123"/>
    <cellStyle name="Процентный 4 2 2 33 4 2" xfId="55166"/>
    <cellStyle name="Процентный 4 2 2 33 5" xfId="33806"/>
    <cellStyle name="Процентный 4 2 2 34" xfId="1786"/>
    <cellStyle name="Процентный 4 2 2 34 2" xfId="7128"/>
    <cellStyle name="Процентный 4 2 2 34 2 2" xfId="17808"/>
    <cellStyle name="Процентный 4 2 2 34 2 2 2" xfId="49852"/>
    <cellStyle name="Процентный 4 2 2 34 2 3" xfId="28489"/>
    <cellStyle name="Процентный 4 2 2 34 2 3 2" xfId="60532"/>
    <cellStyle name="Процентный 4 2 2 34 2 4" xfId="39172"/>
    <cellStyle name="Процентный 4 2 2 34 3" xfId="12468"/>
    <cellStyle name="Процентный 4 2 2 34 3 2" xfId="44512"/>
    <cellStyle name="Процентный 4 2 2 34 4" xfId="23149"/>
    <cellStyle name="Процентный 4 2 2 34 4 2" xfId="55192"/>
    <cellStyle name="Процентный 4 2 2 34 5" xfId="33832"/>
    <cellStyle name="Процентный 4 2 2 35" xfId="1812"/>
    <cellStyle name="Процентный 4 2 2 35 2" xfId="7154"/>
    <cellStyle name="Процентный 4 2 2 35 2 2" xfId="17834"/>
    <cellStyle name="Процентный 4 2 2 35 2 2 2" xfId="49878"/>
    <cellStyle name="Процентный 4 2 2 35 2 3" xfId="28515"/>
    <cellStyle name="Процентный 4 2 2 35 2 3 2" xfId="60558"/>
    <cellStyle name="Процентный 4 2 2 35 2 4" xfId="39198"/>
    <cellStyle name="Процентный 4 2 2 35 3" xfId="12494"/>
    <cellStyle name="Процентный 4 2 2 35 3 2" xfId="44538"/>
    <cellStyle name="Процентный 4 2 2 35 4" xfId="23175"/>
    <cellStyle name="Процентный 4 2 2 35 4 2" xfId="55218"/>
    <cellStyle name="Процентный 4 2 2 35 5" xfId="33858"/>
    <cellStyle name="Процентный 4 2 2 36" xfId="1838"/>
    <cellStyle name="Процентный 4 2 2 36 2" xfId="7180"/>
    <cellStyle name="Процентный 4 2 2 36 2 2" xfId="17860"/>
    <cellStyle name="Процентный 4 2 2 36 2 2 2" xfId="49904"/>
    <cellStyle name="Процентный 4 2 2 36 2 3" xfId="28541"/>
    <cellStyle name="Процентный 4 2 2 36 2 3 2" xfId="60584"/>
    <cellStyle name="Процентный 4 2 2 36 2 4" xfId="39224"/>
    <cellStyle name="Процентный 4 2 2 36 3" xfId="12520"/>
    <cellStyle name="Процентный 4 2 2 36 3 2" xfId="44564"/>
    <cellStyle name="Процентный 4 2 2 36 4" xfId="23201"/>
    <cellStyle name="Процентный 4 2 2 36 4 2" xfId="55244"/>
    <cellStyle name="Процентный 4 2 2 36 5" xfId="33884"/>
    <cellStyle name="Процентный 4 2 2 37" xfId="1864"/>
    <cellStyle name="Процентный 4 2 2 37 2" xfId="7206"/>
    <cellStyle name="Процентный 4 2 2 37 2 2" xfId="17886"/>
    <cellStyle name="Процентный 4 2 2 37 2 2 2" xfId="49930"/>
    <cellStyle name="Процентный 4 2 2 37 2 3" xfId="28567"/>
    <cellStyle name="Процентный 4 2 2 37 2 3 2" xfId="60610"/>
    <cellStyle name="Процентный 4 2 2 37 2 4" xfId="39250"/>
    <cellStyle name="Процентный 4 2 2 37 3" xfId="12546"/>
    <cellStyle name="Процентный 4 2 2 37 3 2" xfId="44590"/>
    <cellStyle name="Процентный 4 2 2 37 4" xfId="23227"/>
    <cellStyle name="Процентный 4 2 2 37 4 2" xfId="55270"/>
    <cellStyle name="Процентный 4 2 2 37 5" xfId="33910"/>
    <cellStyle name="Процентный 4 2 2 38" xfId="1890"/>
    <cellStyle name="Процентный 4 2 2 38 2" xfId="7232"/>
    <cellStyle name="Процентный 4 2 2 38 2 2" xfId="17912"/>
    <cellStyle name="Процентный 4 2 2 38 2 2 2" xfId="49956"/>
    <cellStyle name="Процентный 4 2 2 38 2 3" xfId="28593"/>
    <cellStyle name="Процентный 4 2 2 38 2 3 2" xfId="60636"/>
    <cellStyle name="Процентный 4 2 2 38 2 4" xfId="39276"/>
    <cellStyle name="Процентный 4 2 2 38 3" xfId="12572"/>
    <cellStyle name="Процентный 4 2 2 38 3 2" xfId="44616"/>
    <cellStyle name="Процентный 4 2 2 38 4" xfId="23253"/>
    <cellStyle name="Процентный 4 2 2 38 4 2" xfId="55296"/>
    <cellStyle name="Процентный 4 2 2 38 5" xfId="33936"/>
    <cellStyle name="Процентный 4 2 2 39" xfId="1916"/>
    <cellStyle name="Процентный 4 2 2 39 2" xfId="7258"/>
    <cellStyle name="Процентный 4 2 2 39 2 2" xfId="17938"/>
    <cellStyle name="Процентный 4 2 2 39 2 2 2" xfId="49982"/>
    <cellStyle name="Процентный 4 2 2 39 2 3" xfId="28619"/>
    <cellStyle name="Процентный 4 2 2 39 2 3 2" xfId="60662"/>
    <cellStyle name="Процентный 4 2 2 39 2 4" xfId="39302"/>
    <cellStyle name="Процентный 4 2 2 39 3" xfId="12598"/>
    <cellStyle name="Процентный 4 2 2 39 3 2" xfId="44642"/>
    <cellStyle name="Процентный 4 2 2 39 4" xfId="23279"/>
    <cellStyle name="Процентный 4 2 2 39 4 2" xfId="55322"/>
    <cellStyle name="Процентный 4 2 2 39 5" xfId="33962"/>
    <cellStyle name="Процентный 4 2 2 4" xfId="1007"/>
    <cellStyle name="Процентный 4 2 2 4 2" xfId="6350"/>
    <cellStyle name="Процентный 4 2 2 4 2 2" xfId="17030"/>
    <cellStyle name="Процентный 4 2 2 4 2 2 2" xfId="49074"/>
    <cellStyle name="Процентный 4 2 2 4 2 3" xfId="27711"/>
    <cellStyle name="Процентный 4 2 2 4 2 3 2" xfId="59754"/>
    <cellStyle name="Процентный 4 2 2 4 2 4" xfId="38394"/>
    <cellStyle name="Процентный 4 2 2 4 3" xfId="11690"/>
    <cellStyle name="Процентный 4 2 2 4 3 2" xfId="43734"/>
    <cellStyle name="Процентный 4 2 2 4 4" xfId="22371"/>
    <cellStyle name="Процентный 4 2 2 4 4 2" xfId="54414"/>
    <cellStyle name="Процентный 4 2 2 4 5" xfId="33054"/>
    <cellStyle name="Процентный 4 2 2 40" xfId="1944"/>
    <cellStyle name="Процентный 4 2 2 40 2" xfId="7286"/>
    <cellStyle name="Процентный 4 2 2 40 2 2" xfId="17966"/>
    <cellStyle name="Процентный 4 2 2 40 2 2 2" xfId="50010"/>
    <cellStyle name="Процентный 4 2 2 40 2 3" xfId="28647"/>
    <cellStyle name="Процентный 4 2 2 40 2 3 2" xfId="60690"/>
    <cellStyle name="Процентный 4 2 2 40 2 4" xfId="39330"/>
    <cellStyle name="Процентный 4 2 2 40 3" xfId="12626"/>
    <cellStyle name="Процентный 4 2 2 40 3 2" xfId="44670"/>
    <cellStyle name="Процентный 4 2 2 40 4" xfId="23307"/>
    <cellStyle name="Процентный 4 2 2 40 4 2" xfId="55350"/>
    <cellStyle name="Процентный 4 2 2 40 5" xfId="33990"/>
    <cellStyle name="Процентный 4 2 2 41" xfId="1972"/>
    <cellStyle name="Процентный 4 2 2 41 2" xfId="7314"/>
    <cellStyle name="Процентный 4 2 2 41 2 2" xfId="17994"/>
    <cellStyle name="Процентный 4 2 2 41 2 2 2" xfId="50038"/>
    <cellStyle name="Процентный 4 2 2 41 2 3" xfId="28675"/>
    <cellStyle name="Процентный 4 2 2 41 2 3 2" xfId="60718"/>
    <cellStyle name="Процентный 4 2 2 41 2 4" xfId="39358"/>
    <cellStyle name="Процентный 4 2 2 41 3" xfId="12654"/>
    <cellStyle name="Процентный 4 2 2 41 3 2" xfId="44698"/>
    <cellStyle name="Процентный 4 2 2 41 4" xfId="23335"/>
    <cellStyle name="Процентный 4 2 2 41 4 2" xfId="55378"/>
    <cellStyle name="Процентный 4 2 2 41 5" xfId="34018"/>
    <cellStyle name="Процентный 4 2 2 42" xfId="2000"/>
    <cellStyle name="Процентный 4 2 2 42 2" xfId="7342"/>
    <cellStyle name="Процентный 4 2 2 42 2 2" xfId="18022"/>
    <cellStyle name="Процентный 4 2 2 42 2 2 2" xfId="50066"/>
    <cellStyle name="Процентный 4 2 2 42 2 3" xfId="28703"/>
    <cellStyle name="Процентный 4 2 2 42 2 3 2" xfId="60746"/>
    <cellStyle name="Процентный 4 2 2 42 2 4" xfId="39386"/>
    <cellStyle name="Процентный 4 2 2 42 3" xfId="12682"/>
    <cellStyle name="Процентный 4 2 2 42 3 2" xfId="44726"/>
    <cellStyle name="Процентный 4 2 2 42 4" xfId="23363"/>
    <cellStyle name="Процентный 4 2 2 42 4 2" xfId="55406"/>
    <cellStyle name="Процентный 4 2 2 42 5" xfId="34046"/>
    <cellStyle name="Процентный 4 2 2 43" xfId="2028"/>
    <cellStyle name="Процентный 4 2 2 43 2" xfId="7370"/>
    <cellStyle name="Процентный 4 2 2 43 2 2" xfId="18050"/>
    <cellStyle name="Процентный 4 2 2 43 2 2 2" xfId="50094"/>
    <cellStyle name="Процентный 4 2 2 43 2 3" xfId="28731"/>
    <cellStyle name="Процентный 4 2 2 43 2 3 2" xfId="60774"/>
    <cellStyle name="Процентный 4 2 2 43 2 4" xfId="39414"/>
    <cellStyle name="Процентный 4 2 2 43 3" xfId="12710"/>
    <cellStyle name="Процентный 4 2 2 43 3 2" xfId="44754"/>
    <cellStyle name="Процентный 4 2 2 43 4" xfId="23391"/>
    <cellStyle name="Процентный 4 2 2 43 4 2" xfId="55434"/>
    <cellStyle name="Процентный 4 2 2 43 5" xfId="34074"/>
    <cellStyle name="Процентный 4 2 2 44" xfId="2056"/>
    <cellStyle name="Процентный 4 2 2 44 2" xfId="7398"/>
    <cellStyle name="Процентный 4 2 2 44 2 2" xfId="18078"/>
    <cellStyle name="Процентный 4 2 2 44 2 2 2" xfId="50122"/>
    <cellStyle name="Процентный 4 2 2 44 2 3" xfId="28759"/>
    <cellStyle name="Процентный 4 2 2 44 2 3 2" xfId="60802"/>
    <cellStyle name="Процентный 4 2 2 44 2 4" xfId="39442"/>
    <cellStyle name="Процентный 4 2 2 44 3" xfId="12738"/>
    <cellStyle name="Процентный 4 2 2 44 3 2" xfId="44782"/>
    <cellStyle name="Процентный 4 2 2 44 4" xfId="23419"/>
    <cellStyle name="Процентный 4 2 2 44 4 2" xfId="55462"/>
    <cellStyle name="Процентный 4 2 2 44 5" xfId="34102"/>
    <cellStyle name="Процентный 4 2 2 45" xfId="2084"/>
    <cellStyle name="Процентный 4 2 2 45 2" xfId="7426"/>
    <cellStyle name="Процентный 4 2 2 45 2 2" xfId="18106"/>
    <cellStyle name="Процентный 4 2 2 45 2 2 2" xfId="50150"/>
    <cellStyle name="Процентный 4 2 2 45 2 3" xfId="28787"/>
    <cellStyle name="Процентный 4 2 2 45 2 3 2" xfId="60830"/>
    <cellStyle name="Процентный 4 2 2 45 2 4" xfId="39470"/>
    <cellStyle name="Процентный 4 2 2 45 3" xfId="12766"/>
    <cellStyle name="Процентный 4 2 2 45 3 2" xfId="44810"/>
    <cellStyle name="Процентный 4 2 2 45 4" xfId="23447"/>
    <cellStyle name="Процентный 4 2 2 45 4 2" xfId="55490"/>
    <cellStyle name="Процентный 4 2 2 45 5" xfId="34130"/>
    <cellStyle name="Процентный 4 2 2 46" xfId="2112"/>
    <cellStyle name="Процентный 4 2 2 46 2" xfId="7454"/>
    <cellStyle name="Процентный 4 2 2 46 2 2" xfId="18134"/>
    <cellStyle name="Процентный 4 2 2 46 2 2 2" xfId="50178"/>
    <cellStyle name="Процентный 4 2 2 46 2 3" xfId="28815"/>
    <cellStyle name="Процентный 4 2 2 46 2 3 2" xfId="60858"/>
    <cellStyle name="Процентный 4 2 2 46 2 4" xfId="39498"/>
    <cellStyle name="Процентный 4 2 2 46 3" xfId="12794"/>
    <cellStyle name="Процентный 4 2 2 46 3 2" xfId="44838"/>
    <cellStyle name="Процентный 4 2 2 46 4" xfId="23475"/>
    <cellStyle name="Процентный 4 2 2 46 4 2" xfId="55518"/>
    <cellStyle name="Процентный 4 2 2 46 5" xfId="34158"/>
    <cellStyle name="Процентный 4 2 2 47" xfId="2142"/>
    <cellStyle name="Процентный 4 2 2 47 2" xfId="7484"/>
    <cellStyle name="Процентный 4 2 2 47 2 2" xfId="18164"/>
    <cellStyle name="Процентный 4 2 2 47 2 2 2" xfId="50208"/>
    <cellStyle name="Процентный 4 2 2 47 2 3" xfId="28845"/>
    <cellStyle name="Процентный 4 2 2 47 2 3 2" xfId="60888"/>
    <cellStyle name="Процентный 4 2 2 47 2 4" xfId="39528"/>
    <cellStyle name="Процентный 4 2 2 47 3" xfId="12824"/>
    <cellStyle name="Процентный 4 2 2 47 3 2" xfId="44868"/>
    <cellStyle name="Процентный 4 2 2 47 4" xfId="23505"/>
    <cellStyle name="Процентный 4 2 2 47 4 2" xfId="55548"/>
    <cellStyle name="Процентный 4 2 2 47 5" xfId="34188"/>
    <cellStyle name="Процентный 4 2 2 48" xfId="2172"/>
    <cellStyle name="Процентный 4 2 2 48 2" xfId="7514"/>
    <cellStyle name="Процентный 4 2 2 48 2 2" xfId="18194"/>
    <cellStyle name="Процентный 4 2 2 48 2 2 2" xfId="50238"/>
    <cellStyle name="Процентный 4 2 2 48 2 3" xfId="28875"/>
    <cellStyle name="Процентный 4 2 2 48 2 3 2" xfId="60918"/>
    <cellStyle name="Процентный 4 2 2 48 2 4" xfId="39558"/>
    <cellStyle name="Процентный 4 2 2 48 3" xfId="12854"/>
    <cellStyle name="Процентный 4 2 2 48 3 2" xfId="44898"/>
    <cellStyle name="Процентный 4 2 2 48 4" xfId="23535"/>
    <cellStyle name="Процентный 4 2 2 48 4 2" xfId="55578"/>
    <cellStyle name="Процентный 4 2 2 48 5" xfId="34218"/>
    <cellStyle name="Процентный 4 2 2 49" xfId="2202"/>
    <cellStyle name="Процентный 4 2 2 49 2" xfId="7544"/>
    <cellStyle name="Процентный 4 2 2 49 2 2" xfId="18224"/>
    <cellStyle name="Процентный 4 2 2 49 2 2 2" xfId="50268"/>
    <cellStyle name="Процентный 4 2 2 49 2 3" xfId="28905"/>
    <cellStyle name="Процентный 4 2 2 49 2 3 2" xfId="60948"/>
    <cellStyle name="Процентный 4 2 2 49 2 4" xfId="39588"/>
    <cellStyle name="Процентный 4 2 2 49 3" xfId="12884"/>
    <cellStyle name="Процентный 4 2 2 49 3 2" xfId="44928"/>
    <cellStyle name="Процентный 4 2 2 49 4" xfId="23565"/>
    <cellStyle name="Процентный 4 2 2 49 4 2" xfId="55608"/>
    <cellStyle name="Процентный 4 2 2 49 5" xfId="34248"/>
    <cellStyle name="Процентный 4 2 2 5" xfId="1031"/>
    <cellStyle name="Процентный 4 2 2 5 2" xfId="6374"/>
    <cellStyle name="Процентный 4 2 2 5 2 2" xfId="17054"/>
    <cellStyle name="Процентный 4 2 2 5 2 2 2" xfId="49098"/>
    <cellStyle name="Процентный 4 2 2 5 2 3" xfId="27735"/>
    <cellStyle name="Процентный 4 2 2 5 2 3 2" xfId="59778"/>
    <cellStyle name="Процентный 4 2 2 5 2 4" xfId="38418"/>
    <cellStyle name="Процентный 4 2 2 5 3" xfId="11714"/>
    <cellStyle name="Процентный 4 2 2 5 3 2" xfId="43758"/>
    <cellStyle name="Процентный 4 2 2 5 4" xfId="22395"/>
    <cellStyle name="Процентный 4 2 2 5 4 2" xfId="54438"/>
    <cellStyle name="Процентный 4 2 2 5 5" xfId="33078"/>
    <cellStyle name="Процентный 4 2 2 50" xfId="2232"/>
    <cellStyle name="Процентный 4 2 2 50 2" xfId="7574"/>
    <cellStyle name="Процентный 4 2 2 50 2 2" xfId="18254"/>
    <cellStyle name="Процентный 4 2 2 50 2 2 2" xfId="50298"/>
    <cellStyle name="Процентный 4 2 2 50 2 3" xfId="28935"/>
    <cellStyle name="Процентный 4 2 2 50 2 3 2" xfId="60978"/>
    <cellStyle name="Процентный 4 2 2 50 2 4" xfId="39618"/>
    <cellStyle name="Процентный 4 2 2 50 3" xfId="12914"/>
    <cellStyle name="Процентный 4 2 2 50 3 2" xfId="44958"/>
    <cellStyle name="Процентный 4 2 2 50 4" xfId="23595"/>
    <cellStyle name="Процентный 4 2 2 50 4 2" xfId="55638"/>
    <cellStyle name="Процентный 4 2 2 50 5" xfId="34278"/>
    <cellStyle name="Процентный 4 2 2 51" xfId="2262"/>
    <cellStyle name="Процентный 4 2 2 51 2" xfId="7604"/>
    <cellStyle name="Процентный 4 2 2 51 2 2" xfId="18284"/>
    <cellStyle name="Процентный 4 2 2 51 2 2 2" xfId="50328"/>
    <cellStyle name="Процентный 4 2 2 51 2 3" xfId="28965"/>
    <cellStyle name="Процентный 4 2 2 51 2 3 2" xfId="61008"/>
    <cellStyle name="Процентный 4 2 2 51 2 4" xfId="39648"/>
    <cellStyle name="Процентный 4 2 2 51 3" xfId="12944"/>
    <cellStyle name="Процентный 4 2 2 51 3 2" xfId="44988"/>
    <cellStyle name="Процентный 4 2 2 51 4" xfId="23625"/>
    <cellStyle name="Процентный 4 2 2 51 4 2" xfId="55668"/>
    <cellStyle name="Процентный 4 2 2 51 5" xfId="34308"/>
    <cellStyle name="Процентный 4 2 2 52" xfId="2292"/>
    <cellStyle name="Процентный 4 2 2 52 2" xfId="7634"/>
    <cellStyle name="Процентный 4 2 2 52 2 2" xfId="18314"/>
    <cellStyle name="Процентный 4 2 2 52 2 2 2" xfId="50358"/>
    <cellStyle name="Процентный 4 2 2 52 2 3" xfId="28995"/>
    <cellStyle name="Процентный 4 2 2 52 2 3 2" xfId="61038"/>
    <cellStyle name="Процентный 4 2 2 52 2 4" xfId="39678"/>
    <cellStyle name="Процентный 4 2 2 52 3" xfId="12974"/>
    <cellStyle name="Процентный 4 2 2 52 3 2" xfId="45018"/>
    <cellStyle name="Процентный 4 2 2 52 4" xfId="23655"/>
    <cellStyle name="Процентный 4 2 2 52 4 2" xfId="55698"/>
    <cellStyle name="Процентный 4 2 2 52 5" xfId="34338"/>
    <cellStyle name="Процентный 4 2 2 53" xfId="2322"/>
    <cellStyle name="Процентный 4 2 2 53 2" xfId="7664"/>
    <cellStyle name="Процентный 4 2 2 53 2 2" xfId="18344"/>
    <cellStyle name="Процентный 4 2 2 53 2 2 2" xfId="50388"/>
    <cellStyle name="Процентный 4 2 2 53 2 3" xfId="29025"/>
    <cellStyle name="Процентный 4 2 2 53 2 3 2" xfId="61068"/>
    <cellStyle name="Процентный 4 2 2 53 2 4" xfId="39708"/>
    <cellStyle name="Процентный 4 2 2 53 3" xfId="13004"/>
    <cellStyle name="Процентный 4 2 2 53 3 2" xfId="45048"/>
    <cellStyle name="Процентный 4 2 2 53 4" xfId="23685"/>
    <cellStyle name="Процентный 4 2 2 53 4 2" xfId="55728"/>
    <cellStyle name="Процентный 4 2 2 53 5" xfId="34368"/>
    <cellStyle name="Процентный 4 2 2 54" xfId="2352"/>
    <cellStyle name="Процентный 4 2 2 54 2" xfId="7694"/>
    <cellStyle name="Процентный 4 2 2 54 2 2" xfId="18374"/>
    <cellStyle name="Процентный 4 2 2 54 2 2 2" xfId="50418"/>
    <cellStyle name="Процентный 4 2 2 54 2 3" xfId="29055"/>
    <cellStyle name="Процентный 4 2 2 54 2 3 2" xfId="61098"/>
    <cellStyle name="Процентный 4 2 2 54 2 4" xfId="39738"/>
    <cellStyle name="Процентный 4 2 2 54 3" xfId="13034"/>
    <cellStyle name="Процентный 4 2 2 54 3 2" xfId="45078"/>
    <cellStyle name="Процентный 4 2 2 54 4" xfId="23715"/>
    <cellStyle name="Процентный 4 2 2 54 4 2" xfId="55758"/>
    <cellStyle name="Процентный 4 2 2 54 5" xfId="34398"/>
    <cellStyle name="Процентный 4 2 2 55" xfId="2382"/>
    <cellStyle name="Процентный 4 2 2 55 2" xfId="7724"/>
    <cellStyle name="Процентный 4 2 2 55 2 2" xfId="18404"/>
    <cellStyle name="Процентный 4 2 2 55 2 2 2" xfId="50448"/>
    <cellStyle name="Процентный 4 2 2 55 2 3" xfId="29085"/>
    <cellStyle name="Процентный 4 2 2 55 2 3 2" xfId="61128"/>
    <cellStyle name="Процентный 4 2 2 55 2 4" xfId="39768"/>
    <cellStyle name="Процентный 4 2 2 55 3" xfId="13064"/>
    <cellStyle name="Процентный 4 2 2 55 3 2" xfId="45108"/>
    <cellStyle name="Процентный 4 2 2 55 4" xfId="23745"/>
    <cellStyle name="Процентный 4 2 2 55 4 2" xfId="55788"/>
    <cellStyle name="Процентный 4 2 2 55 5" xfId="34428"/>
    <cellStyle name="Процентный 4 2 2 56" xfId="2412"/>
    <cellStyle name="Процентный 4 2 2 56 2" xfId="7754"/>
    <cellStyle name="Процентный 4 2 2 56 2 2" xfId="18434"/>
    <cellStyle name="Процентный 4 2 2 56 2 2 2" xfId="50478"/>
    <cellStyle name="Процентный 4 2 2 56 2 3" xfId="29115"/>
    <cellStyle name="Процентный 4 2 2 56 2 3 2" xfId="61158"/>
    <cellStyle name="Процентный 4 2 2 56 2 4" xfId="39798"/>
    <cellStyle name="Процентный 4 2 2 56 3" xfId="13094"/>
    <cellStyle name="Процентный 4 2 2 56 3 2" xfId="45138"/>
    <cellStyle name="Процентный 4 2 2 56 4" xfId="23775"/>
    <cellStyle name="Процентный 4 2 2 56 4 2" xfId="55818"/>
    <cellStyle name="Процентный 4 2 2 56 5" xfId="34458"/>
    <cellStyle name="Процентный 4 2 2 57" xfId="2442"/>
    <cellStyle name="Процентный 4 2 2 57 2" xfId="7784"/>
    <cellStyle name="Процентный 4 2 2 57 2 2" xfId="18464"/>
    <cellStyle name="Процентный 4 2 2 57 2 2 2" xfId="50508"/>
    <cellStyle name="Процентный 4 2 2 57 2 3" xfId="29145"/>
    <cellStyle name="Процентный 4 2 2 57 2 3 2" xfId="61188"/>
    <cellStyle name="Процентный 4 2 2 57 2 4" xfId="39828"/>
    <cellStyle name="Процентный 4 2 2 57 3" xfId="13124"/>
    <cellStyle name="Процентный 4 2 2 57 3 2" xfId="45168"/>
    <cellStyle name="Процентный 4 2 2 57 4" xfId="23805"/>
    <cellStyle name="Процентный 4 2 2 57 4 2" xfId="55848"/>
    <cellStyle name="Процентный 4 2 2 57 5" xfId="34488"/>
    <cellStyle name="Процентный 4 2 2 58" xfId="2472"/>
    <cellStyle name="Процентный 4 2 2 58 2" xfId="7814"/>
    <cellStyle name="Процентный 4 2 2 58 2 2" xfId="18494"/>
    <cellStyle name="Процентный 4 2 2 58 2 2 2" xfId="50538"/>
    <cellStyle name="Процентный 4 2 2 58 2 3" xfId="29175"/>
    <cellStyle name="Процентный 4 2 2 58 2 3 2" xfId="61218"/>
    <cellStyle name="Процентный 4 2 2 58 2 4" xfId="39858"/>
    <cellStyle name="Процентный 4 2 2 58 3" xfId="13154"/>
    <cellStyle name="Процентный 4 2 2 58 3 2" xfId="45198"/>
    <cellStyle name="Процентный 4 2 2 58 4" xfId="23835"/>
    <cellStyle name="Процентный 4 2 2 58 4 2" xfId="55878"/>
    <cellStyle name="Процентный 4 2 2 58 5" xfId="34518"/>
    <cellStyle name="Процентный 4 2 2 59" xfId="2504"/>
    <cellStyle name="Процентный 4 2 2 59 2" xfId="7846"/>
    <cellStyle name="Процентный 4 2 2 59 2 2" xfId="18526"/>
    <cellStyle name="Процентный 4 2 2 59 2 2 2" xfId="50570"/>
    <cellStyle name="Процентный 4 2 2 59 2 3" xfId="29207"/>
    <cellStyle name="Процентный 4 2 2 59 2 3 2" xfId="61250"/>
    <cellStyle name="Процентный 4 2 2 59 2 4" xfId="39890"/>
    <cellStyle name="Процентный 4 2 2 59 3" xfId="13186"/>
    <cellStyle name="Процентный 4 2 2 59 3 2" xfId="45230"/>
    <cellStyle name="Процентный 4 2 2 59 4" xfId="23867"/>
    <cellStyle name="Процентный 4 2 2 59 4 2" xfId="55910"/>
    <cellStyle name="Процентный 4 2 2 59 5" xfId="34550"/>
    <cellStyle name="Процентный 4 2 2 6" xfId="1057"/>
    <cellStyle name="Процентный 4 2 2 6 2" xfId="6400"/>
    <cellStyle name="Процентный 4 2 2 6 2 2" xfId="17080"/>
    <cellStyle name="Процентный 4 2 2 6 2 2 2" xfId="49124"/>
    <cellStyle name="Процентный 4 2 2 6 2 3" xfId="27761"/>
    <cellStyle name="Процентный 4 2 2 6 2 3 2" xfId="59804"/>
    <cellStyle name="Процентный 4 2 2 6 2 4" xfId="38444"/>
    <cellStyle name="Процентный 4 2 2 6 3" xfId="11740"/>
    <cellStyle name="Процентный 4 2 2 6 3 2" xfId="43784"/>
    <cellStyle name="Процентный 4 2 2 6 4" xfId="22421"/>
    <cellStyle name="Процентный 4 2 2 6 4 2" xfId="54464"/>
    <cellStyle name="Процентный 4 2 2 6 5" xfId="33104"/>
    <cellStyle name="Процентный 4 2 2 60" xfId="2538"/>
    <cellStyle name="Процентный 4 2 2 60 2" xfId="7880"/>
    <cellStyle name="Процентный 4 2 2 60 2 2" xfId="18560"/>
    <cellStyle name="Процентный 4 2 2 60 2 2 2" xfId="50604"/>
    <cellStyle name="Процентный 4 2 2 60 2 3" xfId="29241"/>
    <cellStyle name="Процентный 4 2 2 60 2 3 2" xfId="61284"/>
    <cellStyle name="Процентный 4 2 2 60 2 4" xfId="39924"/>
    <cellStyle name="Процентный 4 2 2 60 3" xfId="13220"/>
    <cellStyle name="Процентный 4 2 2 60 3 2" xfId="45264"/>
    <cellStyle name="Процентный 4 2 2 60 4" xfId="23901"/>
    <cellStyle name="Процентный 4 2 2 60 4 2" xfId="55944"/>
    <cellStyle name="Процентный 4 2 2 60 5" xfId="34584"/>
    <cellStyle name="Процентный 4 2 2 61" xfId="2570"/>
    <cellStyle name="Процентный 4 2 2 61 2" xfId="7912"/>
    <cellStyle name="Процентный 4 2 2 61 2 2" xfId="18592"/>
    <cellStyle name="Процентный 4 2 2 61 2 2 2" xfId="50636"/>
    <cellStyle name="Процентный 4 2 2 61 2 3" xfId="29273"/>
    <cellStyle name="Процентный 4 2 2 61 2 3 2" xfId="61316"/>
    <cellStyle name="Процентный 4 2 2 61 2 4" xfId="39956"/>
    <cellStyle name="Процентный 4 2 2 61 3" xfId="13252"/>
    <cellStyle name="Процентный 4 2 2 61 3 2" xfId="45296"/>
    <cellStyle name="Процентный 4 2 2 61 4" xfId="23933"/>
    <cellStyle name="Процентный 4 2 2 61 4 2" xfId="55976"/>
    <cellStyle name="Процентный 4 2 2 61 5" xfId="34616"/>
    <cellStyle name="Процентный 4 2 2 62" xfId="2602"/>
    <cellStyle name="Процентный 4 2 2 62 2" xfId="7944"/>
    <cellStyle name="Процентный 4 2 2 62 2 2" xfId="18624"/>
    <cellStyle name="Процентный 4 2 2 62 2 2 2" xfId="50668"/>
    <cellStyle name="Процентный 4 2 2 62 2 3" xfId="29305"/>
    <cellStyle name="Процентный 4 2 2 62 2 3 2" xfId="61348"/>
    <cellStyle name="Процентный 4 2 2 62 2 4" xfId="39988"/>
    <cellStyle name="Процентный 4 2 2 62 3" xfId="13284"/>
    <cellStyle name="Процентный 4 2 2 62 3 2" xfId="45328"/>
    <cellStyle name="Процентный 4 2 2 62 4" xfId="23965"/>
    <cellStyle name="Процентный 4 2 2 62 4 2" xfId="56008"/>
    <cellStyle name="Процентный 4 2 2 62 5" xfId="34648"/>
    <cellStyle name="Процентный 4 2 2 63" xfId="2634"/>
    <cellStyle name="Процентный 4 2 2 63 2" xfId="7976"/>
    <cellStyle name="Процентный 4 2 2 63 2 2" xfId="18656"/>
    <cellStyle name="Процентный 4 2 2 63 2 2 2" xfId="50700"/>
    <cellStyle name="Процентный 4 2 2 63 2 3" xfId="29337"/>
    <cellStyle name="Процентный 4 2 2 63 2 3 2" xfId="61380"/>
    <cellStyle name="Процентный 4 2 2 63 2 4" xfId="40020"/>
    <cellStyle name="Процентный 4 2 2 63 3" xfId="13316"/>
    <cellStyle name="Процентный 4 2 2 63 3 2" xfId="45360"/>
    <cellStyle name="Процентный 4 2 2 63 4" xfId="23997"/>
    <cellStyle name="Процентный 4 2 2 63 4 2" xfId="56040"/>
    <cellStyle name="Процентный 4 2 2 63 5" xfId="34680"/>
    <cellStyle name="Процентный 4 2 2 64" xfId="2666"/>
    <cellStyle name="Процентный 4 2 2 64 2" xfId="8008"/>
    <cellStyle name="Процентный 4 2 2 64 2 2" xfId="18688"/>
    <cellStyle name="Процентный 4 2 2 64 2 2 2" xfId="50732"/>
    <cellStyle name="Процентный 4 2 2 64 2 3" xfId="29369"/>
    <cellStyle name="Процентный 4 2 2 64 2 3 2" xfId="61412"/>
    <cellStyle name="Процентный 4 2 2 64 2 4" xfId="40052"/>
    <cellStyle name="Процентный 4 2 2 64 3" xfId="13348"/>
    <cellStyle name="Процентный 4 2 2 64 3 2" xfId="45392"/>
    <cellStyle name="Процентный 4 2 2 64 4" xfId="24029"/>
    <cellStyle name="Процентный 4 2 2 64 4 2" xfId="56072"/>
    <cellStyle name="Процентный 4 2 2 64 5" xfId="34712"/>
    <cellStyle name="Процентный 4 2 2 65" xfId="2698"/>
    <cellStyle name="Процентный 4 2 2 65 2" xfId="8040"/>
    <cellStyle name="Процентный 4 2 2 65 2 2" xfId="18720"/>
    <cellStyle name="Процентный 4 2 2 65 2 2 2" xfId="50764"/>
    <cellStyle name="Процентный 4 2 2 65 2 3" xfId="29401"/>
    <cellStyle name="Процентный 4 2 2 65 2 3 2" xfId="61444"/>
    <cellStyle name="Процентный 4 2 2 65 2 4" xfId="40084"/>
    <cellStyle name="Процентный 4 2 2 65 3" xfId="13380"/>
    <cellStyle name="Процентный 4 2 2 65 3 2" xfId="45424"/>
    <cellStyle name="Процентный 4 2 2 65 4" xfId="24061"/>
    <cellStyle name="Процентный 4 2 2 65 4 2" xfId="56104"/>
    <cellStyle name="Процентный 4 2 2 65 5" xfId="34744"/>
    <cellStyle name="Процентный 4 2 2 66" xfId="2730"/>
    <cellStyle name="Процентный 4 2 2 66 2" xfId="8072"/>
    <cellStyle name="Процентный 4 2 2 66 2 2" xfId="18752"/>
    <cellStyle name="Процентный 4 2 2 66 2 2 2" xfId="50796"/>
    <cellStyle name="Процентный 4 2 2 66 2 3" xfId="29433"/>
    <cellStyle name="Процентный 4 2 2 66 2 3 2" xfId="61476"/>
    <cellStyle name="Процентный 4 2 2 66 2 4" xfId="40116"/>
    <cellStyle name="Процентный 4 2 2 66 3" xfId="13412"/>
    <cellStyle name="Процентный 4 2 2 66 3 2" xfId="45456"/>
    <cellStyle name="Процентный 4 2 2 66 4" xfId="24093"/>
    <cellStyle name="Процентный 4 2 2 66 4 2" xfId="56136"/>
    <cellStyle name="Процентный 4 2 2 66 5" xfId="34776"/>
    <cellStyle name="Процентный 4 2 2 67" xfId="2764"/>
    <cellStyle name="Процентный 4 2 2 67 2" xfId="8106"/>
    <cellStyle name="Процентный 4 2 2 67 2 2" xfId="18786"/>
    <cellStyle name="Процентный 4 2 2 67 2 2 2" xfId="50830"/>
    <cellStyle name="Процентный 4 2 2 67 2 3" xfId="29467"/>
    <cellStyle name="Процентный 4 2 2 67 2 3 2" xfId="61510"/>
    <cellStyle name="Процентный 4 2 2 67 2 4" xfId="40150"/>
    <cellStyle name="Процентный 4 2 2 67 3" xfId="13446"/>
    <cellStyle name="Процентный 4 2 2 67 3 2" xfId="45490"/>
    <cellStyle name="Процентный 4 2 2 67 4" xfId="24127"/>
    <cellStyle name="Процентный 4 2 2 67 4 2" xfId="56170"/>
    <cellStyle name="Процентный 4 2 2 67 5" xfId="34810"/>
    <cellStyle name="Процентный 4 2 2 68" xfId="2796"/>
    <cellStyle name="Процентный 4 2 2 68 2" xfId="8138"/>
    <cellStyle name="Процентный 4 2 2 68 2 2" xfId="18818"/>
    <cellStyle name="Процентный 4 2 2 68 2 2 2" xfId="50862"/>
    <cellStyle name="Процентный 4 2 2 68 2 3" xfId="29499"/>
    <cellStyle name="Процентный 4 2 2 68 2 3 2" xfId="61542"/>
    <cellStyle name="Процентный 4 2 2 68 2 4" xfId="40182"/>
    <cellStyle name="Процентный 4 2 2 68 3" xfId="13478"/>
    <cellStyle name="Процентный 4 2 2 68 3 2" xfId="45522"/>
    <cellStyle name="Процентный 4 2 2 68 4" xfId="24159"/>
    <cellStyle name="Процентный 4 2 2 68 4 2" xfId="56202"/>
    <cellStyle name="Процентный 4 2 2 68 5" xfId="34842"/>
    <cellStyle name="Процентный 4 2 2 69" xfId="2828"/>
    <cellStyle name="Процентный 4 2 2 69 2" xfId="8170"/>
    <cellStyle name="Процентный 4 2 2 69 2 2" xfId="18850"/>
    <cellStyle name="Процентный 4 2 2 69 2 2 2" xfId="50894"/>
    <cellStyle name="Процентный 4 2 2 69 2 3" xfId="29531"/>
    <cellStyle name="Процентный 4 2 2 69 2 3 2" xfId="61574"/>
    <cellStyle name="Процентный 4 2 2 69 2 4" xfId="40214"/>
    <cellStyle name="Процентный 4 2 2 69 3" xfId="13510"/>
    <cellStyle name="Процентный 4 2 2 69 3 2" xfId="45554"/>
    <cellStyle name="Процентный 4 2 2 69 4" xfId="24191"/>
    <cellStyle name="Процентный 4 2 2 69 4 2" xfId="56234"/>
    <cellStyle name="Процентный 4 2 2 69 5" xfId="34874"/>
    <cellStyle name="Процентный 4 2 2 7" xfId="1083"/>
    <cellStyle name="Процентный 4 2 2 7 2" xfId="6426"/>
    <cellStyle name="Процентный 4 2 2 7 2 2" xfId="17106"/>
    <cellStyle name="Процентный 4 2 2 7 2 2 2" xfId="49150"/>
    <cellStyle name="Процентный 4 2 2 7 2 3" xfId="27787"/>
    <cellStyle name="Процентный 4 2 2 7 2 3 2" xfId="59830"/>
    <cellStyle name="Процентный 4 2 2 7 2 4" xfId="38470"/>
    <cellStyle name="Процентный 4 2 2 7 3" xfId="11766"/>
    <cellStyle name="Процентный 4 2 2 7 3 2" xfId="43810"/>
    <cellStyle name="Процентный 4 2 2 7 4" xfId="22447"/>
    <cellStyle name="Процентный 4 2 2 7 4 2" xfId="54490"/>
    <cellStyle name="Процентный 4 2 2 7 5" xfId="33130"/>
    <cellStyle name="Процентный 4 2 2 70" xfId="2860"/>
    <cellStyle name="Процентный 4 2 2 70 2" xfId="8202"/>
    <cellStyle name="Процентный 4 2 2 70 2 2" xfId="18882"/>
    <cellStyle name="Процентный 4 2 2 70 2 2 2" xfId="50926"/>
    <cellStyle name="Процентный 4 2 2 70 2 3" xfId="29563"/>
    <cellStyle name="Процентный 4 2 2 70 2 3 2" xfId="61606"/>
    <cellStyle name="Процентный 4 2 2 70 2 4" xfId="40246"/>
    <cellStyle name="Процентный 4 2 2 70 3" xfId="13542"/>
    <cellStyle name="Процентный 4 2 2 70 3 2" xfId="45586"/>
    <cellStyle name="Процентный 4 2 2 70 4" xfId="24223"/>
    <cellStyle name="Процентный 4 2 2 70 4 2" xfId="56266"/>
    <cellStyle name="Процентный 4 2 2 70 5" xfId="34906"/>
    <cellStyle name="Процентный 4 2 2 71" xfId="2892"/>
    <cellStyle name="Процентный 4 2 2 71 2" xfId="8234"/>
    <cellStyle name="Процентный 4 2 2 71 2 2" xfId="18914"/>
    <cellStyle name="Процентный 4 2 2 71 2 2 2" xfId="50958"/>
    <cellStyle name="Процентный 4 2 2 71 2 3" xfId="29595"/>
    <cellStyle name="Процентный 4 2 2 71 2 3 2" xfId="61638"/>
    <cellStyle name="Процентный 4 2 2 71 2 4" xfId="40278"/>
    <cellStyle name="Процентный 4 2 2 71 3" xfId="13574"/>
    <cellStyle name="Процентный 4 2 2 71 3 2" xfId="45618"/>
    <cellStyle name="Процентный 4 2 2 71 4" xfId="24255"/>
    <cellStyle name="Процентный 4 2 2 71 4 2" xfId="56298"/>
    <cellStyle name="Процентный 4 2 2 71 5" xfId="34938"/>
    <cellStyle name="Процентный 4 2 2 72" xfId="2924"/>
    <cellStyle name="Процентный 4 2 2 72 2" xfId="8266"/>
    <cellStyle name="Процентный 4 2 2 72 2 2" xfId="18946"/>
    <cellStyle name="Процентный 4 2 2 72 2 2 2" xfId="50990"/>
    <cellStyle name="Процентный 4 2 2 72 2 3" xfId="29627"/>
    <cellStyle name="Процентный 4 2 2 72 2 3 2" xfId="61670"/>
    <cellStyle name="Процентный 4 2 2 72 2 4" xfId="40310"/>
    <cellStyle name="Процентный 4 2 2 72 3" xfId="13606"/>
    <cellStyle name="Процентный 4 2 2 72 3 2" xfId="45650"/>
    <cellStyle name="Процентный 4 2 2 72 4" xfId="24287"/>
    <cellStyle name="Процентный 4 2 2 72 4 2" xfId="56330"/>
    <cellStyle name="Процентный 4 2 2 72 5" xfId="34970"/>
    <cellStyle name="Процентный 4 2 2 73" xfId="2956"/>
    <cellStyle name="Процентный 4 2 2 73 2" xfId="8298"/>
    <cellStyle name="Процентный 4 2 2 73 2 2" xfId="18978"/>
    <cellStyle name="Процентный 4 2 2 73 2 2 2" xfId="51022"/>
    <cellStyle name="Процентный 4 2 2 73 2 3" xfId="29659"/>
    <cellStyle name="Процентный 4 2 2 73 2 3 2" xfId="61702"/>
    <cellStyle name="Процентный 4 2 2 73 2 4" xfId="40342"/>
    <cellStyle name="Процентный 4 2 2 73 3" xfId="13638"/>
    <cellStyle name="Процентный 4 2 2 73 3 2" xfId="45682"/>
    <cellStyle name="Процентный 4 2 2 73 4" xfId="24319"/>
    <cellStyle name="Процентный 4 2 2 73 4 2" xfId="56362"/>
    <cellStyle name="Процентный 4 2 2 73 5" xfId="35002"/>
    <cellStyle name="Процентный 4 2 2 74" xfId="2988"/>
    <cellStyle name="Процентный 4 2 2 74 2" xfId="8330"/>
    <cellStyle name="Процентный 4 2 2 74 2 2" xfId="19010"/>
    <cellStyle name="Процентный 4 2 2 74 2 2 2" xfId="51054"/>
    <cellStyle name="Процентный 4 2 2 74 2 3" xfId="29691"/>
    <cellStyle name="Процентный 4 2 2 74 2 3 2" xfId="61734"/>
    <cellStyle name="Процентный 4 2 2 74 2 4" xfId="40374"/>
    <cellStyle name="Процентный 4 2 2 74 3" xfId="13670"/>
    <cellStyle name="Процентный 4 2 2 74 3 2" xfId="45714"/>
    <cellStyle name="Процентный 4 2 2 74 4" xfId="24351"/>
    <cellStyle name="Процентный 4 2 2 74 4 2" xfId="56394"/>
    <cellStyle name="Процентный 4 2 2 74 5" xfId="35034"/>
    <cellStyle name="Процентный 4 2 2 75" xfId="3020"/>
    <cellStyle name="Процентный 4 2 2 75 2" xfId="8362"/>
    <cellStyle name="Процентный 4 2 2 75 2 2" xfId="19042"/>
    <cellStyle name="Процентный 4 2 2 75 2 2 2" xfId="51086"/>
    <cellStyle name="Процентный 4 2 2 75 2 3" xfId="29723"/>
    <cellStyle name="Процентный 4 2 2 75 2 3 2" xfId="61766"/>
    <cellStyle name="Процентный 4 2 2 75 2 4" xfId="40406"/>
    <cellStyle name="Процентный 4 2 2 75 3" xfId="13702"/>
    <cellStyle name="Процентный 4 2 2 75 3 2" xfId="45746"/>
    <cellStyle name="Процентный 4 2 2 75 4" xfId="24383"/>
    <cellStyle name="Процентный 4 2 2 75 4 2" xfId="56426"/>
    <cellStyle name="Процентный 4 2 2 75 5" xfId="35066"/>
    <cellStyle name="Процентный 4 2 2 76" xfId="3052"/>
    <cellStyle name="Процентный 4 2 2 76 2" xfId="8394"/>
    <cellStyle name="Процентный 4 2 2 76 2 2" xfId="19074"/>
    <cellStyle name="Процентный 4 2 2 76 2 2 2" xfId="51118"/>
    <cellStyle name="Процентный 4 2 2 76 2 3" xfId="29755"/>
    <cellStyle name="Процентный 4 2 2 76 2 3 2" xfId="61798"/>
    <cellStyle name="Процентный 4 2 2 76 2 4" xfId="40438"/>
    <cellStyle name="Процентный 4 2 2 76 3" xfId="13734"/>
    <cellStyle name="Процентный 4 2 2 76 3 2" xfId="45778"/>
    <cellStyle name="Процентный 4 2 2 76 4" xfId="24415"/>
    <cellStyle name="Процентный 4 2 2 76 4 2" xfId="56458"/>
    <cellStyle name="Процентный 4 2 2 76 5" xfId="35098"/>
    <cellStyle name="Процентный 4 2 2 77" xfId="3084"/>
    <cellStyle name="Процентный 4 2 2 77 2" xfId="8426"/>
    <cellStyle name="Процентный 4 2 2 77 2 2" xfId="19106"/>
    <cellStyle name="Процентный 4 2 2 77 2 2 2" xfId="51150"/>
    <cellStyle name="Процентный 4 2 2 77 2 3" xfId="29787"/>
    <cellStyle name="Процентный 4 2 2 77 2 3 2" xfId="61830"/>
    <cellStyle name="Процентный 4 2 2 77 2 4" xfId="40470"/>
    <cellStyle name="Процентный 4 2 2 77 3" xfId="13766"/>
    <cellStyle name="Процентный 4 2 2 77 3 2" xfId="45810"/>
    <cellStyle name="Процентный 4 2 2 77 4" xfId="24447"/>
    <cellStyle name="Процентный 4 2 2 77 4 2" xfId="56490"/>
    <cellStyle name="Процентный 4 2 2 77 5" xfId="35130"/>
    <cellStyle name="Процентный 4 2 2 78" xfId="3117"/>
    <cellStyle name="Процентный 4 2 2 78 2" xfId="8458"/>
    <cellStyle name="Процентный 4 2 2 78 2 2" xfId="19138"/>
    <cellStyle name="Процентный 4 2 2 78 2 2 2" xfId="51182"/>
    <cellStyle name="Процентный 4 2 2 78 2 3" xfId="29819"/>
    <cellStyle name="Процентный 4 2 2 78 2 3 2" xfId="61862"/>
    <cellStyle name="Процентный 4 2 2 78 2 4" xfId="40502"/>
    <cellStyle name="Процентный 4 2 2 78 3" xfId="13798"/>
    <cellStyle name="Процентный 4 2 2 78 3 2" xfId="45842"/>
    <cellStyle name="Процентный 4 2 2 78 4" xfId="24479"/>
    <cellStyle name="Процентный 4 2 2 78 4 2" xfId="56522"/>
    <cellStyle name="Процентный 4 2 2 78 5" xfId="35162"/>
    <cellStyle name="Процентный 4 2 2 79" xfId="3149"/>
    <cellStyle name="Процентный 4 2 2 79 2" xfId="8490"/>
    <cellStyle name="Процентный 4 2 2 79 2 2" xfId="19170"/>
    <cellStyle name="Процентный 4 2 2 79 2 2 2" xfId="51214"/>
    <cellStyle name="Процентный 4 2 2 79 2 3" xfId="29851"/>
    <cellStyle name="Процентный 4 2 2 79 2 3 2" xfId="61894"/>
    <cellStyle name="Процентный 4 2 2 79 2 4" xfId="40534"/>
    <cellStyle name="Процентный 4 2 2 79 3" xfId="13830"/>
    <cellStyle name="Процентный 4 2 2 79 3 2" xfId="45874"/>
    <cellStyle name="Процентный 4 2 2 79 4" xfId="24511"/>
    <cellStyle name="Процентный 4 2 2 79 4 2" xfId="56554"/>
    <cellStyle name="Процентный 4 2 2 79 5" xfId="35194"/>
    <cellStyle name="Процентный 4 2 2 8" xfId="1109"/>
    <cellStyle name="Процентный 4 2 2 8 2" xfId="6452"/>
    <cellStyle name="Процентный 4 2 2 8 2 2" xfId="17132"/>
    <cellStyle name="Процентный 4 2 2 8 2 2 2" xfId="49176"/>
    <cellStyle name="Процентный 4 2 2 8 2 3" xfId="27813"/>
    <cellStyle name="Процентный 4 2 2 8 2 3 2" xfId="59856"/>
    <cellStyle name="Процентный 4 2 2 8 2 4" xfId="38496"/>
    <cellStyle name="Процентный 4 2 2 8 3" xfId="11792"/>
    <cellStyle name="Процентный 4 2 2 8 3 2" xfId="43836"/>
    <cellStyle name="Процентный 4 2 2 8 4" xfId="22473"/>
    <cellStyle name="Процентный 4 2 2 8 4 2" xfId="54516"/>
    <cellStyle name="Процентный 4 2 2 8 5" xfId="33156"/>
    <cellStyle name="Процентный 4 2 2 80" xfId="3181"/>
    <cellStyle name="Процентный 4 2 2 80 2" xfId="8522"/>
    <cellStyle name="Процентный 4 2 2 80 2 2" xfId="19202"/>
    <cellStyle name="Процентный 4 2 2 80 2 2 2" xfId="51246"/>
    <cellStyle name="Процентный 4 2 2 80 2 3" xfId="29883"/>
    <cellStyle name="Процентный 4 2 2 80 2 3 2" xfId="61926"/>
    <cellStyle name="Процентный 4 2 2 80 2 4" xfId="40566"/>
    <cellStyle name="Процентный 4 2 2 80 3" xfId="13862"/>
    <cellStyle name="Процентный 4 2 2 80 3 2" xfId="45906"/>
    <cellStyle name="Процентный 4 2 2 80 4" xfId="24543"/>
    <cellStyle name="Процентный 4 2 2 80 4 2" xfId="56586"/>
    <cellStyle name="Процентный 4 2 2 80 5" xfId="35226"/>
    <cellStyle name="Процентный 4 2 2 81" xfId="3213"/>
    <cellStyle name="Процентный 4 2 2 81 2" xfId="8554"/>
    <cellStyle name="Процентный 4 2 2 81 2 2" xfId="19234"/>
    <cellStyle name="Процентный 4 2 2 81 2 2 2" xfId="51278"/>
    <cellStyle name="Процентный 4 2 2 81 2 3" xfId="29915"/>
    <cellStyle name="Процентный 4 2 2 81 2 3 2" xfId="61958"/>
    <cellStyle name="Процентный 4 2 2 81 2 4" xfId="40598"/>
    <cellStyle name="Процентный 4 2 2 81 3" xfId="13894"/>
    <cellStyle name="Процентный 4 2 2 81 3 2" xfId="45938"/>
    <cellStyle name="Процентный 4 2 2 81 4" xfId="24575"/>
    <cellStyle name="Процентный 4 2 2 81 4 2" xfId="56618"/>
    <cellStyle name="Процентный 4 2 2 81 5" xfId="35258"/>
    <cellStyle name="Процентный 4 2 2 82" xfId="3245"/>
    <cellStyle name="Процентный 4 2 2 82 2" xfId="8586"/>
    <cellStyle name="Процентный 4 2 2 82 2 2" xfId="19266"/>
    <cellStyle name="Процентный 4 2 2 82 2 2 2" xfId="51310"/>
    <cellStyle name="Процентный 4 2 2 82 2 3" xfId="29947"/>
    <cellStyle name="Процентный 4 2 2 82 2 3 2" xfId="61990"/>
    <cellStyle name="Процентный 4 2 2 82 2 4" xfId="40630"/>
    <cellStyle name="Процентный 4 2 2 82 3" xfId="13926"/>
    <cellStyle name="Процентный 4 2 2 82 3 2" xfId="45970"/>
    <cellStyle name="Процентный 4 2 2 82 4" xfId="24607"/>
    <cellStyle name="Процентный 4 2 2 82 4 2" xfId="56650"/>
    <cellStyle name="Процентный 4 2 2 82 5" xfId="35290"/>
    <cellStyle name="Процентный 4 2 2 83" xfId="3277"/>
    <cellStyle name="Процентный 4 2 2 83 2" xfId="8618"/>
    <cellStyle name="Процентный 4 2 2 83 2 2" xfId="19298"/>
    <cellStyle name="Процентный 4 2 2 83 2 2 2" xfId="51342"/>
    <cellStyle name="Процентный 4 2 2 83 2 3" xfId="29979"/>
    <cellStyle name="Процентный 4 2 2 83 2 3 2" xfId="62022"/>
    <cellStyle name="Процентный 4 2 2 83 2 4" xfId="40662"/>
    <cellStyle name="Процентный 4 2 2 83 3" xfId="13958"/>
    <cellStyle name="Процентный 4 2 2 83 3 2" xfId="46002"/>
    <cellStyle name="Процентный 4 2 2 83 4" xfId="24639"/>
    <cellStyle name="Процентный 4 2 2 83 4 2" xfId="56682"/>
    <cellStyle name="Процентный 4 2 2 83 5" xfId="35322"/>
    <cellStyle name="Процентный 4 2 2 84" xfId="3309"/>
    <cellStyle name="Процентный 4 2 2 84 2" xfId="8650"/>
    <cellStyle name="Процентный 4 2 2 84 2 2" xfId="19330"/>
    <cellStyle name="Процентный 4 2 2 84 2 2 2" xfId="51374"/>
    <cellStyle name="Процентный 4 2 2 84 2 3" xfId="30011"/>
    <cellStyle name="Процентный 4 2 2 84 2 3 2" xfId="62054"/>
    <cellStyle name="Процентный 4 2 2 84 2 4" xfId="40694"/>
    <cellStyle name="Процентный 4 2 2 84 3" xfId="13990"/>
    <cellStyle name="Процентный 4 2 2 84 3 2" xfId="46034"/>
    <cellStyle name="Процентный 4 2 2 84 4" xfId="24671"/>
    <cellStyle name="Процентный 4 2 2 84 4 2" xfId="56714"/>
    <cellStyle name="Процентный 4 2 2 84 5" xfId="35354"/>
    <cellStyle name="Процентный 4 2 2 85" xfId="3341"/>
    <cellStyle name="Процентный 4 2 2 85 2" xfId="8682"/>
    <cellStyle name="Процентный 4 2 2 85 2 2" xfId="19362"/>
    <cellStyle name="Процентный 4 2 2 85 2 2 2" xfId="51406"/>
    <cellStyle name="Процентный 4 2 2 85 2 3" xfId="30043"/>
    <cellStyle name="Процентный 4 2 2 85 2 3 2" xfId="62086"/>
    <cellStyle name="Процентный 4 2 2 85 2 4" xfId="40726"/>
    <cellStyle name="Процентный 4 2 2 85 3" xfId="14022"/>
    <cellStyle name="Процентный 4 2 2 85 3 2" xfId="46066"/>
    <cellStyle name="Процентный 4 2 2 85 4" xfId="24703"/>
    <cellStyle name="Процентный 4 2 2 85 4 2" xfId="56746"/>
    <cellStyle name="Процентный 4 2 2 85 5" xfId="35386"/>
    <cellStyle name="Процентный 4 2 2 86" xfId="3373"/>
    <cellStyle name="Процентный 4 2 2 86 2" xfId="8714"/>
    <cellStyle name="Процентный 4 2 2 86 2 2" xfId="19394"/>
    <cellStyle name="Процентный 4 2 2 86 2 2 2" xfId="51438"/>
    <cellStyle name="Процентный 4 2 2 86 2 3" xfId="30075"/>
    <cellStyle name="Процентный 4 2 2 86 2 3 2" xfId="62118"/>
    <cellStyle name="Процентный 4 2 2 86 2 4" xfId="40758"/>
    <cellStyle name="Процентный 4 2 2 86 3" xfId="14054"/>
    <cellStyle name="Процентный 4 2 2 86 3 2" xfId="46098"/>
    <cellStyle name="Процентный 4 2 2 86 4" xfId="24735"/>
    <cellStyle name="Процентный 4 2 2 86 4 2" xfId="56778"/>
    <cellStyle name="Процентный 4 2 2 86 5" xfId="35418"/>
    <cellStyle name="Процентный 4 2 2 87" xfId="3405"/>
    <cellStyle name="Процентный 4 2 2 87 2" xfId="8746"/>
    <cellStyle name="Процентный 4 2 2 87 2 2" xfId="19426"/>
    <cellStyle name="Процентный 4 2 2 87 2 2 2" xfId="51470"/>
    <cellStyle name="Процентный 4 2 2 87 2 3" xfId="30107"/>
    <cellStyle name="Процентный 4 2 2 87 2 3 2" xfId="62150"/>
    <cellStyle name="Процентный 4 2 2 87 2 4" xfId="40790"/>
    <cellStyle name="Процентный 4 2 2 87 3" xfId="14086"/>
    <cellStyle name="Процентный 4 2 2 87 3 2" xfId="46130"/>
    <cellStyle name="Процентный 4 2 2 87 4" xfId="24767"/>
    <cellStyle name="Процентный 4 2 2 87 4 2" xfId="56810"/>
    <cellStyle name="Процентный 4 2 2 87 5" xfId="35450"/>
    <cellStyle name="Процентный 4 2 2 88" xfId="3437"/>
    <cellStyle name="Процентный 4 2 2 88 2" xfId="8778"/>
    <cellStyle name="Процентный 4 2 2 88 2 2" xfId="19458"/>
    <cellStyle name="Процентный 4 2 2 88 2 2 2" xfId="51502"/>
    <cellStyle name="Процентный 4 2 2 88 2 3" xfId="30139"/>
    <cellStyle name="Процентный 4 2 2 88 2 3 2" xfId="62182"/>
    <cellStyle name="Процентный 4 2 2 88 2 4" xfId="40822"/>
    <cellStyle name="Процентный 4 2 2 88 3" xfId="14118"/>
    <cellStyle name="Процентный 4 2 2 88 3 2" xfId="46162"/>
    <cellStyle name="Процентный 4 2 2 88 4" xfId="24799"/>
    <cellStyle name="Процентный 4 2 2 88 4 2" xfId="56842"/>
    <cellStyle name="Процентный 4 2 2 88 5" xfId="35482"/>
    <cellStyle name="Процентный 4 2 2 89" xfId="3469"/>
    <cellStyle name="Процентный 4 2 2 89 2" xfId="8810"/>
    <cellStyle name="Процентный 4 2 2 89 2 2" xfId="19490"/>
    <cellStyle name="Процентный 4 2 2 89 2 2 2" xfId="51534"/>
    <cellStyle name="Процентный 4 2 2 89 2 3" xfId="30171"/>
    <cellStyle name="Процентный 4 2 2 89 2 3 2" xfId="62214"/>
    <cellStyle name="Процентный 4 2 2 89 2 4" xfId="40854"/>
    <cellStyle name="Процентный 4 2 2 89 3" xfId="14150"/>
    <cellStyle name="Процентный 4 2 2 89 3 2" xfId="46194"/>
    <cellStyle name="Процентный 4 2 2 89 4" xfId="24831"/>
    <cellStyle name="Процентный 4 2 2 89 4 2" xfId="56874"/>
    <cellStyle name="Процентный 4 2 2 89 5" xfId="35514"/>
    <cellStyle name="Процентный 4 2 2 9" xfId="1135"/>
    <cellStyle name="Процентный 4 2 2 9 2" xfId="6478"/>
    <cellStyle name="Процентный 4 2 2 9 2 2" xfId="17158"/>
    <cellStyle name="Процентный 4 2 2 9 2 2 2" xfId="49202"/>
    <cellStyle name="Процентный 4 2 2 9 2 3" xfId="27839"/>
    <cellStyle name="Процентный 4 2 2 9 2 3 2" xfId="59882"/>
    <cellStyle name="Процентный 4 2 2 9 2 4" xfId="38522"/>
    <cellStyle name="Процентный 4 2 2 9 3" xfId="11818"/>
    <cellStyle name="Процентный 4 2 2 9 3 2" xfId="43862"/>
    <cellStyle name="Процентный 4 2 2 9 4" xfId="22499"/>
    <cellStyle name="Процентный 4 2 2 9 4 2" xfId="54542"/>
    <cellStyle name="Процентный 4 2 2 9 5" xfId="33182"/>
    <cellStyle name="Процентный 4 2 2 90" xfId="3501"/>
    <cellStyle name="Процентный 4 2 2 90 2" xfId="8842"/>
    <cellStyle name="Процентный 4 2 2 90 2 2" xfId="19522"/>
    <cellStyle name="Процентный 4 2 2 90 2 2 2" xfId="51566"/>
    <cellStyle name="Процентный 4 2 2 90 2 3" xfId="30203"/>
    <cellStyle name="Процентный 4 2 2 90 2 3 2" xfId="62246"/>
    <cellStyle name="Процентный 4 2 2 90 2 4" xfId="40886"/>
    <cellStyle name="Процентный 4 2 2 90 3" xfId="14182"/>
    <cellStyle name="Процентный 4 2 2 90 3 2" xfId="46226"/>
    <cellStyle name="Процентный 4 2 2 90 4" xfId="24863"/>
    <cellStyle name="Процентный 4 2 2 90 4 2" xfId="56906"/>
    <cellStyle name="Процентный 4 2 2 90 5" xfId="35546"/>
    <cellStyle name="Процентный 4 2 2 91" xfId="3533"/>
    <cellStyle name="Процентный 4 2 2 91 2" xfId="8874"/>
    <cellStyle name="Процентный 4 2 2 91 2 2" xfId="19554"/>
    <cellStyle name="Процентный 4 2 2 91 2 2 2" xfId="51598"/>
    <cellStyle name="Процентный 4 2 2 91 2 3" xfId="30235"/>
    <cellStyle name="Процентный 4 2 2 91 2 3 2" xfId="62278"/>
    <cellStyle name="Процентный 4 2 2 91 2 4" xfId="40918"/>
    <cellStyle name="Процентный 4 2 2 91 3" xfId="14214"/>
    <cellStyle name="Процентный 4 2 2 91 3 2" xfId="46258"/>
    <cellStyle name="Процентный 4 2 2 91 4" xfId="24895"/>
    <cellStyle name="Процентный 4 2 2 91 4 2" xfId="56938"/>
    <cellStyle name="Процентный 4 2 2 91 5" xfId="35578"/>
    <cellStyle name="Процентный 4 2 2 92" xfId="3565"/>
    <cellStyle name="Процентный 4 2 2 92 2" xfId="8906"/>
    <cellStyle name="Процентный 4 2 2 92 2 2" xfId="19586"/>
    <cellStyle name="Процентный 4 2 2 92 2 2 2" xfId="51630"/>
    <cellStyle name="Процентный 4 2 2 92 2 3" xfId="30267"/>
    <cellStyle name="Процентный 4 2 2 92 2 3 2" xfId="62310"/>
    <cellStyle name="Процентный 4 2 2 92 2 4" xfId="40950"/>
    <cellStyle name="Процентный 4 2 2 92 3" xfId="14246"/>
    <cellStyle name="Процентный 4 2 2 92 3 2" xfId="46290"/>
    <cellStyle name="Процентный 4 2 2 92 4" xfId="24927"/>
    <cellStyle name="Процентный 4 2 2 92 4 2" xfId="56970"/>
    <cellStyle name="Процентный 4 2 2 92 5" xfId="35610"/>
    <cellStyle name="Процентный 4 2 2 93" xfId="3597"/>
    <cellStyle name="Процентный 4 2 2 93 2" xfId="8938"/>
    <cellStyle name="Процентный 4 2 2 93 2 2" xfId="19618"/>
    <cellStyle name="Процентный 4 2 2 93 2 2 2" xfId="51662"/>
    <cellStyle name="Процентный 4 2 2 93 2 3" xfId="30299"/>
    <cellStyle name="Процентный 4 2 2 93 2 3 2" xfId="62342"/>
    <cellStyle name="Процентный 4 2 2 93 2 4" xfId="40982"/>
    <cellStyle name="Процентный 4 2 2 93 3" xfId="14278"/>
    <cellStyle name="Процентный 4 2 2 93 3 2" xfId="46322"/>
    <cellStyle name="Процентный 4 2 2 93 4" xfId="24959"/>
    <cellStyle name="Процентный 4 2 2 93 4 2" xfId="57002"/>
    <cellStyle name="Процентный 4 2 2 93 5" xfId="35642"/>
    <cellStyle name="Процентный 4 2 2 94" xfId="3629"/>
    <cellStyle name="Процентный 4 2 2 94 2" xfId="8970"/>
    <cellStyle name="Процентный 4 2 2 94 2 2" xfId="19650"/>
    <cellStyle name="Процентный 4 2 2 94 2 2 2" xfId="51694"/>
    <cellStyle name="Процентный 4 2 2 94 2 3" xfId="30331"/>
    <cellStyle name="Процентный 4 2 2 94 2 3 2" xfId="62374"/>
    <cellStyle name="Процентный 4 2 2 94 2 4" xfId="41014"/>
    <cellStyle name="Процентный 4 2 2 94 3" xfId="14310"/>
    <cellStyle name="Процентный 4 2 2 94 3 2" xfId="46354"/>
    <cellStyle name="Процентный 4 2 2 94 4" xfId="24991"/>
    <cellStyle name="Процентный 4 2 2 94 4 2" xfId="57034"/>
    <cellStyle name="Процентный 4 2 2 94 5" xfId="35674"/>
    <cellStyle name="Процентный 4 2 2 95" xfId="3661"/>
    <cellStyle name="Процентный 4 2 2 95 2" xfId="9002"/>
    <cellStyle name="Процентный 4 2 2 95 2 2" xfId="19682"/>
    <cellStyle name="Процентный 4 2 2 95 2 2 2" xfId="51726"/>
    <cellStyle name="Процентный 4 2 2 95 2 3" xfId="30363"/>
    <cellStyle name="Процентный 4 2 2 95 2 3 2" xfId="62406"/>
    <cellStyle name="Процентный 4 2 2 95 2 4" xfId="41046"/>
    <cellStyle name="Процентный 4 2 2 95 3" xfId="14342"/>
    <cellStyle name="Процентный 4 2 2 95 3 2" xfId="46386"/>
    <cellStyle name="Процентный 4 2 2 95 4" xfId="25023"/>
    <cellStyle name="Процентный 4 2 2 95 4 2" xfId="57066"/>
    <cellStyle name="Процентный 4 2 2 95 5" xfId="35706"/>
    <cellStyle name="Процентный 4 2 2 96" xfId="3693"/>
    <cellStyle name="Процентный 4 2 2 96 2" xfId="9034"/>
    <cellStyle name="Процентный 4 2 2 96 2 2" xfId="19714"/>
    <cellStyle name="Процентный 4 2 2 96 2 2 2" xfId="51758"/>
    <cellStyle name="Процентный 4 2 2 96 2 3" xfId="30395"/>
    <cellStyle name="Процентный 4 2 2 96 2 3 2" xfId="62438"/>
    <cellStyle name="Процентный 4 2 2 96 2 4" xfId="41078"/>
    <cellStyle name="Процентный 4 2 2 96 3" xfId="14374"/>
    <cellStyle name="Процентный 4 2 2 96 3 2" xfId="46418"/>
    <cellStyle name="Процентный 4 2 2 96 4" xfId="25055"/>
    <cellStyle name="Процентный 4 2 2 96 4 2" xfId="57098"/>
    <cellStyle name="Процентный 4 2 2 96 5" xfId="35738"/>
    <cellStyle name="Процентный 4 2 2 97" xfId="3725"/>
    <cellStyle name="Процентный 4 2 2 97 2" xfId="9066"/>
    <cellStyle name="Процентный 4 2 2 97 2 2" xfId="19746"/>
    <cellStyle name="Процентный 4 2 2 97 2 2 2" xfId="51790"/>
    <cellStyle name="Процентный 4 2 2 97 2 3" xfId="30427"/>
    <cellStyle name="Процентный 4 2 2 97 2 3 2" xfId="62470"/>
    <cellStyle name="Процентный 4 2 2 97 2 4" xfId="41110"/>
    <cellStyle name="Процентный 4 2 2 97 3" xfId="14406"/>
    <cellStyle name="Процентный 4 2 2 97 3 2" xfId="46450"/>
    <cellStyle name="Процентный 4 2 2 97 4" xfId="25087"/>
    <cellStyle name="Процентный 4 2 2 97 4 2" xfId="57130"/>
    <cellStyle name="Процентный 4 2 2 97 5" xfId="35770"/>
    <cellStyle name="Процентный 4 2 2 98" xfId="3757"/>
    <cellStyle name="Процентный 4 2 2 98 2" xfId="9098"/>
    <cellStyle name="Процентный 4 2 2 98 2 2" xfId="19778"/>
    <cellStyle name="Процентный 4 2 2 98 2 2 2" xfId="51822"/>
    <cellStyle name="Процентный 4 2 2 98 2 3" xfId="30459"/>
    <cellStyle name="Процентный 4 2 2 98 2 3 2" xfId="62502"/>
    <cellStyle name="Процентный 4 2 2 98 2 4" xfId="41142"/>
    <cellStyle name="Процентный 4 2 2 98 3" xfId="14438"/>
    <cellStyle name="Процентный 4 2 2 98 3 2" xfId="46482"/>
    <cellStyle name="Процентный 4 2 2 98 4" xfId="25119"/>
    <cellStyle name="Процентный 4 2 2 98 4 2" xfId="57162"/>
    <cellStyle name="Процентный 4 2 2 98 5" xfId="35802"/>
    <cellStyle name="Процентный 4 2 2 99" xfId="3789"/>
    <cellStyle name="Процентный 4 2 2 99 2" xfId="9130"/>
    <cellStyle name="Процентный 4 2 2 99 2 2" xfId="19810"/>
    <cellStyle name="Процентный 4 2 2 99 2 2 2" xfId="51854"/>
    <cellStyle name="Процентный 4 2 2 99 2 3" xfId="30491"/>
    <cellStyle name="Процентный 4 2 2 99 2 3 2" xfId="62534"/>
    <cellStyle name="Процентный 4 2 2 99 2 4" xfId="41174"/>
    <cellStyle name="Процентный 4 2 2 99 3" xfId="14470"/>
    <cellStyle name="Процентный 4 2 2 99 3 2" xfId="46514"/>
    <cellStyle name="Процентный 4 2 2 99 4" xfId="25151"/>
    <cellStyle name="Процентный 4 2 2 99 4 2" xfId="57194"/>
    <cellStyle name="Процентный 4 2 2 99 5" xfId="35834"/>
    <cellStyle name="Процентный 4 2 20" xfId="255"/>
    <cellStyle name="Процентный 4 2 20 2" xfId="723"/>
    <cellStyle name="Процентный 4 2 20 2 2" xfId="6066"/>
    <cellStyle name="Процентный 4 2 20 2 2 2" xfId="16746"/>
    <cellStyle name="Процентный 4 2 20 2 2 2 2" xfId="48790"/>
    <cellStyle name="Процентный 4 2 20 2 2 3" xfId="27427"/>
    <cellStyle name="Процентный 4 2 20 2 2 3 2" xfId="59470"/>
    <cellStyle name="Процентный 4 2 20 2 2 4" xfId="38110"/>
    <cellStyle name="Процентный 4 2 20 2 3" xfId="11406"/>
    <cellStyle name="Процентный 4 2 20 2 3 2" xfId="43450"/>
    <cellStyle name="Процентный 4 2 20 2 4" xfId="22087"/>
    <cellStyle name="Процентный 4 2 20 2 4 2" xfId="54130"/>
    <cellStyle name="Процентный 4 2 20 2 5" xfId="32770"/>
    <cellStyle name="Процентный 4 2 20 3" xfId="5599"/>
    <cellStyle name="Процентный 4 2 20 3 2" xfId="16279"/>
    <cellStyle name="Процентный 4 2 20 3 2 2" xfId="48323"/>
    <cellStyle name="Процентный 4 2 20 3 3" xfId="26960"/>
    <cellStyle name="Процентный 4 2 20 3 3 2" xfId="59003"/>
    <cellStyle name="Процентный 4 2 20 3 4" xfId="37643"/>
    <cellStyle name="Процентный 4 2 20 4" xfId="10939"/>
    <cellStyle name="Процентный 4 2 20 4 2" xfId="42983"/>
    <cellStyle name="Процентный 4 2 20 5" xfId="21620"/>
    <cellStyle name="Процентный 4 2 20 5 2" xfId="53663"/>
    <cellStyle name="Процентный 4 2 20 6" xfId="32303"/>
    <cellStyle name="Процентный 4 2 21" xfId="265"/>
    <cellStyle name="Процентный 4 2 21 2" xfId="733"/>
    <cellStyle name="Процентный 4 2 21 2 2" xfId="6076"/>
    <cellStyle name="Процентный 4 2 21 2 2 2" xfId="16756"/>
    <cellStyle name="Процентный 4 2 21 2 2 2 2" xfId="48800"/>
    <cellStyle name="Процентный 4 2 21 2 2 3" xfId="27437"/>
    <cellStyle name="Процентный 4 2 21 2 2 3 2" xfId="59480"/>
    <cellStyle name="Процентный 4 2 21 2 2 4" xfId="38120"/>
    <cellStyle name="Процентный 4 2 21 2 3" xfId="11416"/>
    <cellStyle name="Процентный 4 2 21 2 3 2" xfId="43460"/>
    <cellStyle name="Процентный 4 2 21 2 4" xfId="22097"/>
    <cellStyle name="Процентный 4 2 21 2 4 2" xfId="54140"/>
    <cellStyle name="Процентный 4 2 21 2 5" xfId="32780"/>
    <cellStyle name="Процентный 4 2 21 3" xfId="5609"/>
    <cellStyle name="Процентный 4 2 21 3 2" xfId="16289"/>
    <cellStyle name="Процентный 4 2 21 3 2 2" xfId="48333"/>
    <cellStyle name="Процентный 4 2 21 3 3" xfId="26970"/>
    <cellStyle name="Процентный 4 2 21 3 3 2" xfId="59013"/>
    <cellStyle name="Процентный 4 2 21 3 4" xfId="37653"/>
    <cellStyle name="Процентный 4 2 21 4" xfId="10949"/>
    <cellStyle name="Процентный 4 2 21 4 2" xfId="42993"/>
    <cellStyle name="Процентный 4 2 21 5" xfId="21630"/>
    <cellStyle name="Процентный 4 2 21 5 2" xfId="53673"/>
    <cellStyle name="Процентный 4 2 21 6" xfId="32313"/>
    <cellStyle name="Процентный 4 2 22" xfId="275"/>
    <cellStyle name="Процентный 4 2 22 2" xfId="743"/>
    <cellStyle name="Процентный 4 2 22 2 2" xfId="6086"/>
    <cellStyle name="Процентный 4 2 22 2 2 2" xfId="16766"/>
    <cellStyle name="Процентный 4 2 22 2 2 2 2" xfId="48810"/>
    <cellStyle name="Процентный 4 2 22 2 2 3" xfId="27447"/>
    <cellStyle name="Процентный 4 2 22 2 2 3 2" xfId="59490"/>
    <cellStyle name="Процентный 4 2 22 2 2 4" xfId="38130"/>
    <cellStyle name="Процентный 4 2 22 2 3" xfId="11426"/>
    <cellStyle name="Процентный 4 2 22 2 3 2" xfId="43470"/>
    <cellStyle name="Процентный 4 2 22 2 4" xfId="22107"/>
    <cellStyle name="Процентный 4 2 22 2 4 2" xfId="54150"/>
    <cellStyle name="Процентный 4 2 22 2 5" xfId="32790"/>
    <cellStyle name="Процентный 4 2 22 3" xfId="5619"/>
    <cellStyle name="Процентный 4 2 22 3 2" xfId="16299"/>
    <cellStyle name="Процентный 4 2 22 3 2 2" xfId="48343"/>
    <cellStyle name="Процентный 4 2 22 3 3" xfId="26980"/>
    <cellStyle name="Процентный 4 2 22 3 3 2" xfId="59023"/>
    <cellStyle name="Процентный 4 2 22 3 4" xfId="37663"/>
    <cellStyle name="Процентный 4 2 22 4" xfId="10959"/>
    <cellStyle name="Процентный 4 2 22 4 2" xfId="43003"/>
    <cellStyle name="Процентный 4 2 22 5" xfId="21640"/>
    <cellStyle name="Процентный 4 2 22 5 2" xfId="53683"/>
    <cellStyle name="Процентный 4 2 22 6" xfId="32323"/>
    <cellStyle name="Процентный 4 2 23" xfId="285"/>
    <cellStyle name="Процентный 4 2 23 2" xfId="753"/>
    <cellStyle name="Процентный 4 2 23 2 2" xfId="6096"/>
    <cellStyle name="Процентный 4 2 23 2 2 2" xfId="16776"/>
    <cellStyle name="Процентный 4 2 23 2 2 2 2" xfId="48820"/>
    <cellStyle name="Процентный 4 2 23 2 2 3" xfId="27457"/>
    <cellStyle name="Процентный 4 2 23 2 2 3 2" xfId="59500"/>
    <cellStyle name="Процентный 4 2 23 2 2 4" xfId="38140"/>
    <cellStyle name="Процентный 4 2 23 2 3" xfId="11436"/>
    <cellStyle name="Процентный 4 2 23 2 3 2" xfId="43480"/>
    <cellStyle name="Процентный 4 2 23 2 4" xfId="22117"/>
    <cellStyle name="Процентный 4 2 23 2 4 2" xfId="54160"/>
    <cellStyle name="Процентный 4 2 23 2 5" xfId="32800"/>
    <cellStyle name="Процентный 4 2 23 3" xfId="5629"/>
    <cellStyle name="Процентный 4 2 23 3 2" xfId="16309"/>
    <cellStyle name="Процентный 4 2 23 3 2 2" xfId="48353"/>
    <cellStyle name="Процентный 4 2 23 3 3" xfId="26990"/>
    <cellStyle name="Процентный 4 2 23 3 3 2" xfId="59033"/>
    <cellStyle name="Процентный 4 2 23 3 4" xfId="37673"/>
    <cellStyle name="Процентный 4 2 23 4" xfId="10969"/>
    <cellStyle name="Процентный 4 2 23 4 2" xfId="43013"/>
    <cellStyle name="Процентный 4 2 23 5" xfId="21650"/>
    <cellStyle name="Процентный 4 2 23 5 2" xfId="53693"/>
    <cellStyle name="Процентный 4 2 23 6" xfId="32333"/>
    <cellStyle name="Процентный 4 2 24" xfId="295"/>
    <cellStyle name="Процентный 4 2 24 2" xfId="763"/>
    <cellStyle name="Процентный 4 2 24 2 2" xfId="6106"/>
    <cellStyle name="Процентный 4 2 24 2 2 2" xfId="16786"/>
    <cellStyle name="Процентный 4 2 24 2 2 2 2" xfId="48830"/>
    <cellStyle name="Процентный 4 2 24 2 2 3" xfId="27467"/>
    <cellStyle name="Процентный 4 2 24 2 2 3 2" xfId="59510"/>
    <cellStyle name="Процентный 4 2 24 2 2 4" xfId="38150"/>
    <cellStyle name="Процентный 4 2 24 2 3" xfId="11446"/>
    <cellStyle name="Процентный 4 2 24 2 3 2" xfId="43490"/>
    <cellStyle name="Процентный 4 2 24 2 4" xfId="22127"/>
    <cellStyle name="Процентный 4 2 24 2 4 2" xfId="54170"/>
    <cellStyle name="Процентный 4 2 24 2 5" xfId="32810"/>
    <cellStyle name="Процентный 4 2 24 3" xfId="5639"/>
    <cellStyle name="Процентный 4 2 24 3 2" xfId="16319"/>
    <cellStyle name="Процентный 4 2 24 3 2 2" xfId="48363"/>
    <cellStyle name="Процентный 4 2 24 3 3" xfId="27000"/>
    <cellStyle name="Процентный 4 2 24 3 3 2" xfId="59043"/>
    <cellStyle name="Процентный 4 2 24 3 4" xfId="37683"/>
    <cellStyle name="Процентный 4 2 24 4" xfId="10979"/>
    <cellStyle name="Процентный 4 2 24 4 2" xfId="43023"/>
    <cellStyle name="Процентный 4 2 24 5" xfId="21660"/>
    <cellStyle name="Процентный 4 2 24 5 2" xfId="53703"/>
    <cellStyle name="Процентный 4 2 24 6" xfId="32343"/>
    <cellStyle name="Процентный 4 2 25" xfId="305"/>
    <cellStyle name="Процентный 4 2 25 2" xfId="773"/>
    <cellStyle name="Процентный 4 2 25 2 2" xfId="6116"/>
    <cellStyle name="Процентный 4 2 25 2 2 2" xfId="16796"/>
    <cellStyle name="Процентный 4 2 25 2 2 2 2" xfId="48840"/>
    <cellStyle name="Процентный 4 2 25 2 2 3" xfId="27477"/>
    <cellStyle name="Процентный 4 2 25 2 2 3 2" xfId="59520"/>
    <cellStyle name="Процентный 4 2 25 2 2 4" xfId="38160"/>
    <cellStyle name="Процентный 4 2 25 2 3" xfId="11456"/>
    <cellStyle name="Процентный 4 2 25 2 3 2" xfId="43500"/>
    <cellStyle name="Процентный 4 2 25 2 4" xfId="22137"/>
    <cellStyle name="Процентный 4 2 25 2 4 2" xfId="54180"/>
    <cellStyle name="Процентный 4 2 25 2 5" xfId="32820"/>
    <cellStyle name="Процентный 4 2 25 3" xfId="5649"/>
    <cellStyle name="Процентный 4 2 25 3 2" xfId="16329"/>
    <cellStyle name="Процентный 4 2 25 3 2 2" xfId="48373"/>
    <cellStyle name="Процентный 4 2 25 3 3" xfId="27010"/>
    <cellStyle name="Процентный 4 2 25 3 3 2" xfId="59053"/>
    <cellStyle name="Процентный 4 2 25 3 4" xfId="37693"/>
    <cellStyle name="Процентный 4 2 25 4" xfId="10989"/>
    <cellStyle name="Процентный 4 2 25 4 2" xfId="43033"/>
    <cellStyle name="Процентный 4 2 25 5" xfId="21670"/>
    <cellStyle name="Процентный 4 2 25 5 2" xfId="53713"/>
    <cellStyle name="Процентный 4 2 25 6" xfId="32353"/>
    <cellStyle name="Процентный 4 2 26" xfId="315"/>
    <cellStyle name="Процентный 4 2 26 2" xfId="783"/>
    <cellStyle name="Процентный 4 2 26 2 2" xfId="6126"/>
    <cellStyle name="Процентный 4 2 26 2 2 2" xfId="16806"/>
    <cellStyle name="Процентный 4 2 26 2 2 2 2" xfId="48850"/>
    <cellStyle name="Процентный 4 2 26 2 2 3" xfId="27487"/>
    <cellStyle name="Процентный 4 2 26 2 2 3 2" xfId="59530"/>
    <cellStyle name="Процентный 4 2 26 2 2 4" xfId="38170"/>
    <cellStyle name="Процентный 4 2 26 2 3" xfId="11466"/>
    <cellStyle name="Процентный 4 2 26 2 3 2" xfId="43510"/>
    <cellStyle name="Процентный 4 2 26 2 4" xfId="22147"/>
    <cellStyle name="Процентный 4 2 26 2 4 2" xfId="54190"/>
    <cellStyle name="Процентный 4 2 26 2 5" xfId="32830"/>
    <cellStyle name="Процентный 4 2 26 3" xfId="5659"/>
    <cellStyle name="Процентный 4 2 26 3 2" xfId="16339"/>
    <cellStyle name="Процентный 4 2 26 3 2 2" xfId="48383"/>
    <cellStyle name="Процентный 4 2 26 3 3" xfId="27020"/>
    <cellStyle name="Процентный 4 2 26 3 3 2" xfId="59063"/>
    <cellStyle name="Процентный 4 2 26 3 4" xfId="37703"/>
    <cellStyle name="Процентный 4 2 26 4" xfId="10999"/>
    <cellStyle name="Процентный 4 2 26 4 2" xfId="43043"/>
    <cellStyle name="Процентный 4 2 26 5" xfId="21680"/>
    <cellStyle name="Процентный 4 2 26 5 2" xfId="53723"/>
    <cellStyle name="Процентный 4 2 26 6" xfId="32363"/>
    <cellStyle name="Процентный 4 2 27" xfId="325"/>
    <cellStyle name="Процентный 4 2 27 2" xfId="793"/>
    <cellStyle name="Процентный 4 2 27 2 2" xfId="6136"/>
    <cellStyle name="Процентный 4 2 27 2 2 2" xfId="16816"/>
    <cellStyle name="Процентный 4 2 27 2 2 2 2" xfId="48860"/>
    <cellStyle name="Процентный 4 2 27 2 2 3" xfId="27497"/>
    <cellStyle name="Процентный 4 2 27 2 2 3 2" xfId="59540"/>
    <cellStyle name="Процентный 4 2 27 2 2 4" xfId="38180"/>
    <cellStyle name="Процентный 4 2 27 2 3" xfId="11476"/>
    <cellStyle name="Процентный 4 2 27 2 3 2" xfId="43520"/>
    <cellStyle name="Процентный 4 2 27 2 4" xfId="22157"/>
    <cellStyle name="Процентный 4 2 27 2 4 2" xfId="54200"/>
    <cellStyle name="Процентный 4 2 27 2 5" xfId="32840"/>
    <cellStyle name="Процентный 4 2 27 3" xfId="5669"/>
    <cellStyle name="Процентный 4 2 27 3 2" xfId="16349"/>
    <cellStyle name="Процентный 4 2 27 3 2 2" xfId="48393"/>
    <cellStyle name="Процентный 4 2 27 3 3" xfId="27030"/>
    <cellStyle name="Процентный 4 2 27 3 3 2" xfId="59073"/>
    <cellStyle name="Процентный 4 2 27 3 4" xfId="37713"/>
    <cellStyle name="Процентный 4 2 27 4" xfId="11009"/>
    <cellStyle name="Процентный 4 2 27 4 2" xfId="43053"/>
    <cellStyle name="Процентный 4 2 27 5" xfId="21690"/>
    <cellStyle name="Процентный 4 2 27 5 2" xfId="53733"/>
    <cellStyle name="Процентный 4 2 27 6" xfId="32373"/>
    <cellStyle name="Процентный 4 2 28" xfId="335"/>
    <cellStyle name="Процентный 4 2 28 2" xfId="803"/>
    <cellStyle name="Процентный 4 2 28 2 2" xfId="6146"/>
    <cellStyle name="Процентный 4 2 28 2 2 2" xfId="16826"/>
    <cellStyle name="Процентный 4 2 28 2 2 2 2" xfId="48870"/>
    <cellStyle name="Процентный 4 2 28 2 2 3" xfId="27507"/>
    <cellStyle name="Процентный 4 2 28 2 2 3 2" xfId="59550"/>
    <cellStyle name="Процентный 4 2 28 2 2 4" xfId="38190"/>
    <cellStyle name="Процентный 4 2 28 2 3" xfId="11486"/>
    <cellStyle name="Процентный 4 2 28 2 3 2" xfId="43530"/>
    <cellStyle name="Процентный 4 2 28 2 4" xfId="22167"/>
    <cellStyle name="Процентный 4 2 28 2 4 2" xfId="54210"/>
    <cellStyle name="Процентный 4 2 28 2 5" xfId="32850"/>
    <cellStyle name="Процентный 4 2 28 3" xfId="5679"/>
    <cellStyle name="Процентный 4 2 28 3 2" xfId="16359"/>
    <cellStyle name="Процентный 4 2 28 3 2 2" xfId="48403"/>
    <cellStyle name="Процентный 4 2 28 3 3" xfId="27040"/>
    <cellStyle name="Процентный 4 2 28 3 3 2" xfId="59083"/>
    <cellStyle name="Процентный 4 2 28 3 4" xfId="37723"/>
    <cellStyle name="Процентный 4 2 28 4" xfId="11019"/>
    <cellStyle name="Процентный 4 2 28 4 2" xfId="43063"/>
    <cellStyle name="Процентный 4 2 28 5" xfId="21700"/>
    <cellStyle name="Процентный 4 2 28 5 2" xfId="53743"/>
    <cellStyle name="Процентный 4 2 28 6" xfId="32383"/>
    <cellStyle name="Процентный 4 2 29" xfId="345"/>
    <cellStyle name="Процентный 4 2 29 2" xfId="813"/>
    <cellStyle name="Процентный 4 2 29 2 2" xfId="6156"/>
    <cellStyle name="Процентный 4 2 29 2 2 2" xfId="16836"/>
    <cellStyle name="Процентный 4 2 29 2 2 2 2" xfId="48880"/>
    <cellStyle name="Процентный 4 2 29 2 2 3" xfId="27517"/>
    <cellStyle name="Процентный 4 2 29 2 2 3 2" xfId="59560"/>
    <cellStyle name="Процентный 4 2 29 2 2 4" xfId="38200"/>
    <cellStyle name="Процентный 4 2 29 2 3" xfId="11496"/>
    <cellStyle name="Процентный 4 2 29 2 3 2" xfId="43540"/>
    <cellStyle name="Процентный 4 2 29 2 4" xfId="22177"/>
    <cellStyle name="Процентный 4 2 29 2 4 2" xfId="54220"/>
    <cellStyle name="Процентный 4 2 29 2 5" xfId="32860"/>
    <cellStyle name="Процентный 4 2 29 3" xfId="5689"/>
    <cellStyle name="Процентный 4 2 29 3 2" xfId="16369"/>
    <cellStyle name="Процентный 4 2 29 3 2 2" xfId="48413"/>
    <cellStyle name="Процентный 4 2 29 3 3" xfId="27050"/>
    <cellStyle name="Процентный 4 2 29 3 3 2" xfId="59093"/>
    <cellStyle name="Процентный 4 2 29 3 4" xfId="37733"/>
    <cellStyle name="Процентный 4 2 29 4" xfId="11029"/>
    <cellStyle name="Процентный 4 2 29 4 2" xfId="43073"/>
    <cellStyle name="Процентный 4 2 29 5" xfId="21710"/>
    <cellStyle name="Процентный 4 2 29 5 2" xfId="53753"/>
    <cellStyle name="Процентный 4 2 29 6" xfId="32393"/>
    <cellStyle name="Процентный 4 2 3" xfId="87"/>
    <cellStyle name="Процентный 4 2 3 2" xfId="555"/>
    <cellStyle name="Процентный 4 2 3 2 2" xfId="5898"/>
    <cellStyle name="Процентный 4 2 3 2 2 2" xfId="16578"/>
    <cellStyle name="Процентный 4 2 3 2 2 2 2" xfId="48622"/>
    <cellStyle name="Процентный 4 2 3 2 2 3" xfId="27259"/>
    <cellStyle name="Процентный 4 2 3 2 2 3 2" xfId="59302"/>
    <cellStyle name="Процентный 4 2 3 2 2 4" xfId="37942"/>
    <cellStyle name="Процентный 4 2 3 2 3" xfId="11238"/>
    <cellStyle name="Процентный 4 2 3 2 3 2" xfId="43282"/>
    <cellStyle name="Процентный 4 2 3 2 4" xfId="21919"/>
    <cellStyle name="Процентный 4 2 3 2 4 2" xfId="53962"/>
    <cellStyle name="Процентный 4 2 3 2 5" xfId="32602"/>
    <cellStyle name="Процентный 4 2 3 3" xfId="5431"/>
    <cellStyle name="Процентный 4 2 3 3 2" xfId="16111"/>
    <cellStyle name="Процентный 4 2 3 3 2 2" xfId="48155"/>
    <cellStyle name="Процентный 4 2 3 3 3" xfId="26792"/>
    <cellStyle name="Процентный 4 2 3 3 3 2" xfId="58835"/>
    <cellStyle name="Процентный 4 2 3 3 4" xfId="37475"/>
    <cellStyle name="Процентный 4 2 3 4" xfId="10771"/>
    <cellStyle name="Процентный 4 2 3 4 2" xfId="42815"/>
    <cellStyle name="Процентный 4 2 3 5" xfId="21452"/>
    <cellStyle name="Процентный 4 2 3 5 2" xfId="53495"/>
    <cellStyle name="Процентный 4 2 3 6" xfId="32135"/>
    <cellStyle name="Процентный 4 2 30" xfId="355"/>
    <cellStyle name="Процентный 4 2 30 2" xfId="823"/>
    <cellStyle name="Процентный 4 2 30 2 2" xfId="6166"/>
    <cellStyle name="Процентный 4 2 30 2 2 2" xfId="16846"/>
    <cellStyle name="Процентный 4 2 30 2 2 2 2" xfId="48890"/>
    <cellStyle name="Процентный 4 2 30 2 2 3" xfId="27527"/>
    <cellStyle name="Процентный 4 2 30 2 2 3 2" xfId="59570"/>
    <cellStyle name="Процентный 4 2 30 2 2 4" xfId="38210"/>
    <cellStyle name="Процентный 4 2 30 2 3" xfId="11506"/>
    <cellStyle name="Процентный 4 2 30 2 3 2" xfId="43550"/>
    <cellStyle name="Процентный 4 2 30 2 4" xfId="22187"/>
    <cellStyle name="Процентный 4 2 30 2 4 2" xfId="54230"/>
    <cellStyle name="Процентный 4 2 30 2 5" xfId="32870"/>
    <cellStyle name="Процентный 4 2 30 3" xfId="5699"/>
    <cellStyle name="Процентный 4 2 30 3 2" xfId="16379"/>
    <cellStyle name="Процентный 4 2 30 3 2 2" xfId="48423"/>
    <cellStyle name="Процентный 4 2 30 3 3" xfId="27060"/>
    <cellStyle name="Процентный 4 2 30 3 3 2" xfId="59103"/>
    <cellStyle name="Процентный 4 2 30 3 4" xfId="37743"/>
    <cellStyle name="Процентный 4 2 30 4" xfId="11039"/>
    <cellStyle name="Процентный 4 2 30 4 2" xfId="43083"/>
    <cellStyle name="Процентный 4 2 30 5" xfId="21720"/>
    <cellStyle name="Процентный 4 2 30 5 2" xfId="53763"/>
    <cellStyle name="Процентный 4 2 30 6" xfId="32403"/>
    <cellStyle name="Процентный 4 2 31" xfId="365"/>
    <cellStyle name="Процентный 4 2 31 2" xfId="833"/>
    <cellStyle name="Процентный 4 2 31 2 2" xfId="6176"/>
    <cellStyle name="Процентный 4 2 31 2 2 2" xfId="16856"/>
    <cellStyle name="Процентный 4 2 31 2 2 2 2" xfId="48900"/>
    <cellStyle name="Процентный 4 2 31 2 2 3" xfId="27537"/>
    <cellStyle name="Процентный 4 2 31 2 2 3 2" xfId="59580"/>
    <cellStyle name="Процентный 4 2 31 2 2 4" xfId="38220"/>
    <cellStyle name="Процентный 4 2 31 2 3" xfId="11516"/>
    <cellStyle name="Процентный 4 2 31 2 3 2" xfId="43560"/>
    <cellStyle name="Процентный 4 2 31 2 4" xfId="22197"/>
    <cellStyle name="Процентный 4 2 31 2 4 2" xfId="54240"/>
    <cellStyle name="Процентный 4 2 31 2 5" xfId="32880"/>
    <cellStyle name="Процентный 4 2 31 3" xfId="5709"/>
    <cellStyle name="Процентный 4 2 31 3 2" xfId="16389"/>
    <cellStyle name="Процентный 4 2 31 3 2 2" xfId="48433"/>
    <cellStyle name="Процентный 4 2 31 3 3" xfId="27070"/>
    <cellStyle name="Процентный 4 2 31 3 3 2" xfId="59113"/>
    <cellStyle name="Процентный 4 2 31 3 4" xfId="37753"/>
    <cellStyle name="Процентный 4 2 31 4" xfId="11049"/>
    <cellStyle name="Процентный 4 2 31 4 2" xfId="43093"/>
    <cellStyle name="Процентный 4 2 31 5" xfId="21730"/>
    <cellStyle name="Процентный 4 2 31 5 2" xfId="53773"/>
    <cellStyle name="Процентный 4 2 31 6" xfId="32413"/>
    <cellStyle name="Процентный 4 2 32" xfId="375"/>
    <cellStyle name="Процентный 4 2 32 2" xfId="843"/>
    <cellStyle name="Процентный 4 2 32 2 2" xfId="6186"/>
    <cellStyle name="Процентный 4 2 32 2 2 2" xfId="16866"/>
    <cellStyle name="Процентный 4 2 32 2 2 2 2" xfId="48910"/>
    <cellStyle name="Процентный 4 2 32 2 2 3" xfId="27547"/>
    <cellStyle name="Процентный 4 2 32 2 2 3 2" xfId="59590"/>
    <cellStyle name="Процентный 4 2 32 2 2 4" xfId="38230"/>
    <cellStyle name="Процентный 4 2 32 2 3" xfId="11526"/>
    <cellStyle name="Процентный 4 2 32 2 3 2" xfId="43570"/>
    <cellStyle name="Процентный 4 2 32 2 4" xfId="22207"/>
    <cellStyle name="Процентный 4 2 32 2 4 2" xfId="54250"/>
    <cellStyle name="Процентный 4 2 32 2 5" xfId="32890"/>
    <cellStyle name="Процентный 4 2 32 3" xfId="5719"/>
    <cellStyle name="Процентный 4 2 32 3 2" xfId="16399"/>
    <cellStyle name="Процентный 4 2 32 3 2 2" xfId="48443"/>
    <cellStyle name="Процентный 4 2 32 3 3" xfId="27080"/>
    <cellStyle name="Процентный 4 2 32 3 3 2" xfId="59123"/>
    <cellStyle name="Процентный 4 2 32 3 4" xfId="37763"/>
    <cellStyle name="Процентный 4 2 32 4" xfId="11059"/>
    <cellStyle name="Процентный 4 2 32 4 2" xfId="43103"/>
    <cellStyle name="Процентный 4 2 32 5" xfId="21740"/>
    <cellStyle name="Процентный 4 2 32 5 2" xfId="53783"/>
    <cellStyle name="Процентный 4 2 32 6" xfId="32423"/>
    <cellStyle name="Процентный 4 2 33" xfId="385"/>
    <cellStyle name="Процентный 4 2 33 2" xfId="853"/>
    <cellStyle name="Процентный 4 2 33 2 2" xfId="6196"/>
    <cellStyle name="Процентный 4 2 33 2 2 2" xfId="16876"/>
    <cellStyle name="Процентный 4 2 33 2 2 2 2" xfId="48920"/>
    <cellStyle name="Процентный 4 2 33 2 2 3" xfId="27557"/>
    <cellStyle name="Процентный 4 2 33 2 2 3 2" xfId="59600"/>
    <cellStyle name="Процентный 4 2 33 2 2 4" xfId="38240"/>
    <cellStyle name="Процентный 4 2 33 2 3" xfId="11536"/>
    <cellStyle name="Процентный 4 2 33 2 3 2" xfId="43580"/>
    <cellStyle name="Процентный 4 2 33 2 4" xfId="22217"/>
    <cellStyle name="Процентный 4 2 33 2 4 2" xfId="54260"/>
    <cellStyle name="Процентный 4 2 33 2 5" xfId="32900"/>
    <cellStyle name="Процентный 4 2 33 3" xfId="5729"/>
    <cellStyle name="Процентный 4 2 33 3 2" xfId="16409"/>
    <cellStyle name="Процентный 4 2 33 3 2 2" xfId="48453"/>
    <cellStyle name="Процентный 4 2 33 3 3" xfId="27090"/>
    <cellStyle name="Процентный 4 2 33 3 3 2" xfId="59133"/>
    <cellStyle name="Процентный 4 2 33 3 4" xfId="37773"/>
    <cellStyle name="Процентный 4 2 33 4" xfId="11069"/>
    <cellStyle name="Процентный 4 2 33 4 2" xfId="43113"/>
    <cellStyle name="Процентный 4 2 33 5" xfId="21750"/>
    <cellStyle name="Процентный 4 2 33 5 2" xfId="53793"/>
    <cellStyle name="Процентный 4 2 33 6" xfId="32433"/>
    <cellStyle name="Процентный 4 2 34" xfId="395"/>
    <cellStyle name="Процентный 4 2 34 2" xfId="863"/>
    <cellStyle name="Процентный 4 2 34 2 2" xfId="6206"/>
    <cellStyle name="Процентный 4 2 34 2 2 2" xfId="16886"/>
    <cellStyle name="Процентный 4 2 34 2 2 2 2" xfId="48930"/>
    <cellStyle name="Процентный 4 2 34 2 2 3" xfId="27567"/>
    <cellStyle name="Процентный 4 2 34 2 2 3 2" xfId="59610"/>
    <cellStyle name="Процентный 4 2 34 2 2 4" xfId="38250"/>
    <cellStyle name="Процентный 4 2 34 2 3" xfId="11546"/>
    <cellStyle name="Процентный 4 2 34 2 3 2" xfId="43590"/>
    <cellStyle name="Процентный 4 2 34 2 4" xfId="22227"/>
    <cellStyle name="Процентный 4 2 34 2 4 2" xfId="54270"/>
    <cellStyle name="Процентный 4 2 34 2 5" xfId="32910"/>
    <cellStyle name="Процентный 4 2 34 3" xfId="5739"/>
    <cellStyle name="Процентный 4 2 34 3 2" xfId="16419"/>
    <cellStyle name="Процентный 4 2 34 3 2 2" xfId="48463"/>
    <cellStyle name="Процентный 4 2 34 3 3" xfId="27100"/>
    <cellStyle name="Процентный 4 2 34 3 3 2" xfId="59143"/>
    <cellStyle name="Процентный 4 2 34 3 4" xfId="37783"/>
    <cellStyle name="Процентный 4 2 34 4" xfId="11079"/>
    <cellStyle name="Процентный 4 2 34 4 2" xfId="43123"/>
    <cellStyle name="Процентный 4 2 34 5" xfId="21760"/>
    <cellStyle name="Процентный 4 2 34 5 2" xfId="53803"/>
    <cellStyle name="Процентный 4 2 34 6" xfId="32443"/>
    <cellStyle name="Процентный 4 2 35" xfId="407"/>
    <cellStyle name="Процентный 4 2 35 2" xfId="875"/>
    <cellStyle name="Процентный 4 2 35 2 2" xfId="6218"/>
    <cellStyle name="Процентный 4 2 35 2 2 2" xfId="16898"/>
    <cellStyle name="Процентный 4 2 35 2 2 2 2" xfId="48942"/>
    <cellStyle name="Процентный 4 2 35 2 2 3" xfId="27579"/>
    <cellStyle name="Процентный 4 2 35 2 2 3 2" xfId="59622"/>
    <cellStyle name="Процентный 4 2 35 2 2 4" xfId="38262"/>
    <cellStyle name="Процентный 4 2 35 2 3" xfId="11558"/>
    <cellStyle name="Процентный 4 2 35 2 3 2" xfId="43602"/>
    <cellStyle name="Процентный 4 2 35 2 4" xfId="22239"/>
    <cellStyle name="Процентный 4 2 35 2 4 2" xfId="54282"/>
    <cellStyle name="Процентный 4 2 35 2 5" xfId="32922"/>
    <cellStyle name="Процентный 4 2 35 3" xfId="5751"/>
    <cellStyle name="Процентный 4 2 35 3 2" xfId="16431"/>
    <cellStyle name="Процентный 4 2 35 3 2 2" xfId="48475"/>
    <cellStyle name="Процентный 4 2 35 3 3" xfId="27112"/>
    <cellStyle name="Процентный 4 2 35 3 3 2" xfId="59155"/>
    <cellStyle name="Процентный 4 2 35 3 4" xfId="37795"/>
    <cellStyle name="Процентный 4 2 35 4" xfId="11091"/>
    <cellStyle name="Процентный 4 2 35 4 2" xfId="43135"/>
    <cellStyle name="Процентный 4 2 35 5" xfId="21772"/>
    <cellStyle name="Процентный 4 2 35 5 2" xfId="53815"/>
    <cellStyle name="Процентный 4 2 35 6" xfId="32455"/>
    <cellStyle name="Процентный 4 2 36" xfId="419"/>
    <cellStyle name="Процентный 4 2 36 2" xfId="887"/>
    <cellStyle name="Процентный 4 2 36 2 2" xfId="6230"/>
    <cellStyle name="Процентный 4 2 36 2 2 2" xfId="16910"/>
    <cellStyle name="Процентный 4 2 36 2 2 2 2" xfId="48954"/>
    <cellStyle name="Процентный 4 2 36 2 2 3" xfId="27591"/>
    <cellStyle name="Процентный 4 2 36 2 2 3 2" xfId="59634"/>
    <cellStyle name="Процентный 4 2 36 2 2 4" xfId="38274"/>
    <cellStyle name="Процентный 4 2 36 2 3" xfId="11570"/>
    <cellStyle name="Процентный 4 2 36 2 3 2" xfId="43614"/>
    <cellStyle name="Процентный 4 2 36 2 4" xfId="22251"/>
    <cellStyle name="Процентный 4 2 36 2 4 2" xfId="54294"/>
    <cellStyle name="Процентный 4 2 36 2 5" xfId="32934"/>
    <cellStyle name="Процентный 4 2 36 3" xfId="5763"/>
    <cellStyle name="Процентный 4 2 36 3 2" xfId="16443"/>
    <cellStyle name="Процентный 4 2 36 3 2 2" xfId="48487"/>
    <cellStyle name="Процентный 4 2 36 3 3" xfId="27124"/>
    <cellStyle name="Процентный 4 2 36 3 3 2" xfId="59167"/>
    <cellStyle name="Процентный 4 2 36 3 4" xfId="37807"/>
    <cellStyle name="Процентный 4 2 36 4" xfId="11103"/>
    <cellStyle name="Процентный 4 2 36 4 2" xfId="43147"/>
    <cellStyle name="Процентный 4 2 36 5" xfId="21784"/>
    <cellStyle name="Процентный 4 2 36 5 2" xfId="53827"/>
    <cellStyle name="Процентный 4 2 36 6" xfId="32467"/>
    <cellStyle name="Процентный 4 2 37" xfId="431"/>
    <cellStyle name="Процентный 4 2 37 2" xfId="899"/>
    <cellStyle name="Процентный 4 2 37 2 2" xfId="6242"/>
    <cellStyle name="Процентный 4 2 37 2 2 2" xfId="16922"/>
    <cellStyle name="Процентный 4 2 37 2 2 2 2" xfId="48966"/>
    <cellStyle name="Процентный 4 2 37 2 2 3" xfId="27603"/>
    <cellStyle name="Процентный 4 2 37 2 2 3 2" xfId="59646"/>
    <cellStyle name="Процентный 4 2 37 2 2 4" xfId="38286"/>
    <cellStyle name="Процентный 4 2 37 2 3" xfId="11582"/>
    <cellStyle name="Процентный 4 2 37 2 3 2" xfId="43626"/>
    <cellStyle name="Процентный 4 2 37 2 4" xfId="22263"/>
    <cellStyle name="Процентный 4 2 37 2 4 2" xfId="54306"/>
    <cellStyle name="Процентный 4 2 37 2 5" xfId="32946"/>
    <cellStyle name="Процентный 4 2 37 3" xfId="5775"/>
    <cellStyle name="Процентный 4 2 37 3 2" xfId="16455"/>
    <cellStyle name="Процентный 4 2 37 3 2 2" xfId="48499"/>
    <cellStyle name="Процентный 4 2 37 3 3" xfId="27136"/>
    <cellStyle name="Процентный 4 2 37 3 3 2" xfId="59179"/>
    <cellStyle name="Процентный 4 2 37 3 4" xfId="37819"/>
    <cellStyle name="Процентный 4 2 37 4" xfId="11115"/>
    <cellStyle name="Процентный 4 2 37 4 2" xfId="43159"/>
    <cellStyle name="Процентный 4 2 37 5" xfId="21796"/>
    <cellStyle name="Процентный 4 2 37 5 2" xfId="53839"/>
    <cellStyle name="Процентный 4 2 37 6" xfId="32479"/>
    <cellStyle name="Процентный 4 2 38" xfId="443"/>
    <cellStyle name="Процентный 4 2 38 2" xfId="911"/>
    <cellStyle name="Процентный 4 2 38 2 2" xfId="6254"/>
    <cellStyle name="Процентный 4 2 38 2 2 2" xfId="16934"/>
    <cellStyle name="Процентный 4 2 38 2 2 2 2" xfId="48978"/>
    <cellStyle name="Процентный 4 2 38 2 2 3" xfId="27615"/>
    <cellStyle name="Процентный 4 2 38 2 2 3 2" xfId="59658"/>
    <cellStyle name="Процентный 4 2 38 2 2 4" xfId="38298"/>
    <cellStyle name="Процентный 4 2 38 2 3" xfId="11594"/>
    <cellStyle name="Процентный 4 2 38 2 3 2" xfId="43638"/>
    <cellStyle name="Процентный 4 2 38 2 4" xfId="22275"/>
    <cellStyle name="Процентный 4 2 38 2 4 2" xfId="54318"/>
    <cellStyle name="Процентный 4 2 38 2 5" xfId="32958"/>
    <cellStyle name="Процентный 4 2 38 3" xfId="5787"/>
    <cellStyle name="Процентный 4 2 38 3 2" xfId="16467"/>
    <cellStyle name="Процентный 4 2 38 3 2 2" xfId="48511"/>
    <cellStyle name="Процентный 4 2 38 3 3" xfId="27148"/>
    <cellStyle name="Процентный 4 2 38 3 3 2" xfId="59191"/>
    <cellStyle name="Процентный 4 2 38 3 4" xfId="37831"/>
    <cellStyle name="Процентный 4 2 38 4" xfId="11127"/>
    <cellStyle name="Процентный 4 2 38 4 2" xfId="43171"/>
    <cellStyle name="Процентный 4 2 38 5" xfId="21808"/>
    <cellStyle name="Процентный 4 2 38 5 2" xfId="53851"/>
    <cellStyle name="Процентный 4 2 38 6" xfId="32491"/>
    <cellStyle name="Процентный 4 2 39" xfId="455"/>
    <cellStyle name="Процентный 4 2 39 2" xfId="923"/>
    <cellStyle name="Процентный 4 2 39 2 2" xfId="6266"/>
    <cellStyle name="Процентный 4 2 39 2 2 2" xfId="16946"/>
    <cellStyle name="Процентный 4 2 39 2 2 2 2" xfId="48990"/>
    <cellStyle name="Процентный 4 2 39 2 2 3" xfId="27627"/>
    <cellStyle name="Процентный 4 2 39 2 2 3 2" xfId="59670"/>
    <cellStyle name="Процентный 4 2 39 2 2 4" xfId="38310"/>
    <cellStyle name="Процентный 4 2 39 2 3" xfId="11606"/>
    <cellStyle name="Процентный 4 2 39 2 3 2" xfId="43650"/>
    <cellStyle name="Процентный 4 2 39 2 4" xfId="22287"/>
    <cellStyle name="Процентный 4 2 39 2 4 2" xfId="54330"/>
    <cellStyle name="Процентный 4 2 39 2 5" xfId="32970"/>
    <cellStyle name="Процентный 4 2 39 3" xfId="5799"/>
    <cellStyle name="Процентный 4 2 39 3 2" xfId="16479"/>
    <cellStyle name="Процентный 4 2 39 3 2 2" xfId="48523"/>
    <cellStyle name="Процентный 4 2 39 3 3" xfId="27160"/>
    <cellStyle name="Процентный 4 2 39 3 3 2" xfId="59203"/>
    <cellStyle name="Процентный 4 2 39 3 4" xfId="37843"/>
    <cellStyle name="Процентный 4 2 39 4" xfId="11139"/>
    <cellStyle name="Процентный 4 2 39 4 2" xfId="43183"/>
    <cellStyle name="Процентный 4 2 39 5" xfId="21820"/>
    <cellStyle name="Процентный 4 2 39 5 2" xfId="53863"/>
    <cellStyle name="Процентный 4 2 39 6" xfId="32503"/>
    <cellStyle name="Процентный 4 2 4" xfId="95"/>
    <cellStyle name="Процентный 4 2 4 2" xfId="563"/>
    <cellStyle name="Процентный 4 2 4 2 2" xfId="5906"/>
    <cellStyle name="Процентный 4 2 4 2 2 2" xfId="16586"/>
    <cellStyle name="Процентный 4 2 4 2 2 2 2" xfId="48630"/>
    <cellStyle name="Процентный 4 2 4 2 2 3" xfId="27267"/>
    <cellStyle name="Процентный 4 2 4 2 2 3 2" xfId="59310"/>
    <cellStyle name="Процентный 4 2 4 2 2 4" xfId="37950"/>
    <cellStyle name="Процентный 4 2 4 2 3" xfId="11246"/>
    <cellStyle name="Процентный 4 2 4 2 3 2" xfId="43290"/>
    <cellStyle name="Процентный 4 2 4 2 4" xfId="21927"/>
    <cellStyle name="Процентный 4 2 4 2 4 2" xfId="53970"/>
    <cellStyle name="Процентный 4 2 4 2 5" xfId="32610"/>
    <cellStyle name="Процентный 4 2 4 3" xfId="5439"/>
    <cellStyle name="Процентный 4 2 4 3 2" xfId="16119"/>
    <cellStyle name="Процентный 4 2 4 3 2 2" xfId="48163"/>
    <cellStyle name="Процентный 4 2 4 3 3" xfId="26800"/>
    <cellStyle name="Процентный 4 2 4 3 3 2" xfId="58843"/>
    <cellStyle name="Процентный 4 2 4 3 4" xfId="37483"/>
    <cellStyle name="Процентный 4 2 4 4" xfId="10779"/>
    <cellStyle name="Процентный 4 2 4 4 2" xfId="42823"/>
    <cellStyle name="Процентный 4 2 4 5" xfId="21460"/>
    <cellStyle name="Процентный 4 2 4 5 2" xfId="53503"/>
    <cellStyle name="Процентный 4 2 4 6" xfId="32143"/>
    <cellStyle name="Процентный 4 2 40" xfId="467"/>
    <cellStyle name="Процентный 4 2 40 2" xfId="935"/>
    <cellStyle name="Процентный 4 2 40 2 2" xfId="6278"/>
    <cellStyle name="Процентный 4 2 40 2 2 2" xfId="16958"/>
    <cellStyle name="Процентный 4 2 40 2 2 2 2" xfId="49002"/>
    <cellStyle name="Процентный 4 2 40 2 2 3" xfId="27639"/>
    <cellStyle name="Процентный 4 2 40 2 2 3 2" xfId="59682"/>
    <cellStyle name="Процентный 4 2 40 2 2 4" xfId="38322"/>
    <cellStyle name="Процентный 4 2 40 2 3" xfId="11618"/>
    <cellStyle name="Процентный 4 2 40 2 3 2" xfId="43662"/>
    <cellStyle name="Процентный 4 2 40 2 4" xfId="22299"/>
    <cellStyle name="Процентный 4 2 40 2 4 2" xfId="54342"/>
    <cellStyle name="Процентный 4 2 40 2 5" xfId="32982"/>
    <cellStyle name="Процентный 4 2 40 3" xfId="5811"/>
    <cellStyle name="Процентный 4 2 40 3 2" xfId="16491"/>
    <cellStyle name="Процентный 4 2 40 3 2 2" xfId="48535"/>
    <cellStyle name="Процентный 4 2 40 3 3" xfId="27172"/>
    <cellStyle name="Процентный 4 2 40 3 3 2" xfId="59215"/>
    <cellStyle name="Процентный 4 2 40 3 4" xfId="37855"/>
    <cellStyle name="Процентный 4 2 40 4" xfId="11151"/>
    <cellStyle name="Процентный 4 2 40 4 2" xfId="43195"/>
    <cellStyle name="Процентный 4 2 40 5" xfId="21832"/>
    <cellStyle name="Процентный 4 2 40 5 2" xfId="53875"/>
    <cellStyle name="Процентный 4 2 40 6" xfId="32515"/>
    <cellStyle name="Процентный 4 2 41" xfId="479"/>
    <cellStyle name="Процентный 4 2 41 2" xfId="947"/>
    <cellStyle name="Процентный 4 2 41 2 2" xfId="6290"/>
    <cellStyle name="Процентный 4 2 41 2 2 2" xfId="16970"/>
    <cellStyle name="Процентный 4 2 41 2 2 2 2" xfId="49014"/>
    <cellStyle name="Процентный 4 2 41 2 2 3" xfId="27651"/>
    <cellStyle name="Процентный 4 2 41 2 2 3 2" xfId="59694"/>
    <cellStyle name="Процентный 4 2 41 2 2 4" xfId="38334"/>
    <cellStyle name="Процентный 4 2 41 2 3" xfId="11630"/>
    <cellStyle name="Процентный 4 2 41 2 3 2" xfId="43674"/>
    <cellStyle name="Процентный 4 2 41 2 4" xfId="22311"/>
    <cellStyle name="Процентный 4 2 41 2 4 2" xfId="54354"/>
    <cellStyle name="Процентный 4 2 41 2 5" xfId="32994"/>
    <cellStyle name="Процентный 4 2 41 3" xfId="5823"/>
    <cellStyle name="Процентный 4 2 41 3 2" xfId="16503"/>
    <cellStyle name="Процентный 4 2 41 3 2 2" xfId="48547"/>
    <cellStyle name="Процентный 4 2 41 3 3" xfId="27184"/>
    <cellStyle name="Процентный 4 2 41 3 3 2" xfId="59227"/>
    <cellStyle name="Процентный 4 2 41 3 4" xfId="37867"/>
    <cellStyle name="Процентный 4 2 41 4" xfId="11163"/>
    <cellStyle name="Процентный 4 2 41 4 2" xfId="43207"/>
    <cellStyle name="Процентный 4 2 41 5" xfId="21844"/>
    <cellStyle name="Процентный 4 2 41 5 2" xfId="53887"/>
    <cellStyle name="Процентный 4 2 41 6" xfId="32527"/>
    <cellStyle name="Процентный 4 2 42" xfId="491"/>
    <cellStyle name="Процентный 4 2 42 2" xfId="959"/>
    <cellStyle name="Процентный 4 2 42 2 2" xfId="6302"/>
    <cellStyle name="Процентный 4 2 42 2 2 2" xfId="16982"/>
    <cellStyle name="Процентный 4 2 42 2 2 2 2" xfId="49026"/>
    <cellStyle name="Процентный 4 2 42 2 2 3" xfId="27663"/>
    <cellStyle name="Процентный 4 2 42 2 2 3 2" xfId="59706"/>
    <cellStyle name="Процентный 4 2 42 2 2 4" xfId="38346"/>
    <cellStyle name="Процентный 4 2 42 2 3" xfId="11642"/>
    <cellStyle name="Процентный 4 2 42 2 3 2" xfId="43686"/>
    <cellStyle name="Процентный 4 2 42 2 4" xfId="22323"/>
    <cellStyle name="Процентный 4 2 42 2 4 2" xfId="54366"/>
    <cellStyle name="Процентный 4 2 42 2 5" xfId="33006"/>
    <cellStyle name="Процентный 4 2 42 3" xfId="5835"/>
    <cellStyle name="Процентный 4 2 42 3 2" xfId="16515"/>
    <cellStyle name="Процентный 4 2 42 3 2 2" xfId="48559"/>
    <cellStyle name="Процентный 4 2 42 3 3" xfId="27196"/>
    <cellStyle name="Процентный 4 2 42 3 3 2" xfId="59239"/>
    <cellStyle name="Процентный 4 2 42 3 4" xfId="37879"/>
    <cellStyle name="Процентный 4 2 42 4" xfId="11175"/>
    <cellStyle name="Процентный 4 2 42 4 2" xfId="43219"/>
    <cellStyle name="Процентный 4 2 42 5" xfId="21856"/>
    <cellStyle name="Процентный 4 2 42 5 2" xfId="53899"/>
    <cellStyle name="Процентный 4 2 42 6" xfId="32539"/>
    <cellStyle name="Процентный 4 2 43" xfId="503"/>
    <cellStyle name="Процентный 4 2 43 2" xfId="5846"/>
    <cellStyle name="Процентный 4 2 43 2 2" xfId="16526"/>
    <cellStyle name="Процентный 4 2 43 2 2 2" xfId="48570"/>
    <cellStyle name="Процентный 4 2 43 2 3" xfId="27207"/>
    <cellStyle name="Процентный 4 2 43 2 3 2" xfId="59250"/>
    <cellStyle name="Процентный 4 2 43 2 4" xfId="37890"/>
    <cellStyle name="Процентный 4 2 43 3" xfId="11186"/>
    <cellStyle name="Процентный 4 2 43 3 2" xfId="43230"/>
    <cellStyle name="Процентный 4 2 43 4" xfId="21867"/>
    <cellStyle name="Процентный 4 2 43 4 2" xfId="53910"/>
    <cellStyle name="Процентный 4 2 43 5" xfId="32550"/>
    <cellStyle name="Процентный 4 2 44" xfId="971"/>
    <cellStyle name="Процентный 4 2 44 2" xfId="6314"/>
    <cellStyle name="Процентный 4 2 44 2 2" xfId="16994"/>
    <cellStyle name="Процентный 4 2 44 2 2 2" xfId="49038"/>
    <cellStyle name="Процентный 4 2 44 2 3" xfId="27675"/>
    <cellStyle name="Процентный 4 2 44 2 3 2" xfId="59718"/>
    <cellStyle name="Процентный 4 2 44 2 4" xfId="38358"/>
    <cellStyle name="Процентный 4 2 44 3" xfId="11654"/>
    <cellStyle name="Процентный 4 2 44 3 2" xfId="43698"/>
    <cellStyle name="Процентный 4 2 44 4" xfId="22335"/>
    <cellStyle name="Процентный 4 2 44 4 2" xfId="54378"/>
    <cellStyle name="Процентный 4 2 44 5" xfId="33018"/>
    <cellStyle name="Процентный 4 2 45" xfId="995"/>
    <cellStyle name="Процентный 4 2 45 2" xfId="6338"/>
    <cellStyle name="Процентный 4 2 45 2 2" xfId="17018"/>
    <cellStyle name="Процентный 4 2 45 2 2 2" xfId="49062"/>
    <cellStyle name="Процентный 4 2 45 2 3" xfId="27699"/>
    <cellStyle name="Процентный 4 2 45 2 3 2" xfId="59742"/>
    <cellStyle name="Процентный 4 2 45 2 4" xfId="38382"/>
    <cellStyle name="Процентный 4 2 45 3" xfId="11678"/>
    <cellStyle name="Процентный 4 2 45 3 2" xfId="43722"/>
    <cellStyle name="Процентный 4 2 45 4" xfId="22359"/>
    <cellStyle name="Процентный 4 2 45 4 2" xfId="54402"/>
    <cellStyle name="Процентный 4 2 45 5" xfId="33042"/>
    <cellStyle name="Процентный 4 2 46" xfId="1019"/>
    <cellStyle name="Процентный 4 2 46 2" xfId="6362"/>
    <cellStyle name="Процентный 4 2 46 2 2" xfId="17042"/>
    <cellStyle name="Процентный 4 2 46 2 2 2" xfId="49086"/>
    <cellStyle name="Процентный 4 2 46 2 3" xfId="27723"/>
    <cellStyle name="Процентный 4 2 46 2 3 2" xfId="59766"/>
    <cellStyle name="Процентный 4 2 46 2 4" xfId="38406"/>
    <cellStyle name="Процентный 4 2 46 3" xfId="11702"/>
    <cellStyle name="Процентный 4 2 46 3 2" xfId="43746"/>
    <cellStyle name="Процентный 4 2 46 4" xfId="22383"/>
    <cellStyle name="Процентный 4 2 46 4 2" xfId="54426"/>
    <cellStyle name="Процентный 4 2 46 5" xfId="33066"/>
    <cellStyle name="Процентный 4 2 47" xfId="1045"/>
    <cellStyle name="Процентный 4 2 47 2" xfId="6388"/>
    <cellStyle name="Процентный 4 2 47 2 2" xfId="17068"/>
    <cellStyle name="Процентный 4 2 47 2 2 2" xfId="49112"/>
    <cellStyle name="Процентный 4 2 47 2 3" xfId="27749"/>
    <cellStyle name="Процентный 4 2 47 2 3 2" xfId="59792"/>
    <cellStyle name="Процентный 4 2 47 2 4" xfId="38432"/>
    <cellStyle name="Процентный 4 2 47 3" xfId="11728"/>
    <cellStyle name="Процентный 4 2 47 3 2" xfId="43772"/>
    <cellStyle name="Процентный 4 2 47 4" xfId="22409"/>
    <cellStyle name="Процентный 4 2 47 4 2" xfId="54452"/>
    <cellStyle name="Процентный 4 2 47 5" xfId="33092"/>
    <cellStyle name="Процентный 4 2 48" xfId="1071"/>
    <cellStyle name="Процентный 4 2 48 2" xfId="6414"/>
    <cellStyle name="Процентный 4 2 48 2 2" xfId="17094"/>
    <cellStyle name="Процентный 4 2 48 2 2 2" xfId="49138"/>
    <cellStyle name="Процентный 4 2 48 2 3" xfId="27775"/>
    <cellStyle name="Процентный 4 2 48 2 3 2" xfId="59818"/>
    <cellStyle name="Процентный 4 2 48 2 4" xfId="38458"/>
    <cellStyle name="Процентный 4 2 48 3" xfId="11754"/>
    <cellStyle name="Процентный 4 2 48 3 2" xfId="43798"/>
    <cellStyle name="Процентный 4 2 48 4" xfId="22435"/>
    <cellStyle name="Процентный 4 2 48 4 2" xfId="54478"/>
    <cellStyle name="Процентный 4 2 48 5" xfId="33118"/>
    <cellStyle name="Процентный 4 2 49" xfId="1097"/>
    <cellStyle name="Процентный 4 2 49 2" xfId="6440"/>
    <cellStyle name="Процентный 4 2 49 2 2" xfId="17120"/>
    <cellStyle name="Процентный 4 2 49 2 2 2" xfId="49164"/>
    <cellStyle name="Процентный 4 2 49 2 3" xfId="27801"/>
    <cellStyle name="Процентный 4 2 49 2 3 2" xfId="59844"/>
    <cellStyle name="Процентный 4 2 49 2 4" xfId="38484"/>
    <cellStyle name="Процентный 4 2 49 3" xfId="11780"/>
    <cellStyle name="Процентный 4 2 49 3 2" xfId="43824"/>
    <cellStyle name="Процентный 4 2 49 4" xfId="22461"/>
    <cellStyle name="Процентный 4 2 49 4 2" xfId="54504"/>
    <cellStyle name="Процентный 4 2 49 5" xfId="33144"/>
    <cellStyle name="Процентный 4 2 5" xfId="105"/>
    <cellStyle name="Процентный 4 2 5 2" xfId="573"/>
    <cellStyle name="Процентный 4 2 5 2 2" xfId="5916"/>
    <cellStyle name="Процентный 4 2 5 2 2 2" xfId="16596"/>
    <cellStyle name="Процентный 4 2 5 2 2 2 2" xfId="48640"/>
    <cellStyle name="Процентный 4 2 5 2 2 3" xfId="27277"/>
    <cellStyle name="Процентный 4 2 5 2 2 3 2" xfId="59320"/>
    <cellStyle name="Процентный 4 2 5 2 2 4" xfId="37960"/>
    <cellStyle name="Процентный 4 2 5 2 3" xfId="11256"/>
    <cellStyle name="Процентный 4 2 5 2 3 2" xfId="43300"/>
    <cellStyle name="Процентный 4 2 5 2 4" xfId="21937"/>
    <cellStyle name="Процентный 4 2 5 2 4 2" xfId="53980"/>
    <cellStyle name="Процентный 4 2 5 2 5" xfId="32620"/>
    <cellStyle name="Процентный 4 2 5 3" xfId="5449"/>
    <cellStyle name="Процентный 4 2 5 3 2" xfId="16129"/>
    <cellStyle name="Процентный 4 2 5 3 2 2" xfId="48173"/>
    <cellStyle name="Процентный 4 2 5 3 3" xfId="26810"/>
    <cellStyle name="Процентный 4 2 5 3 3 2" xfId="58853"/>
    <cellStyle name="Процентный 4 2 5 3 4" xfId="37493"/>
    <cellStyle name="Процентный 4 2 5 4" xfId="10789"/>
    <cellStyle name="Процентный 4 2 5 4 2" xfId="42833"/>
    <cellStyle name="Процентный 4 2 5 5" xfId="21470"/>
    <cellStyle name="Процентный 4 2 5 5 2" xfId="53513"/>
    <cellStyle name="Процентный 4 2 5 6" xfId="32153"/>
    <cellStyle name="Процентный 4 2 50" xfId="1123"/>
    <cellStyle name="Процентный 4 2 50 2" xfId="6466"/>
    <cellStyle name="Процентный 4 2 50 2 2" xfId="17146"/>
    <cellStyle name="Процентный 4 2 50 2 2 2" xfId="49190"/>
    <cellStyle name="Процентный 4 2 50 2 3" xfId="27827"/>
    <cellStyle name="Процентный 4 2 50 2 3 2" xfId="59870"/>
    <cellStyle name="Процентный 4 2 50 2 4" xfId="38510"/>
    <cellStyle name="Процентный 4 2 50 3" xfId="11806"/>
    <cellStyle name="Процентный 4 2 50 3 2" xfId="43850"/>
    <cellStyle name="Процентный 4 2 50 4" xfId="22487"/>
    <cellStyle name="Процентный 4 2 50 4 2" xfId="54530"/>
    <cellStyle name="Процентный 4 2 50 5" xfId="33170"/>
    <cellStyle name="Процентный 4 2 51" xfId="1149"/>
    <cellStyle name="Процентный 4 2 51 2" xfId="6492"/>
    <cellStyle name="Процентный 4 2 51 2 2" xfId="17172"/>
    <cellStyle name="Процентный 4 2 51 2 2 2" xfId="49216"/>
    <cellStyle name="Процентный 4 2 51 2 3" xfId="27853"/>
    <cellStyle name="Процентный 4 2 51 2 3 2" xfId="59896"/>
    <cellStyle name="Процентный 4 2 51 2 4" xfId="38536"/>
    <cellStyle name="Процентный 4 2 51 3" xfId="11832"/>
    <cellStyle name="Процентный 4 2 51 3 2" xfId="43876"/>
    <cellStyle name="Процентный 4 2 51 4" xfId="22513"/>
    <cellStyle name="Процентный 4 2 51 4 2" xfId="54556"/>
    <cellStyle name="Процентный 4 2 51 5" xfId="33196"/>
    <cellStyle name="Процентный 4 2 52" xfId="1175"/>
    <cellStyle name="Процентный 4 2 52 2" xfId="6518"/>
    <cellStyle name="Процентный 4 2 52 2 2" xfId="17198"/>
    <cellStyle name="Процентный 4 2 52 2 2 2" xfId="49242"/>
    <cellStyle name="Процентный 4 2 52 2 3" xfId="27879"/>
    <cellStyle name="Процентный 4 2 52 2 3 2" xfId="59922"/>
    <cellStyle name="Процентный 4 2 52 2 4" xfId="38562"/>
    <cellStyle name="Процентный 4 2 52 3" xfId="11858"/>
    <cellStyle name="Процентный 4 2 52 3 2" xfId="43902"/>
    <cellStyle name="Процентный 4 2 52 4" xfId="22539"/>
    <cellStyle name="Процентный 4 2 52 4 2" xfId="54582"/>
    <cellStyle name="Процентный 4 2 52 5" xfId="33222"/>
    <cellStyle name="Процентный 4 2 53" xfId="1201"/>
    <cellStyle name="Процентный 4 2 53 2" xfId="6544"/>
    <cellStyle name="Процентный 4 2 53 2 2" xfId="17224"/>
    <cellStyle name="Процентный 4 2 53 2 2 2" xfId="49268"/>
    <cellStyle name="Процентный 4 2 53 2 3" xfId="27905"/>
    <cellStyle name="Процентный 4 2 53 2 3 2" xfId="59948"/>
    <cellStyle name="Процентный 4 2 53 2 4" xfId="38588"/>
    <cellStyle name="Процентный 4 2 53 3" xfId="11884"/>
    <cellStyle name="Процентный 4 2 53 3 2" xfId="43928"/>
    <cellStyle name="Процентный 4 2 53 4" xfId="22565"/>
    <cellStyle name="Процентный 4 2 53 4 2" xfId="54608"/>
    <cellStyle name="Процентный 4 2 53 5" xfId="33248"/>
    <cellStyle name="Процентный 4 2 54" xfId="1227"/>
    <cellStyle name="Процентный 4 2 54 2" xfId="6570"/>
    <cellStyle name="Процентный 4 2 54 2 2" xfId="17250"/>
    <cellStyle name="Процентный 4 2 54 2 2 2" xfId="49294"/>
    <cellStyle name="Процентный 4 2 54 2 3" xfId="27931"/>
    <cellStyle name="Процентный 4 2 54 2 3 2" xfId="59974"/>
    <cellStyle name="Процентный 4 2 54 2 4" xfId="38614"/>
    <cellStyle name="Процентный 4 2 54 3" xfId="11910"/>
    <cellStyle name="Процентный 4 2 54 3 2" xfId="43954"/>
    <cellStyle name="Процентный 4 2 54 4" xfId="22591"/>
    <cellStyle name="Процентный 4 2 54 4 2" xfId="54634"/>
    <cellStyle name="Процентный 4 2 54 5" xfId="33274"/>
    <cellStyle name="Процентный 4 2 55" xfId="1253"/>
    <cellStyle name="Процентный 4 2 55 2" xfId="6596"/>
    <cellStyle name="Процентный 4 2 55 2 2" xfId="17276"/>
    <cellStyle name="Процентный 4 2 55 2 2 2" xfId="49320"/>
    <cellStyle name="Процентный 4 2 55 2 3" xfId="27957"/>
    <cellStyle name="Процентный 4 2 55 2 3 2" xfId="60000"/>
    <cellStyle name="Процентный 4 2 55 2 4" xfId="38640"/>
    <cellStyle name="Процентный 4 2 55 3" xfId="11936"/>
    <cellStyle name="Процентный 4 2 55 3 2" xfId="43980"/>
    <cellStyle name="Процентный 4 2 55 4" xfId="22617"/>
    <cellStyle name="Процентный 4 2 55 4 2" xfId="54660"/>
    <cellStyle name="Процентный 4 2 55 5" xfId="33300"/>
    <cellStyle name="Процентный 4 2 56" xfId="1279"/>
    <cellStyle name="Процентный 4 2 56 2" xfId="6622"/>
    <cellStyle name="Процентный 4 2 56 2 2" xfId="17302"/>
    <cellStyle name="Процентный 4 2 56 2 2 2" xfId="49346"/>
    <cellStyle name="Процентный 4 2 56 2 3" xfId="27983"/>
    <cellStyle name="Процентный 4 2 56 2 3 2" xfId="60026"/>
    <cellStyle name="Процентный 4 2 56 2 4" xfId="38666"/>
    <cellStyle name="Процентный 4 2 56 3" xfId="11962"/>
    <cellStyle name="Процентный 4 2 56 3 2" xfId="44006"/>
    <cellStyle name="Процентный 4 2 56 4" xfId="22643"/>
    <cellStyle name="Процентный 4 2 56 4 2" xfId="54686"/>
    <cellStyle name="Процентный 4 2 56 5" xfId="33326"/>
    <cellStyle name="Процентный 4 2 57" xfId="1306"/>
    <cellStyle name="Процентный 4 2 57 2" xfId="6648"/>
    <cellStyle name="Процентный 4 2 57 2 2" xfId="17328"/>
    <cellStyle name="Процентный 4 2 57 2 2 2" xfId="49372"/>
    <cellStyle name="Процентный 4 2 57 2 3" xfId="28009"/>
    <cellStyle name="Процентный 4 2 57 2 3 2" xfId="60052"/>
    <cellStyle name="Процентный 4 2 57 2 4" xfId="38692"/>
    <cellStyle name="Процентный 4 2 57 3" xfId="11988"/>
    <cellStyle name="Процентный 4 2 57 3 2" xfId="44032"/>
    <cellStyle name="Процентный 4 2 57 4" xfId="22669"/>
    <cellStyle name="Процентный 4 2 57 4 2" xfId="54712"/>
    <cellStyle name="Процентный 4 2 57 5" xfId="33352"/>
    <cellStyle name="Процентный 4 2 58" xfId="1332"/>
    <cellStyle name="Процентный 4 2 58 2" xfId="6674"/>
    <cellStyle name="Процентный 4 2 58 2 2" xfId="17354"/>
    <cellStyle name="Процентный 4 2 58 2 2 2" xfId="49398"/>
    <cellStyle name="Процентный 4 2 58 2 3" xfId="28035"/>
    <cellStyle name="Процентный 4 2 58 2 3 2" xfId="60078"/>
    <cellStyle name="Процентный 4 2 58 2 4" xfId="38718"/>
    <cellStyle name="Процентный 4 2 58 3" xfId="12014"/>
    <cellStyle name="Процентный 4 2 58 3 2" xfId="44058"/>
    <cellStyle name="Процентный 4 2 58 4" xfId="22695"/>
    <cellStyle name="Процентный 4 2 58 4 2" xfId="54738"/>
    <cellStyle name="Процентный 4 2 58 5" xfId="33378"/>
    <cellStyle name="Процентный 4 2 59" xfId="1358"/>
    <cellStyle name="Процентный 4 2 59 2" xfId="6700"/>
    <cellStyle name="Процентный 4 2 59 2 2" xfId="17380"/>
    <cellStyle name="Процентный 4 2 59 2 2 2" xfId="49424"/>
    <cellStyle name="Процентный 4 2 59 2 3" xfId="28061"/>
    <cellStyle name="Процентный 4 2 59 2 3 2" xfId="60104"/>
    <cellStyle name="Процентный 4 2 59 2 4" xfId="38744"/>
    <cellStyle name="Процентный 4 2 59 3" xfId="12040"/>
    <cellStyle name="Процентный 4 2 59 3 2" xfId="44084"/>
    <cellStyle name="Процентный 4 2 59 4" xfId="22721"/>
    <cellStyle name="Процентный 4 2 59 4 2" xfId="54764"/>
    <cellStyle name="Процентный 4 2 59 5" xfId="33404"/>
    <cellStyle name="Процентный 4 2 6" xfId="115"/>
    <cellStyle name="Процентный 4 2 6 2" xfId="583"/>
    <cellStyle name="Процентный 4 2 6 2 2" xfId="5926"/>
    <cellStyle name="Процентный 4 2 6 2 2 2" xfId="16606"/>
    <cellStyle name="Процентный 4 2 6 2 2 2 2" xfId="48650"/>
    <cellStyle name="Процентный 4 2 6 2 2 3" xfId="27287"/>
    <cellStyle name="Процентный 4 2 6 2 2 3 2" xfId="59330"/>
    <cellStyle name="Процентный 4 2 6 2 2 4" xfId="37970"/>
    <cellStyle name="Процентный 4 2 6 2 3" xfId="11266"/>
    <cellStyle name="Процентный 4 2 6 2 3 2" xfId="43310"/>
    <cellStyle name="Процентный 4 2 6 2 4" xfId="21947"/>
    <cellStyle name="Процентный 4 2 6 2 4 2" xfId="53990"/>
    <cellStyle name="Процентный 4 2 6 2 5" xfId="32630"/>
    <cellStyle name="Процентный 4 2 6 3" xfId="5459"/>
    <cellStyle name="Процентный 4 2 6 3 2" xfId="16139"/>
    <cellStyle name="Процентный 4 2 6 3 2 2" xfId="48183"/>
    <cellStyle name="Процентный 4 2 6 3 3" xfId="26820"/>
    <cellStyle name="Процентный 4 2 6 3 3 2" xfId="58863"/>
    <cellStyle name="Процентный 4 2 6 3 4" xfId="37503"/>
    <cellStyle name="Процентный 4 2 6 4" xfId="10799"/>
    <cellStyle name="Процентный 4 2 6 4 2" xfId="42843"/>
    <cellStyle name="Процентный 4 2 6 5" xfId="21480"/>
    <cellStyle name="Процентный 4 2 6 5 2" xfId="53523"/>
    <cellStyle name="Процентный 4 2 6 6" xfId="32163"/>
    <cellStyle name="Процентный 4 2 60" xfId="1384"/>
    <cellStyle name="Процентный 4 2 60 2" xfId="6726"/>
    <cellStyle name="Процентный 4 2 60 2 2" xfId="17406"/>
    <cellStyle name="Процентный 4 2 60 2 2 2" xfId="49450"/>
    <cellStyle name="Процентный 4 2 60 2 3" xfId="28087"/>
    <cellStyle name="Процентный 4 2 60 2 3 2" xfId="60130"/>
    <cellStyle name="Процентный 4 2 60 2 4" xfId="38770"/>
    <cellStyle name="Процентный 4 2 60 3" xfId="12066"/>
    <cellStyle name="Процентный 4 2 60 3 2" xfId="44110"/>
    <cellStyle name="Процентный 4 2 60 4" xfId="22747"/>
    <cellStyle name="Процентный 4 2 60 4 2" xfId="54790"/>
    <cellStyle name="Процентный 4 2 60 5" xfId="33430"/>
    <cellStyle name="Процентный 4 2 61" xfId="1410"/>
    <cellStyle name="Процентный 4 2 61 2" xfId="6752"/>
    <cellStyle name="Процентный 4 2 61 2 2" xfId="17432"/>
    <cellStyle name="Процентный 4 2 61 2 2 2" xfId="49476"/>
    <cellStyle name="Процентный 4 2 61 2 3" xfId="28113"/>
    <cellStyle name="Процентный 4 2 61 2 3 2" xfId="60156"/>
    <cellStyle name="Процентный 4 2 61 2 4" xfId="38796"/>
    <cellStyle name="Процентный 4 2 61 3" xfId="12092"/>
    <cellStyle name="Процентный 4 2 61 3 2" xfId="44136"/>
    <cellStyle name="Процентный 4 2 61 4" xfId="22773"/>
    <cellStyle name="Процентный 4 2 61 4 2" xfId="54816"/>
    <cellStyle name="Процентный 4 2 61 5" xfId="33456"/>
    <cellStyle name="Процентный 4 2 62" xfId="1436"/>
    <cellStyle name="Процентный 4 2 62 2" xfId="6778"/>
    <cellStyle name="Процентный 4 2 62 2 2" xfId="17458"/>
    <cellStyle name="Процентный 4 2 62 2 2 2" xfId="49502"/>
    <cellStyle name="Процентный 4 2 62 2 3" xfId="28139"/>
    <cellStyle name="Процентный 4 2 62 2 3 2" xfId="60182"/>
    <cellStyle name="Процентный 4 2 62 2 4" xfId="38822"/>
    <cellStyle name="Процентный 4 2 62 3" xfId="12118"/>
    <cellStyle name="Процентный 4 2 62 3 2" xfId="44162"/>
    <cellStyle name="Процентный 4 2 62 4" xfId="22799"/>
    <cellStyle name="Процентный 4 2 62 4 2" xfId="54842"/>
    <cellStyle name="Процентный 4 2 62 5" xfId="33482"/>
    <cellStyle name="Процентный 4 2 63" xfId="1462"/>
    <cellStyle name="Процентный 4 2 63 2" xfId="6804"/>
    <cellStyle name="Процентный 4 2 63 2 2" xfId="17484"/>
    <cellStyle name="Процентный 4 2 63 2 2 2" xfId="49528"/>
    <cellStyle name="Процентный 4 2 63 2 3" xfId="28165"/>
    <cellStyle name="Процентный 4 2 63 2 3 2" xfId="60208"/>
    <cellStyle name="Процентный 4 2 63 2 4" xfId="38848"/>
    <cellStyle name="Процентный 4 2 63 3" xfId="12144"/>
    <cellStyle name="Процентный 4 2 63 3 2" xfId="44188"/>
    <cellStyle name="Процентный 4 2 63 4" xfId="22825"/>
    <cellStyle name="Процентный 4 2 63 4 2" xfId="54868"/>
    <cellStyle name="Процентный 4 2 63 5" xfId="33508"/>
    <cellStyle name="Процентный 4 2 64" xfId="1488"/>
    <cellStyle name="Процентный 4 2 64 2" xfId="6830"/>
    <cellStyle name="Процентный 4 2 64 2 2" xfId="17510"/>
    <cellStyle name="Процентный 4 2 64 2 2 2" xfId="49554"/>
    <cellStyle name="Процентный 4 2 64 2 3" xfId="28191"/>
    <cellStyle name="Процентный 4 2 64 2 3 2" xfId="60234"/>
    <cellStyle name="Процентный 4 2 64 2 4" xfId="38874"/>
    <cellStyle name="Процентный 4 2 64 3" xfId="12170"/>
    <cellStyle name="Процентный 4 2 64 3 2" xfId="44214"/>
    <cellStyle name="Процентный 4 2 64 4" xfId="22851"/>
    <cellStyle name="Процентный 4 2 64 4 2" xfId="54894"/>
    <cellStyle name="Процентный 4 2 64 5" xfId="33534"/>
    <cellStyle name="Процентный 4 2 65" xfId="1514"/>
    <cellStyle name="Процентный 4 2 65 2" xfId="6856"/>
    <cellStyle name="Процентный 4 2 65 2 2" xfId="17536"/>
    <cellStyle name="Процентный 4 2 65 2 2 2" xfId="49580"/>
    <cellStyle name="Процентный 4 2 65 2 3" xfId="28217"/>
    <cellStyle name="Процентный 4 2 65 2 3 2" xfId="60260"/>
    <cellStyle name="Процентный 4 2 65 2 4" xfId="38900"/>
    <cellStyle name="Процентный 4 2 65 3" xfId="12196"/>
    <cellStyle name="Процентный 4 2 65 3 2" xfId="44240"/>
    <cellStyle name="Процентный 4 2 65 4" xfId="22877"/>
    <cellStyle name="Процентный 4 2 65 4 2" xfId="54920"/>
    <cellStyle name="Процентный 4 2 65 5" xfId="33560"/>
    <cellStyle name="Процентный 4 2 66" xfId="1540"/>
    <cellStyle name="Процентный 4 2 66 2" xfId="6882"/>
    <cellStyle name="Процентный 4 2 66 2 2" xfId="17562"/>
    <cellStyle name="Процентный 4 2 66 2 2 2" xfId="49606"/>
    <cellStyle name="Процентный 4 2 66 2 3" xfId="28243"/>
    <cellStyle name="Процентный 4 2 66 2 3 2" xfId="60286"/>
    <cellStyle name="Процентный 4 2 66 2 4" xfId="38926"/>
    <cellStyle name="Процентный 4 2 66 3" xfId="12222"/>
    <cellStyle name="Процентный 4 2 66 3 2" xfId="44266"/>
    <cellStyle name="Процентный 4 2 66 4" xfId="22903"/>
    <cellStyle name="Процентный 4 2 66 4 2" xfId="54946"/>
    <cellStyle name="Процентный 4 2 66 5" xfId="33586"/>
    <cellStyle name="Процентный 4 2 67" xfId="1566"/>
    <cellStyle name="Процентный 4 2 67 2" xfId="6908"/>
    <cellStyle name="Процентный 4 2 67 2 2" xfId="17588"/>
    <cellStyle name="Процентный 4 2 67 2 2 2" xfId="49632"/>
    <cellStyle name="Процентный 4 2 67 2 3" xfId="28269"/>
    <cellStyle name="Процентный 4 2 67 2 3 2" xfId="60312"/>
    <cellStyle name="Процентный 4 2 67 2 4" xfId="38952"/>
    <cellStyle name="Процентный 4 2 67 3" xfId="12248"/>
    <cellStyle name="Процентный 4 2 67 3 2" xfId="44292"/>
    <cellStyle name="Процентный 4 2 67 4" xfId="22929"/>
    <cellStyle name="Процентный 4 2 67 4 2" xfId="54972"/>
    <cellStyle name="Процентный 4 2 67 5" xfId="33612"/>
    <cellStyle name="Процентный 4 2 68" xfId="1592"/>
    <cellStyle name="Процентный 4 2 68 2" xfId="6934"/>
    <cellStyle name="Процентный 4 2 68 2 2" xfId="17614"/>
    <cellStyle name="Процентный 4 2 68 2 2 2" xfId="49658"/>
    <cellStyle name="Процентный 4 2 68 2 3" xfId="28295"/>
    <cellStyle name="Процентный 4 2 68 2 3 2" xfId="60338"/>
    <cellStyle name="Процентный 4 2 68 2 4" xfId="38978"/>
    <cellStyle name="Процентный 4 2 68 3" xfId="12274"/>
    <cellStyle name="Процентный 4 2 68 3 2" xfId="44318"/>
    <cellStyle name="Процентный 4 2 68 4" xfId="22955"/>
    <cellStyle name="Процентный 4 2 68 4 2" xfId="54998"/>
    <cellStyle name="Процентный 4 2 68 5" xfId="33638"/>
    <cellStyle name="Процентный 4 2 69" xfId="1618"/>
    <cellStyle name="Процентный 4 2 69 2" xfId="6960"/>
    <cellStyle name="Процентный 4 2 69 2 2" xfId="17640"/>
    <cellStyle name="Процентный 4 2 69 2 2 2" xfId="49684"/>
    <cellStyle name="Процентный 4 2 69 2 3" xfId="28321"/>
    <cellStyle name="Процентный 4 2 69 2 3 2" xfId="60364"/>
    <cellStyle name="Процентный 4 2 69 2 4" xfId="39004"/>
    <cellStyle name="Процентный 4 2 69 3" xfId="12300"/>
    <cellStyle name="Процентный 4 2 69 3 2" xfId="44344"/>
    <cellStyle name="Процентный 4 2 69 4" xfId="22981"/>
    <cellStyle name="Процентный 4 2 69 4 2" xfId="55024"/>
    <cellStyle name="Процентный 4 2 69 5" xfId="33664"/>
    <cellStyle name="Процентный 4 2 7" xfId="125"/>
    <cellStyle name="Процентный 4 2 7 2" xfId="593"/>
    <cellStyle name="Процентный 4 2 7 2 2" xfId="5936"/>
    <cellStyle name="Процентный 4 2 7 2 2 2" xfId="16616"/>
    <cellStyle name="Процентный 4 2 7 2 2 2 2" xfId="48660"/>
    <cellStyle name="Процентный 4 2 7 2 2 3" xfId="27297"/>
    <cellStyle name="Процентный 4 2 7 2 2 3 2" xfId="59340"/>
    <cellStyle name="Процентный 4 2 7 2 2 4" xfId="37980"/>
    <cellStyle name="Процентный 4 2 7 2 3" xfId="11276"/>
    <cellStyle name="Процентный 4 2 7 2 3 2" xfId="43320"/>
    <cellStyle name="Процентный 4 2 7 2 4" xfId="21957"/>
    <cellStyle name="Процентный 4 2 7 2 4 2" xfId="54000"/>
    <cellStyle name="Процентный 4 2 7 2 5" xfId="32640"/>
    <cellStyle name="Процентный 4 2 7 3" xfId="5469"/>
    <cellStyle name="Процентный 4 2 7 3 2" xfId="16149"/>
    <cellStyle name="Процентный 4 2 7 3 2 2" xfId="48193"/>
    <cellStyle name="Процентный 4 2 7 3 3" xfId="26830"/>
    <cellStyle name="Процентный 4 2 7 3 3 2" xfId="58873"/>
    <cellStyle name="Процентный 4 2 7 3 4" xfId="37513"/>
    <cellStyle name="Процентный 4 2 7 4" xfId="10809"/>
    <cellStyle name="Процентный 4 2 7 4 2" xfId="42853"/>
    <cellStyle name="Процентный 4 2 7 5" xfId="21490"/>
    <cellStyle name="Процентный 4 2 7 5 2" xfId="53533"/>
    <cellStyle name="Процентный 4 2 7 6" xfId="32173"/>
    <cellStyle name="Процентный 4 2 70" xfId="1644"/>
    <cellStyle name="Процентный 4 2 70 2" xfId="6986"/>
    <cellStyle name="Процентный 4 2 70 2 2" xfId="17666"/>
    <cellStyle name="Процентный 4 2 70 2 2 2" xfId="49710"/>
    <cellStyle name="Процентный 4 2 70 2 3" xfId="28347"/>
    <cellStyle name="Процентный 4 2 70 2 3 2" xfId="60390"/>
    <cellStyle name="Процентный 4 2 70 2 4" xfId="39030"/>
    <cellStyle name="Процентный 4 2 70 3" xfId="12326"/>
    <cellStyle name="Процентный 4 2 70 3 2" xfId="44370"/>
    <cellStyle name="Процентный 4 2 70 4" xfId="23007"/>
    <cellStyle name="Процентный 4 2 70 4 2" xfId="55050"/>
    <cellStyle name="Процентный 4 2 70 5" xfId="33690"/>
    <cellStyle name="Процентный 4 2 71" xfId="1670"/>
    <cellStyle name="Процентный 4 2 71 2" xfId="7012"/>
    <cellStyle name="Процентный 4 2 71 2 2" xfId="17692"/>
    <cellStyle name="Процентный 4 2 71 2 2 2" xfId="49736"/>
    <cellStyle name="Процентный 4 2 71 2 3" xfId="28373"/>
    <cellStyle name="Процентный 4 2 71 2 3 2" xfId="60416"/>
    <cellStyle name="Процентный 4 2 71 2 4" xfId="39056"/>
    <cellStyle name="Процентный 4 2 71 3" xfId="12352"/>
    <cellStyle name="Процентный 4 2 71 3 2" xfId="44396"/>
    <cellStyle name="Процентный 4 2 71 4" xfId="23033"/>
    <cellStyle name="Процентный 4 2 71 4 2" xfId="55076"/>
    <cellStyle name="Процентный 4 2 71 5" xfId="33716"/>
    <cellStyle name="Процентный 4 2 72" xfId="1696"/>
    <cellStyle name="Процентный 4 2 72 2" xfId="7038"/>
    <cellStyle name="Процентный 4 2 72 2 2" xfId="17718"/>
    <cellStyle name="Процентный 4 2 72 2 2 2" xfId="49762"/>
    <cellStyle name="Процентный 4 2 72 2 3" xfId="28399"/>
    <cellStyle name="Процентный 4 2 72 2 3 2" xfId="60442"/>
    <cellStyle name="Процентный 4 2 72 2 4" xfId="39082"/>
    <cellStyle name="Процентный 4 2 72 3" xfId="12378"/>
    <cellStyle name="Процентный 4 2 72 3 2" xfId="44422"/>
    <cellStyle name="Процентный 4 2 72 4" xfId="23059"/>
    <cellStyle name="Процентный 4 2 72 4 2" xfId="55102"/>
    <cellStyle name="Процентный 4 2 72 5" xfId="33742"/>
    <cellStyle name="Процентный 4 2 73" xfId="1722"/>
    <cellStyle name="Процентный 4 2 73 2" xfId="7064"/>
    <cellStyle name="Процентный 4 2 73 2 2" xfId="17744"/>
    <cellStyle name="Процентный 4 2 73 2 2 2" xfId="49788"/>
    <cellStyle name="Процентный 4 2 73 2 3" xfId="28425"/>
    <cellStyle name="Процентный 4 2 73 2 3 2" xfId="60468"/>
    <cellStyle name="Процентный 4 2 73 2 4" xfId="39108"/>
    <cellStyle name="Процентный 4 2 73 3" xfId="12404"/>
    <cellStyle name="Процентный 4 2 73 3 2" xfId="44448"/>
    <cellStyle name="Процентный 4 2 73 4" xfId="23085"/>
    <cellStyle name="Процентный 4 2 73 4 2" xfId="55128"/>
    <cellStyle name="Процентный 4 2 73 5" xfId="33768"/>
    <cellStyle name="Процентный 4 2 74" xfId="1748"/>
    <cellStyle name="Процентный 4 2 74 2" xfId="7090"/>
    <cellStyle name="Процентный 4 2 74 2 2" xfId="17770"/>
    <cellStyle name="Процентный 4 2 74 2 2 2" xfId="49814"/>
    <cellStyle name="Процентный 4 2 74 2 3" xfId="28451"/>
    <cellStyle name="Процентный 4 2 74 2 3 2" xfId="60494"/>
    <cellStyle name="Процентный 4 2 74 2 4" xfId="39134"/>
    <cellStyle name="Процентный 4 2 74 3" xfId="12430"/>
    <cellStyle name="Процентный 4 2 74 3 2" xfId="44474"/>
    <cellStyle name="Процентный 4 2 74 4" xfId="23111"/>
    <cellStyle name="Процентный 4 2 74 4 2" xfId="55154"/>
    <cellStyle name="Процентный 4 2 74 5" xfId="33794"/>
    <cellStyle name="Процентный 4 2 75" xfId="1774"/>
    <cellStyle name="Процентный 4 2 75 2" xfId="7116"/>
    <cellStyle name="Процентный 4 2 75 2 2" xfId="17796"/>
    <cellStyle name="Процентный 4 2 75 2 2 2" xfId="49840"/>
    <cellStyle name="Процентный 4 2 75 2 3" xfId="28477"/>
    <cellStyle name="Процентный 4 2 75 2 3 2" xfId="60520"/>
    <cellStyle name="Процентный 4 2 75 2 4" xfId="39160"/>
    <cellStyle name="Процентный 4 2 75 3" xfId="12456"/>
    <cellStyle name="Процентный 4 2 75 3 2" xfId="44500"/>
    <cellStyle name="Процентный 4 2 75 4" xfId="23137"/>
    <cellStyle name="Процентный 4 2 75 4 2" xfId="55180"/>
    <cellStyle name="Процентный 4 2 75 5" xfId="33820"/>
    <cellStyle name="Процентный 4 2 76" xfId="1800"/>
    <cellStyle name="Процентный 4 2 76 2" xfId="7142"/>
    <cellStyle name="Процентный 4 2 76 2 2" xfId="17822"/>
    <cellStyle name="Процентный 4 2 76 2 2 2" xfId="49866"/>
    <cellStyle name="Процентный 4 2 76 2 3" xfId="28503"/>
    <cellStyle name="Процентный 4 2 76 2 3 2" xfId="60546"/>
    <cellStyle name="Процентный 4 2 76 2 4" xfId="39186"/>
    <cellStyle name="Процентный 4 2 76 3" xfId="12482"/>
    <cellStyle name="Процентный 4 2 76 3 2" xfId="44526"/>
    <cellStyle name="Процентный 4 2 76 4" xfId="23163"/>
    <cellStyle name="Процентный 4 2 76 4 2" xfId="55206"/>
    <cellStyle name="Процентный 4 2 76 5" xfId="33846"/>
    <cellStyle name="Процентный 4 2 77" xfId="1826"/>
    <cellStyle name="Процентный 4 2 77 2" xfId="7168"/>
    <cellStyle name="Процентный 4 2 77 2 2" xfId="17848"/>
    <cellStyle name="Процентный 4 2 77 2 2 2" xfId="49892"/>
    <cellStyle name="Процентный 4 2 77 2 3" xfId="28529"/>
    <cellStyle name="Процентный 4 2 77 2 3 2" xfId="60572"/>
    <cellStyle name="Процентный 4 2 77 2 4" xfId="39212"/>
    <cellStyle name="Процентный 4 2 77 3" xfId="12508"/>
    <cellStyle name="Процентный 4 2 77 3 2" xfId="44552"/>
    <cellStyle name="Процентный 4 2 77 4" xfId="23189"/>
    <cellStyle name="Процентный 4 2 77 4 2" xfId="55232"/>
    <cellStyle name="Процентный 4 2 77 5" xfId="33872"/>
    <cellStyle name="Процентный 4 2 78" xfId="1852"/>
    <cellStyle name="Процентный 4 2 78 2" xfId="7194"/>
    <cellStyle name="Процентный 4 2 78 2 2" xfId="17874"/>
    <cellStyle name="Процентный 4 2 78 2 2 2" xfId="49918"/>
    <cellStyle name="Процентный 4 2 78 2 3" xfId="28555"/>
    <cellStyle name="Процентный 4 2 78 2 3 2" xfId="60598"/>
    <cellStyle name="Процентный 4 2 78 2 4" xfId="39238"/>
    <cellStyle name="Процентный 4 2 78 3" xfId="12534"/>
    <cellStyle name="Процентный 4 2 78 3 2" xfId="44578"/>
    <cellStyle name="Процентный 4 2 78 4" xfId="23215"/>
    <cellStyle name="Процентный 4 2 78 4 2" xfId="55258"/>
    <cellStyle name="Процентный 4 2 78 5" xfId="33898"/>
    <cellStyle name="Процентный 4 2 79" xfId="1878"/>
    <cellStyle name="Процентный 4 2 79 2" xfId="7220"/>
    <cellStyle name="Процентный 4 2 79 2 2" xfId="17900"/>
    <cellStyle name="Процентный 4 2 79 2 2 2" xfId="49944"/>
    <cellStyle name="Процентный 4 2 79 2 3" xfId="28581"/>
    <cellStyle name="Процентный 4 2 79 2 3 2" xfId="60624"/>
    <cellStyle name="Процентный 4 2 79 2 4" xfId="39264"/>
    <cellStyle name="Процентный 4 2 79 3" xfId="12560"/>
    <cellStyle name="Процентный 4 2 79 3 2" xfId="44604"/>
    <cellStyle name="Процентный 4 2 79 4" xfId="23241"/>
    <cellStyle name="Процентный 4 2 79 4 2" xfId="55284"/>
    <cellStyle name="Процентный 4 2 79 5" xfId="33924"/>
    <cellStyle name="Процентный 4 2 8" xfId="135"/>
    <cellStyle name="Процентный 4 2 8 2" xfId="603"/>
    <cellStyle name="Процентный 4 2 8 2 2" xfId="5946"/>
    <cellStyle name="Процентный 4 2 8 2 2 2" xfId="16626"/>
    <cellStyle name="Процентный 4 2 8 2 2 2 2" xfId="48670"/>
    <cellStyle name="Процентный 4 2 8 2 2 3" xfId="27307"/>
    <cellStyle name="Процентный 4 2 8 2 2 3 2" xfId="59350"/>
    <cellStyle name="Процентный 4 2 8 2 2 4" xfId="37990"/>
    <cellStyle name="Процентный 4 2 8 2 3" xfId="11286"/>
    <cellStyle name="Процентный 4 2 8 2 3 2" xfId="43330"/>
    <cellStyle name="Процентный 4 2 8 2 4" xfId="21967"/>
    <cellStyle name="Процентный 4 2 8 2 4 2" xfId="54010"/>
    <cellStyle name="Процентный 4 2 8 2 5" xfId="32650"/>
    <cellStyle name="Процентный 4 2 8 3" xfId="5479"/>
    <cellStyle name="Процентный 4 2 8 3 2" xfId="16159"/>
    <cellStyle name="Процентный 4 2 8 3 2 2" xfId="48203"/>
    <cellStyle name="Процентный 4 2 8 3 3" xfId="26840"/>
    <cellStyle name="Процентный 4 2 8 3 3 2" xfId="58883"/>
    <cellStyle name="Процентный 4 2 8 3 4" xfId="37523"/>
    <cellStyle name="Процентный 4 2 8 4" xfId="10819"/>
    <cellStyle name="Процентный 4 2 8 4 2" xfId="42863"/>
    <cellStyle name="Процентный 4 2 8 5" xfId="21500"/>
    <cellStyle name="Процентный 4 2 8 5 2" xfId="53543"/>
    <cellStyle name="Процентный 4 2 8 6" xfId="32183"/>
    <cellStyle name="Процентный 4 2 80" xfId="1904"/>
    <cellStyle name="Процентный 4 2 80 2" xfId="7246"/>
    <cellStyle name="Процентный 4 2 80 2 2" xfId="17926"/>
    <cellStyle name="Процентный 4 2 80 2 2 2" xfId="49970"/>
    <cellStyle name="Процентный 4 2 80 2 3" xfId="28607"/>
    <cellStyle name="Процентный 4 2 80 2 3 2" xfId="60650"/>
    <cellStyle name="Процентный 4 2 80 2 4" xfId="39290"/>
    <cellStyle name="Процентный 4 2 80 3" xfId="12586"/>
    <cellStyle name="Процентный 4 2 80 3 2" xfId="44630"/>
    <cellStyle name="Процентный 4 2 80 4" xfId="23267"/>
    <cellStyle name="Процентный 4 2 80 4 2" xfId="55310"/>
    <cellStyle name="Процентный 4 2 80 5" xfId="33950"/>
    <cellStyle name="Процентный 4 2 81" xfId="1932"/>
    <cellStyle name="Процентный 4 2 81 2" xfId="7274"/>
    <cellStyle name="Процентный 4 2 81 2 2" xfId="17954"/>
    <cellStyle name="Процентный 4 2 81 2 2 2" xfId="49998"/>
    <cellStyle name="Процентный 4 2 81 2 3" xfId="28635"/>
    <cellStyle name="Процентный 4 2 81 2 3 2" xfId="60678"/>
    <cellStyle name="Процентный 4 2 81 2 4" xfId="39318"/>
    <cellStyle name="Процентный 4 2 81 3" xfId="12614"/>
    <cellStyle name="Процентный 4 2 81 3 2" xfId="44658"/>
    <cellStyle name="Процентный 4 2 81 4" xfId="23295"/>
    <cellStyle name="Процентный 4 2 81 4 2" xfId="55338"/>
    <cellStyle name="Процентный 4 2 81 5" xfId="33978"/>
    <cellStyle name="Процентный 4 2 82" xfId="1960"/>
    <cellStyle name="Процентный 4 2 82 2" xfId="7302"/>
    <cellStyle name="Процентный 4 2 82 2 2" xfId="17982"/>
    <cellStyle name="Процентный 4 2 82 2 2 2" xfId="50026"/>
    <cellStyle name="Процентный 4 2 82 2 3" xfId="28663"/>
    <cellStyle name="Процентный 4 2 82 2 3 2" xfId="60706"/>
    <cellStyle name="Процентный 4 2 82 2 4" xfId="39346"/>
    <cellStyle name="Процентный 4 2 82 3" xfId="12642"/>
    <cellStyle name="Процентный 4 2 82 3 2" xfId="44686"/>
    <cellStyle name="Процентный 4 2 82 4" xfId="23323"/>
    <cellStyle name="Процентный 4 2 82 4 2" xfId="55366"/>
    <cellStyle name="Процентный 4 2 82 5" xfId="34006"/>
    <cellStyle name="Процентный 4 2 83" xfId="1988"/>
    <cellStyle name="Процентный 4 2 83 2" xfId="7330"/>
    <cellStyle name="Процентный 4 2 83 2 2" xfId="18010"/>
    <cellStyle name="Процентный 4 2 83 2 2 2" xfId="50054"/>
    <cellStyle name="Процентный 4 2 83 2 3" xfId="28691"/>
    <cellStyle name="Процентный 4 2 83 2 3 2" xfId="60734"/>
    <cellStyle name="Процентный 4 2 83 2 4" xfId="39374"/>
    <cellStyle name="Процентный 4 2 83 3" xfId="12670"/>
    <cellStyle name="Процентный 4 2 83 3 2" xfId="44714"/>
    <cellStyle name="Процентный 4 2 83 4" xfId="23351"/>
    <cellStyle name="Процентный 4 2 83 4 2" xfId="55394"/>
    <cellStyle name="Процентный 4 2 83 5" xfId="34034"/>
    <cellStyle name="Процентный 4 2 84" xfId="2016"/>
    <cellStyle name="Процентный 4 2 84 2" xfId="7358"/>
    <cellStyle name="Процентный 4 2 84 2 2" xfId="18038"/>
    <cellStyle name="Процентный 4 2 84 2 2 2" xfId="50082"/>
    <cellStyle name="Процентный 4 2 84 2 3" xfId="28719"/>
    <cellStyle name="Процентный 4 2 84 2 3 2" xfId="60762"/>
    <cellStyle name="Процентный 4 2 84 2 4" xfId="39402"/>
    <cellStyle name="Процентный 4 2 84 3" xfId="12698"/>
    <cellStyle name="Процентный 4 2 84 3 2" xfId="44742"/>
    <cellStyle name="Процентный 4 2 84 4" xfId="23379"/>
    <cellStyle name="Процентный 4 2 84 4 2" xfId="55422"/>
    <cellStyle name="Процентный 4 2 84 5" xfId="34062"/>
    <cellStyle name="Процентный 4 2 85" xfId="2044"/>
    <cellStyle name="Процентный 4 2 85 2" xfId="7386"/>
    <cellStyle name="Процентный 4 2 85 2 2" xfId="18066"/>
    <cellStyle name="Процентный 4 2 85 2 2 2" xfId="50110"/>
    <cellStyle name="Процентный 4 2 85 2 3" xfId="28747"/>
    <cellStyle name="Процентный 4 2 85 2 3 2" xfId="60790"/>
    <cellStyle name="Процентный 4 2 85 2 4" xfId="39430"/>
    <cellStyle name="Процентный 4 2 85 3" xfId="12726"/>
    <cellStyle name="Процентный 4 2 85 3 2" xfId="44770"/>
    <cellStyle name="Процентный 4 2 85 4" xfId="23407"/>
    <cellStyle name="Процентный 4 2 85 4 2" xfId="55450"/>
    <cellStyle name="Процентный 4 2 85 5" xfId="34090"/>
    <cellStyle name="Процентный 4 2 86" xfId="2072"/>
    <cellStyle name="Процентный 4 2 86 2" xfId="7414"/>
    <cellStyle name="Процентный 4 2 86 2 2" xfId="18094"/>
    <cellStyle name="Процентный 4 2 86 2 2 2" xfId="50138"/>
    <cellStyle name="Процентный 4 2 86 2 3" xfId="28775"/>
    <cellStyle name="Процентный 4 2 86 2 3 2" xfId="60818"/>
    <cellStyle name="Процентный 4 2 86 2 4" xfId="39458"/>
    <cellStyle name="Процентный 4 2 86 3" xfId="12754"/>
    <cellStyle name="Процентный 4 2 86 3 2" xfId="44798"/>
    <cellStyle name="Процентный 4 2 86 4" xfId="23435"/>
    <cellStyle name="Процентный 4 2 86 4 2" xfId="55478"/>
    <cellStyle name="Процентный 4 2 86 5" xfId="34118"/>
    <cellStyle name="Процентный 4 2 87" xfId="2100"/>
    <cellStyle name="Процентный 4 2 87 2" xfId="7442"/>
    <cellStyle name="Процентный 4 2 87 2 2" xfId="18122"/>
    <cellStyle name="Процентный 4 2 87 2 2 2" xfId="50166"/>
    <cellStyle name="Процентный 4 2 87 2 3" xfId="28803"/>
    <cellStyle name="Процентный 4 2 87 2 3 2" xfId="60846"/>
    <cellStyle name="Процентный 4 2 87 2 4" xfId="39486"/>
    <cellStyle name="Процентный 4 2 87 3" xfId="12782"/>
    <cellStyle name="Процентный 4 2 87 3 2" xfId="44826"/>
    <cellStyle name="Процентный 4 2 87 4" xfId="23463"/>
    <cellStyle name="Процентный 4 2 87 4 2" xfId="55506"/>
    <cellStyle name="Процентный 4 2 87 5" xfId="34146"/>
    <cellStyle name="Процентный 4 2 88" xfId="2130"/>
    <cellStyle name="Процентный 4 2 88 2" xfId="7472"/>
    <cellStyle name="Процентный 4 2 88 2 2" xfId="18152"/>
    <cellStyle name="Процентный 4 2 88 2 2 2" xfId="50196"/>
    <cellStyle name="Процентный 4 2 88 2 3" xfId="28833"/>
    <cellStyle name="Процентный 4 2 88 2 3 2" xfId="60876"/>
    <cellStyle name="Процентный 4 2 88 2 4" xfId="39516"/>
    <cellStyle name="Процентный 4 2 88 3" xfId="12812"/>
    <cellStyle name="Процентный 4 2 88 3 2" xfId="44856"/>
    <cellStyle name="Процентный 4 2 88 4" xfId="23493"/>
    <cellStyle name="Процентный 4 2 88 4 2" xfId="55536"/>
    <cellStyle name="Процентный 4 2 88 5" xfId="34176"/>
    <cellStyle name="Процентный 4 2 89" xfId="2160"/>
    <cellStyle name="Процентный 4 2 89 2" xfId="7502"/>
    <cellStyle name="Процентный 4 2 89 2 2" xfId="18182"/>
    <cellStyle name="Процентный 4 2 89 2 2 2" xfId="50226"/>
    <cellStyle name="Процентный 4 2 89 2 3" xfId="28863"/>
    <cellStyle name="Процентный 4 2 89 2 3 2" xfId="60906"/>
    <cellStyle name="Процентный 4 2 89 2 4" xfId="39546"/>
    <cellStyle name="Процентный 4 2 89 3" xfId="12842"/>
    <cellStyle name="Процентный 4 2 89 3 2" xfId="44886"/>
    <cellStyle name="Процентный 4 2 89 4" xfId="23523"/>
    <cellStyle name="Процентный 4 2 89 4 2" xfId="55566"/>
    <cellStyle name="Процентный 4 2 89 5" xfId="34206"/>
    <cellStyle name="Процентный 4 2 9" xfId="145"/>
    <cellStyle name="Процентный 4 2 9 2" xfId="613"/>
    <cellStyle name="Процентный 4 2 9 2 2" xfId="5956"/>
    <cellStyle name="Процентный 4 2 9 2 2 2" xfId="16636"/>
    <cellStyle name="Процентный 4 2 9 2 2 2 2" xfId="48680"/>
    <cellStyle name="Процентный 4 2 9 2 2 3" xfId="27317"/>
    <cellStyle name="Процентный 4 2 9 2 2 3 2" xfId="59360"/>
    <cellStyle name="Процентный 4 2 9 2 2 4" xfId="38000"/>
    <cellStyle name="Процентный 4 2 9 2 3" xfId="11296"/>
    <cellStyle name="Процентный 4 2 9 2 3 2" xfId="43340"/>
    <cellStyle name="Процентный 4 2 9 2 4" xfId="21977"/>
    <cellStyle name="Процентный 4 2 9 2 4 2" xfId="54020"/>
    <cellStyle name="Процентный 4 2 9 2 5" xfId="32660"/>
    <cellStyle name="Процентный 4 2 9 3" xfId="5489"/>
    <cellStyle name="Процентный 4 2 9 3 2" xfId="16169"/>
    <cellStyle name="Процентный 4 2 9 3 2 2" xfId="48213"/>
    <cellStyle name="Процентный 4 2 9 3 3" xfId="26850"/>
    <cellStyle name="Процентный 4 2 9 3 3 2" xfId="58893"/>
    <cellStyle name="Процентный 4 2 9 3 4" xfId="37533"/>
    <cellStyle name="Процентный 4 2 9 4" xfId="10829"/>
    <cellStyle name="Процентный 4 2 9 4 2" xfId="42873"/>
    <cellStyle name="Процентный 4 2 9 5" xfId="21510"/>
    <cellStyle name="Процентный 4 2 9 5 2" xfId="53553"/>
    <cellStyle name="Процентный 4 2 9 6" xfId="32193"/>
    <cellStyle name="Процентный 4 2 90" xfId="2190"/>
    <cellStyle name="Процентный 4 2 90 2" xfId="7532"/>
    <cellStyle name="Процентный 4 2 90 2 2" xfId="18212"/>
    <cellStyle name="Процентный 4 2 90 2 2 2" xfId="50256"/>
    <cellStyle name="Процентный 4 2 90 2 3" xfId="28893"/>
    <cellStyle name="Процентный 4 2 90 2 3 2" xfId="60936"/>
    <cellStyle name="Процентный 4 2 90 2 4" xfId="39576"/>
    <cellStyle name="Процентный 4 2 90 3" xfId="12872"/>
    <cellStyle name="Процентный 4 2 90 3 2" xfId="44916"/>
    <cellStyle name="Процентный 4 2 90 4" xfId="23553"/>
    <cellStyle name="Процентный 4 2 90 4 2" xfId="55596"/>
    <cellStyle name="Процентный 4 2 90 5" xfId="34236"/>
    <cellStyle name="Процентный 4 2 91" xfId="2220"/>
    <cellStyle name="Процентный 4 2 91 2" xfId="7562"/>
    <cellStyle name="Процентный 4 2 91 2 2" xfId="18242"/>
    <cellStyle name="Процентный 4 2 91 2 2 2" xfId="50286"/>
    <cellStyle name="Процентный 4 2 91 2 3" xfId="28923"/>
    <cellStyle name="Процентный 4 2 91 2 3 2" xfId="60966"/>
    <cellStyle name="Процентный 4 2 91 2 4" xfId="39606"/>
    <cellStyle name="Процентный 4 2 91 3" xfId="12902"/>
    <cellStyle name="Процентный 4 2 91 3 2" xfId="44946"/>
    <cellStyle name="Процентный 4 2 91 4" xfId="23583"/>
    <cellStyle name="Процентный 4 2 91 4 2" xfId="55626"/>
    <cellStyle name="Процентный 4 2 91 5" xfId="34266"/>
    <cellStyle name="Процентный 4 2 92" xfId="2250"/>
    <cellStyle name="Процентный 4 2 92 2" xfId="7592"/>
    <cellStyle name="Процентный 4 2 92 2 2" xfId="18272"/>
    <cellStyle name="Процентный 4 2 92 2 2 2" xfId="50316"/>
    <cellStyle name="Процентный 4 2 92 2 3" xfId="28953"/>
    <cellStyle name="Процентный 4 2 92 2 3 2" xfId="60996"/>
    <cellStyle name="Процентный 4 2 92 2 4" xfId="39636"/>
    <cellStyle name="Процентный 4 2 92 3" xfId="12932"/>
    <cellStyle name="Процентный 4 2 92 3 2" xfId="44976"/>
    <cellStyle name="Процентный 4 2 92 4" xfId="23613"/>
    <cellStyle name="Процентный 4 2 92 4 2" xfId="55656"/>
    <cellStyle name="Процентный 4 2 92 5" xfId="34296"/>
    <cellStyle name="Процентный 4 2 93" xfId="2280"/>
    <cellStyle name="Процентный 4 2 93 2" xfId="7622"/>
    <cellStyle name="Процентный 4 2 93 2 2" xfId="18302"/>
    <cellStyle name="Процентный 4 2 93 2 2 2" xfId="50346"/>
    <cellStyle name="Процентный 4 2 93 2 3" xfId="28983"/>
    <cellStyle name="Процентный 4 2 93 2 3 2" xfId="61026"/>
    <cellStyle name="Процентный 4 2 93 2 4" xfId="39666"/>
    <cellStyle name="Процентный 4 2 93 3" xfId="12962"/>
    <cellStyle name="Процентный 4 2 93 3 2" xfId="45006"/>
    <cellStyle name="Процентный 4 2 93 4" xfId="23643"/>
    <cellStyle name="Процентный 4 2 93 4 2" xfId="55686"/>
    <cellStyle name="Процентный 4 2 93 5" xfId="34326"/>
    <cellStyle name="Процентный 4 2 94" xfId="2310"/>
    <cellStyle name="Процентный 4 2 94 2" xfId="7652"/>
    <cellStyle name="Процентный 4 2 94 2 2" xfId="18332"/>
    <cellStyle name="Процентный 4 2 94 2 2 2" xfId="50376"/>
    <cellStyle name="Процентный 4 2 94 2 3" xfId="29013"/>
    <cellStyle name="Процентный 4 2 94 2 3 2" xfId="61056"/>
    <cellStyle name="Процентный 4 2 94 2 4" xfId="39696"/>
    <cellStyle name="Процентный 4 2 94 3" xfId="12992"/>
    <cellStyle name="Процентный 4 2 94 3 2" xfId="45036"/>
    <cellStyle name="Процентный 4 2 94 4" xfId="23673"/>
    <cellStyle name="Процентный 4 2 94 4 2" xfId="55716"/>
    <cellStyle name="Процентный 4 2 94 5" xfId="34356"/>
    <cellStyle name="Процентный 4 2 95" xfId="2340"/>
    <cellStyle name="Процентный 4 2 95 2" xfId="7682"/>
    <cellStyle name="Процентный 4 2 95 2 2" xfId="18362"/>
    <cellStyle name="Процентный 4 2 95 2 2 2" xfId="50406"/>
    <cellStyle name="Процентный 4 2 95 2 3" xfId="29043"/>
    <cellStyle name="Процентный 4 2 95 2 3 2" xfId="61086"/>
    <cellStyle name="Процентный 4 2 95 2 4" xfId="39726"/>
    <cellStyle name="Процентный 4 2 95 3" xfId="13022"/>
    <cellStyle name="Процентный 4 2 95 3 2" xfId="45066"/>
    <cellStyle name="Процентный 4 2 95 4" xfId="23703"/>
    <cellStyle name="Процентный 4 2 95 4 2" xfId="55746"/>
    <cellStyle name="Процентный 4 2 95 5" xfId="34386"/>
    <cellStyle name="Процентный 4 2 96" xfId="2370"/>
    <cellStyle name="Процентный 4 2 96 2" xfId="7712"/>
    <cellStyle name="Процентный 4 2 96 2 2" xfId="18392"/>
    <cellStyle name="Процентный 4 2 96 2 2 2" xfId="50436"/>
    <cellStyle name="Процентный 4 2 96 2 3" xfId="29073"/>
    <cellStyle name="Процентный 4 2 96 2 3 2" xfId="61116"/>
    <cellStyle name="Процентный 4 2 96 2 4" xfId="39756"/>
    <cellStyle name="Процентный 4 2 96 3" xfId="13052"/>
    <cellStyle name="Процентный 4 2 96 3 2" xfId="45096"/>
    <cellStyle name="Процентный 4 2 96 4" xfId="23733"/>
    <cellStyle name="Процентный 4 2 96 4 2" xfId="55776"/>
    <cellStyle name="Процентный 4 2 96 5" xfId="34416"/>
    <cellStyle name="Процентный 4 2 97" xfId="2400"/>
    <cellStyle name="Процентный 4 2 97 2" xfId="7742"/>
    <cellStyle name="Процентный 4 2 97 2 2" xfId="18422"/>
    <cellStyle name="Процентный 4 2 97 2 2 2" xfId="50466"/>
    <cellStyle name="Процентный 4 2 97 2 3" xfId="29103"/>
    <cellStyle name="Процентный 4 2 97 2 3 2" xfId="61146"/>
    <cellStyle name="Процентный 4 2 97 2 4" xfId="39786"/>
    <cellStyle name="Процентный 4 2 97 3" xfId="13082"/>
    <cellStyle name="Процентный 4 2 97 3 2" xfId="45126"/>
    <cellStyle name="Процентный 4 2 97 4" xfId="23763"/>
    <cellStyle name="Процентный 4 2 97 4 2" xfId="55806"/>
    <cellStyle name="Процентный 4 2 97 5" xfId="34446"/>
    <cellStyle name="Процентный 4 2 98" xfId="2430"/>
    <cellStyle name="Процентный 4 2 98 2" xfId="7772"/>
    <cellStyle name="Процентный 4 2 98 2 2" xfId="18452"/>
    <cellStyle name="Процентный 4 2 98 2 2 2" xfId="50496"/>
    <cellStyle name="Процентный 4 2 98 2 3" xfId="29133"/>
    <cellStyle name="Процентный 4 2 98 2 3 2" xfId="61176"/>
    <cellStyle name="Процентный 4 2 98 2 4" xfId="39816"/>
    <cellStyle name="Процентный 4 2 98 3" xfId="13112"/>
    <cellStyle name="Процентный 4 2 98 3 2" xfId="45156"/>
    <cellStyle name="Процентный 4 2 98 4" xfId="23793"/>
    <cellStyle name="Процентный 4 2 98 4 2" xfId="55836"/>
    <cellStyle name="Процентный 4 2 98 5" xfId="34476"/>
    <cellStyle name="Процентный 4 2 99" xfId="2460"/>
    <cellStyle name="Процентный 4 2 99 2" xfId="7802"/>
    <cellStyle name="Процентный 4 2 99 2 2" xfId="18482"/>
    <cellStyle name="Процентный 4 2 99 2 2 2" xfId="50526"/>
    <cellStyle name="Процентный 4 2 99 2 3" xfId="29163"/>
    <cellStyle name="Процентный 4 2 99 2 3 2" xfId="61206"/>
    <cellStyle name="Процентный 4 2 99 2 4" xfId="39846"/>
    <cellStyle name="Процентный 4 2 99 3" xfId="13142"/>
    <cellStyle name="Процентный 4 2 99 3 2" xfId="45186"/>
    <cellStyle name="Процентный 4 2 99 4" xfId="23823"/>
    <cellStyle name="Процентный 4 2 99 4 2" xfId="55866"/>
    <cellStyle name="Процентный 4 2 99 5" xfId="34506"/>
    <cellStyle name="Процентный 4 20" xfId="121"/>
    <cellStyle name="Процентный 4 20 2" xfId="589"/>
    <cellStyle name="Процентный 4 20 2 2" xfId="5932"/>
    <cellStyle name="Процентный 4 20 2 2 2" xfId="16612"/>
    <cellStyle name="Процентный 4 20 2 2 2 2" xfId="48656"/>
    <cellStyle name="Процентный 4 20 2 2 3" xfId="27293"/>
    <cellStyle name="Процентный 4 20 2 2 3 2" xfId="59336"/>
    <cellStyle name="Процентный 4 20 2 2 4" xfId="37976"/>
    <cellStyle name="Процентный 4 20 2 3" xfId="11272"/>
    <cellStyle name="Процентный 4 20 2 3 2" xfId="43316"/>
    <cellStyle name="Процентный 4 20 2 4" xfId="21953"/>
    <cellStyle name="Процентный 4 20 2 4 2" xfId="53996"/>
    <cellStyle name="Процентный 4 20 2 5" xfId="32636"/>
    <cellStyle name="Процентный 4 20 3" xfId="5465"/>
    <cellStyle name="Процентный 4 20 3 2" xfId="16145"/>
    <cellStyle name="Процентный 4 20 3 2 2" xfId="48189"/>
    <cellStyle name="Процентный 4 20 3 3" xfId="26826"/>
    <cellStyle name="Процентный 4 20 3 3 2" xfId="58869"/>
    <cellStyle name="Процентный 4 20 3 4" xfId="37509"/>
    <cellStyle name="Процентный 4 20 4" xfId="10805"/>
    <cellStyle name="Процентный 4 20 4 2" xfId="42849"/>
    <cellStyle name="Процентный 4 20 5" xfId="21486"/>
    <cellStyle name="Процентный 4 20 5 2" xfId="53529"/>
    <cellStyle name="Процентный 4 20 6" xfId="32169"/>
    <cellStyle name="Процентный 4 200" xfId="5279"/>
    <cellStyle name="Процентный 4 200 2" xfId="10620"/>
    <cellStyle name="Процентный 4 200 2 2" xfId="21300"/>
    <cellStyle name="Процентный 4 200 2 2 2" xfId="53344"/>
    <cellStyle name="Процентный 4 200 2 3" xfId="31981"/>
    <cellStyle name="Процентный 4 200 2 3 2" xfId="64024"/>
    <cellStyle name="Процентный 4 200 2 4" xfId="42664"/>
    <cellStyle name="Процентный 4 200 3" xfId="15960"/>
    <cellStyle name="Процентный 4 200 3 2" xfId="48004"/>
    <cellStyle name="Процентный 4 200 4" xfId="26641"/>
    <cellStyle name="Процентный 4 200 4 2" xfId="58684"/>
    <cellStyle name="Процентный 4 200 5" xfId="37324"/>
    <cellStyle name="Процентный 4 201" xfId="5311"/>
    <cellStyle name="Процентный 4 201 2" xfId="10652"/>
    <cellStyle name="Процентный 4 201 2 2" xfId="21332"/>
    <cellStyle name="Процентный 4 201 2 2 2" xfId="53376"/>
    <cellStyle name="Процентный 4 201 2 3" xfId="32013"/>
    <cellStyle name="Процентный 4 201 2 3 2" xfId="64056"/>
    <cellStyle name="Процентный 4 201 2 4" xfId="42696"/>
    <cellStyle name="Процентный 4 201 3" xfId="15992"/>
    <cellStyle name="Процентный 4 201 3 2" xfId="48036"/>
    <cellStyle name="Процентный 4 201 4" xfId="26673"/>
    <cellStyle name="Процентный 4 201 4 2" xfId="58716"/>
    <cellStyle name="Процентный 4 201 5" xfId="37356"/>
    <cellStyle name="Процентный 4 202" xfId="5343"/>
    <cellStyle name="Процентный 4 202 2" xfId="10684"/>
    <cellStyle name="Процентный 4 202 2 2" xfId="21364"/>
    <cellStyle name="Процентный 4 202 2 2 2" xfId="53408"/>
    <cellStyle name="Процентный 4 202 2 3" xfId="32045"/>
    <cellStyle name="Процентный 4 202 2 3 2" xfId="64088"/>
    <cellStyle name="Процентный 4 202 2 4" xfId="42728"/>
    <cellStyle name="Процентный 4 202 3" xfId="16024"/>
    <cellStyle name="Процентный 4 202 3 2" xfId="48068"/>
    <cellStyle name="Процентный 4 202 4" xfId="26705"/>
    <cellStyle name="Процентный 4 202 4 2" xfId="58748"/>
    <cellStyle name="Процентный 4 202 5" xfId="37388"/>
    <cellStyle name="Процентный 4 203" xfId="5377"/>
    <cellStyle name="Процентный 4 203 2" xfId="16057"/>
    <cellStyle name="Процентный 4 203 2 2" xfId="48101"/>
    <cellStyle name="Процентный 4 203 3" xfId="26738"/>
    <cellStyle name="Процентный 4 203 3 2" xfId="58781"/>
    <cellStyle name="Процентный 4 203 4" xfId="37421"/>
    <cellStyle name="Процентный 4 204" xfId="10717"/>
    <cellStyle name="Процентный 4 204 2" xfId="42761"/>
    <cellStyle name="Процентный 4 205" xfId="21398"/>
    <cellStyle name="Процентный 4 205 2" xfId="53441"/>
    <cellStyle name="Процентный 4 206" xfId="32081"/>
    <cellStyle name="Процентный 4 21" xfId="131"/>
    <cellStyle name="Процентный 4 21 2" xfId="599"/>
    <cellStyle name="Процентный 4 21 2 2" xfId="5942"/>
    <cellStyle name="Процентный 4 21 2 2 2" xfId="16622"/>
    <cellStyle name="Процентный 4 21 2 2 2 2" xfId="48666"/>
    <cellStyle name="Процентный 4 21 2 2 3" xfId="27303"/>
    <cellStyle name="Процентный 4 21 2 2 3 2" xfId="59346"/>
    <cellStyle name="Процентный 4 21 2 2 4" xfId="37986"/>
    <cellStyle name="Процентный 4 21 2 3" xfId="11282"/>
    <cellStyle name="Процентный 4 21 2 3 2" xfId="43326"/>
    <cellStyle name="Процентный 4 21 2 4" xfId="21963"/>
    <cellStyle name="Процентный 4 21 2 4 2" xfId="54006"/>
    <cellStyle name="Процентный 4 21 2 5" xfId="32646"/>
    <cellStyle name="Процентный 4 21 3" xfId="5475"/>
    <cellStyle name="Процентный 4 21 3 2" xfId="16155"/>
    <cellStyle name="Процентный 4 21 3 2 2" xfId="48199"/>
    <cellStyle name="Процентный 4 21 3 3" xfId="26836"/>
    <cellStyle name="Процентный 4 21 3 3 2" xfId="58879"/>
    <cellStyle name="Процентный 4 21 3 4" xfId="37519"/>
    <cellStyle name="Процентный 4 21 4" xfId="10815"/>
    <cellStyle name="Процентный 4 21 4 2" xfId="42859"/>
    <cellStyle name="Процентный 4 21 5" xfId="21496"/>
    <cellStyle name="Процентный 4 21 5 2" xfId="53539"/>
    <cellStyle name="Процентный 4 21 6" xfId="32179"/>
    <cellStyle name="Процентный 4 22" xfId="141"/>
    <cellStyle name="Процентный 4 22 2" xfId="609"/>
    <cellStyle name="Процентный 4 22 2 2" xfId="5952"/>
    <cellStyle name="Процентный 4 22 2 2 2" xfId="16632"/>
    <cellStyle name="Процентный 4 22 2 2 2 2" xfId="48676"/>
    <cellStyle name="Процентный 4 22 2 2 3" xfId="27313"/>
    <cellStyle name="Процентный 4 22 2 2 3 2" xfId="59356"/>
    <cellStyle name="Процентный 4 22 2 2 4" xfId="37996"/>
    <cellStyle name="Процентный 4 22 2 3" xfId="11292"/>
    <cellStyle name="Процентный 4 22 2 3 2" xfId="43336"/>
    <cellStyle name="Процентный 4 22 2 4" xfId="21973"/>
    <cellStyle name="Процентный 4 22 2 4 2" xfId="54016"/>
    <cellStyle name="Процентный 4 22 2 5" xfId="32656"/>
    <cellStyle name="Процентный 4 22 3" xfId="5485"/>
    <cellStyle name="Процентный 4 22 3 2" xfId="16165"/>
    <cellStyle name="Процентный 4 22 3 2 2" xfId="48209"/>
    <cellStyle name="Процентный 4 22 3 3" xfId="26846"/>
    <cellStyle name="Процентный 4 22 3 3 2" xfId="58889"/>
    <cellStyle name="Процентный 4 22 3 4" xfId="37529"/>
    <cellStyle name="Процентный 4 22 4" xfId="10825"/>
    <cellStyle name="Процентный 4 22 4 2" xfId="42869"/>
    <cellStyle name="Процентный 4 22 5" xfId="21506"/>
    <cellStyle name="Процентный 4 22 5 2" xfId="53549"/>
    <cellStyle name="Процентный 4 22 6" xfId="32189"/>
    <cellStyle name="Процентный 4 23" xfId="151"/>
    <cellStyle name="Процентный 4 23 2" xfId="619"/>
    <cellStyle name="Процентный 4 23 2 2" xfId="5962"/>
    <cellStyle name="Процентный 4 23 2 2 2" xfId="16642"/>
    <cellStyle name="Процентный 4 23 2 2 2 2" xfId="48686"/>
    <cellStyle name="Процентный 4 23 2 2 3" xfId="27323"/>
    <cellStyle name="Процентный 4 23 2 2 3 2" xfId="59366"/>
    <cellStyle name="Процентный 4 23 2 2 4" xfId="38006"/>
    <cellStyle name="Процентный 4 23 2 3" xfId="11302"/>
    <cellStyle name="Процентный 4 23 2 3 2" xfId="43346"/>
    <cellStyle name="Процентный 4 23 2 4" xfId="21983"/>
    <cellStyle name="Процентный 4 23 2 4 2" xfId="54026"/>
    <cellStyle name="Процентный 4 23 2 5" xfId="32666"/>
    <cellStyle name="Процентный 4 23 3" xfId="5495"/>
    <cellStyle name="Процентный 4 23 3 2" xfId="16175"/>
    <cellStyle name="Процентный 4 23 3 2 2" xfId="48219"/>
    <cellStyle name="Процентный 4 23 3 3" xfId="26856"/>
    <cellStyle name="Процентный 4 23 3 3 2" xfId="58899"/>
    <cellStyle name="Процентный 4 23 3 4" xfId="37539"/>
    <cellStyle name="Процентный 4 23 4" xfId="10835"/>
    <cellStyle name="Процентный 4 23 4 2" xfId="42879"/>
    <cellStyle name="Процентный 4 23 5" xfId="21516"/>
    <cellStyle name="Процентный 4 23 5 2" xfId="53559"/>
    <cellStyle name="Процентный 4 23 6" xfId="32199"/>
    <cellStyle name="Процентный 4 24" xfId="161"/>
    <cellStyle name="Процентный 4 24 2" xfId="629"/>
    <cellStyle name="Процентный 4 24 2 2" xfId="5972"/>
    <cellStyle name="Процентный 4 24 2 2 2" xfId="16652"/>
    <cellStyle name="Процентный 4 24 2 2 2 2" xfId="48696"/>
    <cellStyle name="Процентный 4 24 2 2 3" xfId="27333"/>
    <cellStyle name="Процентный 4 24 2 2 3 2" xfId="59376"/>
    <cellStyle name="Процентный 4 24 2 2 4" xfId="38016"/>
    <cellStyle name="Процентный 4 24 2 3" xfId="11312"/>
    <cellStyle name="Процентный 4 24 2 3 2" xfId="43356"/>
    <cellStyle name="Процентный 4 24 2 4" xfId="21993"/>
    <cellStyle name="Процентный 4 24 2 4 2" xfId="54036"/>
    <cellStyle name="Процентный 4 24 2 5" xfId="32676"/>
    <cellStyle name="Процентный 4 24 3" xfId="5505"/>
    <cellStyle name="Процентный 4 24 3 2" xfId="16185"/>
    <cellStyle name="Процентный 4 24 3 2 2" xfId="48229"/>
    <cellStyle name="Процентный 4 24 3 3" xfId="26866"/>
    <cellStyle name="Процентный 4 24 3 3 2" xfId="58909"/>
    <cellStyle name="Процентный 4 24 3 4" xfId="37549"/>
    <cellStyle name="Процентный 4 24 4" xfId="10845"/>
    <cellStyle name="Процентный 4 24 4 2" xfId="42889"/>
    <cellStyle name="Процентный 4 24 5" xfId="21526"/>
    <cellStyle name="Процентный 4 24 5 2" xfId="53569"/>
    <cellStyle name="Процентный 4 24 6" xfId="32209"/>
    <cellStyle name="Процентный 4 25" xfId="171"/>
    <cellStyle name="Процентный 4 25 2" xfId="639"/>
    <cellStyle name="Процентный 4 25 2 2" xfId="5982"/>
    <cellStyle name="Процентный 4 25 2 2 2" xfId="16662"/>
    <cellStyle name="Процентный 4 25 2 2 2 2" xfId="48706"/>
    <cellStyle name="Процентный 4 25 2 2 3" xfId="27343"/>
    <cellStyle name="Процентный 4 25 2 2 3 2" xfId="59386"/>
    <cellStyle name="Процентный 4 25 2 2 4" xfId="38026"/>
    <cellStyle name="Процентный 4 25 2 3" xfId="11322"/>
    <cellStyle name="Процентный 4 25 2 3 2" xfId="43366"/>
    <cellStyle name="Процентный 4 25 2 4" xfId="22003"/>
    <cellStyle name="Процентный 4 25 2 4 2" xfId="54046"/>
    <cellStyle name="Процентный 4 25 2 5" xfId="32686"/>
    <cellStyle name="Процентный 4 25 3" xfId="5515"/>
    <cellStyle name="Процентный 4 25 3 2" xfId="16195"/>
    <cellStyle name="Процентный 4 25 3 2 2" xfId="48239"/>
    <cellStyle name="Процентный 4 25 3 3" xfId="26876"/>
    <cellStyle name="Процентный 4 25 3 3 2" xfId="58919"/>
    <cellStyle name="Процентный 4 25 3 4" xfId="37559"/>
    <cellStyle name="Процентный 4 25 4" xfId="10855"/>
    <cellStyle name="Процентный 4 25 4 2" xfId="42899"/>
    <cellStyle name="Процентный 4 25 5" xfId="21536"/>
    <cellStyle name="Процентный 4 25 5 2" xfId="53579"/>
    <cellStyle name="Процентный 4 25 6" xfId="32219"/>
    <cellStyle name="Процентный 4 26" xfId="181"/>
    <cellStyle name="Процентный 4 26 2" xfId="649"/>
    <cellStyle name="Процентный 4 26 2 2" xfId="5992"/>
    <cellStyle name="Процентный 4 26 2 2 2" xfId="16672"/>
    <cellStyle name="Процентный 4 26 2 2 2 2" xfId="48716"/>
    <cellStyle name="Процентный 4 26 2 2 3" xfId="27353"/>
    <cellStyle name="Процентный 4 26 2 2 3 2" xfId="59396"/>
    <cellStyle name="Процентный 4 26 2 2 4" xfId="38036"/>
    <cellStyle name="Процентный 4 26 2 3" xfId="11332"/>
    <cellStyle name="Процентный 4 26 2 3 2" xfId="43376"/>
    <cellStyle name="Процентный 4 26 2 4" xfId="22013"/>
    <cellStyle name="Процентный 4 26 2 4 2" xfId="54056"/>
    <cellStyle name="Процентный 4 26 2 5" xfId="32696"/>
    <cellStyle name="Процентный 4 26 3" xfId="5525"/>
    <cellStyle name="Процентный 4 26 3 2" xfId="16205"/>
    <cellStyle name="Процентный 4 26 3 2 2" xfId="48249"/>
    <cellStyle name="Процентный 4 26 3 3" xfId="26886"/>
    <cellStyle name="Процентный 4 26 3 3 2" xfId="58929"/>
    <cellStyle name="Процентный 4 26 3 4" xfId="37569"/>
    <cellStyle name="Процентный 4 26 4" xfId="10865"/>
    <cellStyle name="Процентный 4 26 4 2" xfId="42909"/>
    <cellStyle name="Процентный 4 26 5" xfId="21546"/>
    <cellStyle name="Процентный 4 26 5 2" xfId="53589"/>
    <cellStyle name="Процентный 4 26 6" xfId="32229"/>
    <cellStyle name="Процентный 4 27" xfId="191"/>
    <cellStyle name="Процентный 4 27 2" xfId="659"/>
    <cellStyle name="Процентный 4 27 2 2" xfId="6002"/>
    <cellStyle name="Процентный 4 27 2 2 2" xfId="16682"/>
    <cellStyle name="Процентный 4 27 2 2 2 2" xfId="48726"/>
    <cellStyle name="Процентный 4 27 2 2 3" xfId="27363"/>
    <cellStyle name="Процентный 4 27 2 2 3 2" xfId="59406"/>
    <cellStyle name="Процентный 4 27 2 2 4" xfId="38046"/>
    <cellStyle name="Процентный 4 27 2 3" xfId="11342"/>
    <cellStyle name="Процентный 4 27 2 3 2" xfId="43386"/>
    <cellStyle name="Процентный 4 27 2 4" xfId="22023"/>
    <cellStyle name="Процентный 4 27 2 4 2" xfId="54066"/>
    <cellStyle name="Процентный 4 27 2 5" xfId="32706"/>
    <cellStyle name="Процентный 4 27 3" xfId="5535"/>
    <cellStyle name="Процентный 4 27 3 2" xfId="16215"/>
    <cellStyle name="Процентный 4 27 3 2 2" xfId="48259"/>
    <cellStyle name="Процентный 4 27 3 3" xfId="26896"/>
    <cellStyle name="Процентный 4 27 3 3 2" xfId="58939"/>
    <cellStyle name="Процентный 4 27 3 4" xfId="37579"/>
    <cellStyle name="Процентный 4 27 4" xfId="10875"/>
    <cellStyle name="Процентный 4 27 4 2" xfId="42919"/>
    <cellStyle name="Процентный 4 27 5" xfId="21556"/>
    <cellStyle name="Процентный 4 27 5 2" xfId="53599"/>
    <cellStyle name="Процентный 4 27 6" xfId="32239"/>
    <cellStyle name="Процентный 4 28" xfId="201"/>
    <cellStyle name="Процентный 4 28 2" xfId="669"/>
    <cellStyle name="Процентный 4 28 2 2" xfId="6012"/>
    <cellStyle name="Процентный 4 28 2 2 2" xfId="16692"/>
    <cellStyle name="Процентный 4 28 2 2 2 2" xfId="48736"/>
    <cellStyle name="Процентный 4 28 2 2 3" xfId="27373"/>
    <cellStyle name="Процентный 4 28 2 2 3 2" xfId="59416"/>
    <cellStyle name="Процентный 4 28 2 2 4" xfId="38056"/>
    <cellStyle name="Процентный 4 28 2 3" xfId="11352"/>
    <cellStyle name="Процентный 4 28 2 3 2" xfId="43396"/>
    <cellStyle name="Процентный 4 28 2 4" xfId="22033"/>
    <cellStyle name="Процентный 4 28 2 4 2" xfId="54076"/>
    <cellStyle name="Процентный 4 28 2 5" xfId="32716"/>
    <cellStyle name="Процентный 4 28 3" xfId="5545"/>
    <cellStyle name="Процентный 4 28 3 2" xfId="16225"/>
    <cellStyle name="Процентный 4 28 3 2 2" xfId="48269"/>
    <cellStyle name="Процентный 4 28 3 3" xfId="26906"/>
    <cellStyle name="Процентный 4 28 3 3 2" xfId="58949"/>
    <cellStyle name="Процентный 4 28 3 4" xfId="37589"/>
    <cellStyle name="Процентный 4 28 4" xfId="10885"/>
    <cellStyle name="Процентный 4 28 4 2" xfId="42929"/>
    <cellStyle name="Процентный 4 28 5" xfId="21566"/>
    <cellStyle name="Процентный 4 28 5 2" xfId="53609"/>
    <cellStyle name="Процентный 4 28 6" xfId="32249"/>
    <cellStyle name="Процентный 4 29" xfId="211"/>
    <cellStyle name="Процентный 4 29 2" xfId="679"/>
    <cellStyle name="Процентный 4 29 2 2" xfId="6022"/>
    <cellStyle name="Процентный 4 29 2 2 2" xfId="16702"/>
    <cellStyle name="Процентный 4 29 2 2 2 2" xfId="48746"/>
    <cellStyle name="Процентный 4 29 2 2 3" xfId="27383"/>
    <cellStyle name="Процентный 4 29 2 2 3 2" xfId="59426"/>
    <cellStyle name="Процентный 4 29 2 2 4" xfId="38066"/>
    <cellStyle name="Процентный 4 29 2 3" xfId="11362"/>
    <cellStyle name="Процентный 4 29 2 3 2" xfId="43406"/>
    <cellStyle name="Процентный 4 29 2 4" xfId="22043"/>
    <cellStyle name="Процентный 4 29 2 4 2" xfId="54086"/>
    <cellStyle name="Процентный 4 29 2 5" xfId="32726"/>
    <cellStyle name="Процентный 4 29 3" xfId="5555"/>
    <cellStyle name="Процентный 4 29 3 2" xfId="16235"/>
    <cellStyle name="Процентный 4 29 3 2 2" xfId="48279"/>
    <cellStyle name="Процентный 4 29 3 3" xfId="26916"/>
    <cellStyle name="Процентный 4 29 3 3 2" xfId="58959"/>
    <cellStyle name="Процентный 4 29 3 4" xfId="37599"/>
    <cellStyle name="Процентный 4 29 4" xfId="10895"/>
    <cellStyle name="Процентный 4 29 4 2" xfId="42939"/>
    <cellStyle name="Процентный 4 29 5" xfId="21576"/>
    <cellStyle name="Процентный 4 29 5 2" xfId="53619"/>
    <cellStyle name="Процентный 4 29 6" xfId="32259"/>
    <cellStyle name="Процентный 4 3" xfId="37"/>
    <cellStyle name="Процентный 4 3 10" xfId="1157"/>
    <cellStyle name="Процентный 4 3 10 2" xfId="6500"/>
    <cellStyle name="Процентный 4 3 10 2 2" xfId="17180"/>
    <cellStyle name="Процентный 4 3 10 2 2 2" xfId="49224"/>
    <cellStyle name="Процентный 4 3 10 2 3" xfId="27861"/>
    <cellStyle name="Процентный 4 3 10 2 3 2" xfId="59904"/>
    <cellStyle name="Процентный 4 3 10 2 4" xfId="38544"/>
    <cellStyle name="Процентный 4 3 10 3" xfId="11840"/>
    <cellStyle name="Процентный 4 3 10 3 2" xfId="43884"/>
    <cellStyle name="Процентный 4 3 10 4" xfId="22521"/>
    <cellStyle name="Процентный 4 3 10 4 2" xfId="54564"/>
    <cellStyle name="Процентный 4 3 10 5" xfId="33204"/>
    <cellStyle name="Процентный 4 3 100" xfId="3817"/>
    <cellStyle name="Процентный 4 3 100 2" xfId="9158"/>
    <cellStyle name="Процентный 4 3 100 2 2" xfId="19838"/>
    <cellStyle name="Процентный 4 3 100 2 2 2" xfId="51882"/>
    <cellStyle name="Процентный 4 3 100 2 3" xfId="30519"/>
    <cellStyle name="Процентный 4 3 100 2 3 2" xfId="62562"/>
    <cellStyle name="Процентный 4 3 100 2 4" xfId="41202"/>
    <cellStyle name="Процентный 4 3 100 3" xfId="14498"/>
    <cellStyle name="Процентный 4 3 100 3 2" xfId="46542"/>
    <cellStyle name="Процентный 4 3 100 4" xfId="25179"/>
    <cellStyle name="Процентный 4 3 100 4 2" xfId="57222"/>
    <cellStyle name="Процентный 4 3 100 5" xfId="35862"/>
    <cellStyle name="Процентный 4 3 101" xfId="3849"/>
    <cellStyle name="Процентный 4 3 101 2" xfId="9190"/>
    <cellStyle name="Процентный 4 3 101 2 2" xfId="19870"/>
    <cellStyle name="Процентный 4 3 101 2 2 2" xfId="51914"/>
    <cellStyle name="Процентный 4 3 101 2 3" xfId="30551"/>
    <cellStyle name="Процентный 4 3 101 2 3 2" xfId="62594"/>
    <cellStyle name="Процентный 4 3 101 2 4" xfId="41234"/>
    <cellStyle name="Процентный 4 3 101 3" xfId="14530"/>
    <cellStyle name="Процентный 4 3 101 3 2" xfId="46574"/>
    <cellStyle name="Процентный 4 3 101 4" xfId="25211"/>
    <cellStyle name="Процентный 4 3 101 4 2" xfId="57254"/>
    <cellStyle name="Процентный 4 3 101 5" xfId="35894"/>
    <cellStyle name="Процентный 4 3 102" xfId="3881"/>
    <cellStyle name="Процентный 4 3 102 2" xfId="9222"/>
    <cellStyle name="Процентный 4 3 102 2 2" xfId="19902"/>
    <cellStyle name="Процентный 4 3 102 2 2 2" xfId="51946"/>
    <cellStyle name="Процентный 4 3 102 2 3" xfId="30583"/>
    <cellStyle name="Процентный 4 3 102 2 3 2" xfId="62626"/>
    <cellStyle name="Процентный 4 3 102 2 4" xfId="41266"/>
    <cellStyle name="Процентный 4 3 102 3" xfId="14562"/>
    <cellStyle name="Процентный 4 3 102 3 2" xfId="46606"/>
    <cellStyle name="Процентный 4 3 102 4" xfId="25243"/>
    <cellStyle name="Процентный 4 3 102 4 2" xfId="57286"/>
    <cellStyle name="Процентный 4 3 102 5" xfId="35926"/>
    <cellStyle name="Процентный 4 3 103" xfId="3913"/>
    <cellStyle name="Процентный 4 3 103 2" xfId="9254"/>
    <cellStyle name="Процентный 4 3 103 2 2" xfId="19934"/>
    <cellStyle name="Процентный 4 3 103 2 2 2" xfId="51978"/>
    <cellStyle name="Процентный 4 3 103 2 3" xfId="30615"/>
    <cellStyle name="Процентный 4 3 103 2 3 2" xfId="62658"/>
    <cellStyle name="Процентный 4 3 103 2 4" xfId="41298"/>
    <cellStyle name="Процентный 4 3 103 3" xfId="14594"/>
    <cellStyle name="Процентный 4 3 103 3 2" xfId="46638"/>
    <cellStyle name="Процентный 4 3 103 4" xfId="25275"/>
    <cellStyle name="Процентный 4 3 103 4 2" xfId="57318"/>
    <cellStyle name="Процентный 4 3 103 5" xfId="35958"/>
    <cellStyle name="Процентный 4 3 104" xfId="3945"/>
    <cellStyle name="Процентный 4 3 104 2" xfId="9286"/>
    <cellStyle name="Процентный 4 3 104 2 2" xfId="19966"/>
    <cellStyle name="Процентный 4 3 104 2 2 2" xfId="52010"/>
    <cellStyle name="Процентный 4 3 104 2 3" xfId="30647"/>
    <cellStyle name="Процентный 4 3 104 2 3 2" xfId="62690"/>
    <cellStyle name="Процентный 4 3 104 2 4" xfId="41330"/>
    <cellStyle name="Процентный 4 3 104 3" xfId="14626"/>
    <cellStyle name="Процентный 4 3 104 3 2" xfId="46670"/>
    <cellStyle name="Процентный 4 3 104 4" xfId="25307"/>
    <cellStyle name="Процентный 4 3 104 4 2" xfId="57350"/>
    <cellStyle name="Процентный 4 3 104 5" xfId="35990"/>
    <cellStyle name="Процентный 4 3 105" xfId="3977"/>
    <cellStyle name="Процентный 4 3 105 2" xfId="9318"/>
    <cellStyle name="Процентный 4 3 105 2 2" xfId="19998"/>
    <cellStyle name="Процентный 4 3 105 2 2 2" xfId="52042"/>
    <cellStyle name="Процентный 4 3 105 2 3" xfId="30679"/>
    <cellStyle name="Процентный 4 3 105 2 3 2" xfId="62722"/>
    <cellStyle name="Процентный 4 3 105 2 4" xfId="41362"/>
    <cellStyle name="Процентный 4 3 105 3" xfId="14658"/>
    <cellStyle name="Процентный 4 3 105 3 2" xfId="46702"/>
    <cellStyle name="Процентный 4 3 105 4" xfId="25339"/>
    <cellStyle name="Процентный 4 3 105 4 2" xfId="57382"/>
    <cellStyle name="Процентный 4 3 105 5" xfId="36022"/>
    <cellStyle name="Процентный 4 3 106" xfId="4009"/>
    <cellStyle name="Процентный 4 3 106 2" xfId="9350"/>
    <cellStyle name="Процентный 4 3 106 2 2" xfId="20030"/>
    <cellStyle name="Процентный 4 3 106 2 2 2" xfId="52074"/>
    <cellStyle name="Процентный 4 3 106 2 3" xfId="30711"/>
    <cellStyle name="Процентный 4 3 106 2 3 2" xfId="62754"/>
    <cellStyle name="Процентный 4 3 106 2 4" xfId="41394"/>
    <cellStyle name="Процентный 4 3 106 3" xfId="14690"/>
    <cellStyle name="Процентный 4 3 106 3 2" xfId="46734"/>
    <cellStyle name="Процентный 4 3 106 4" xfId="25371"/>
    <cellStyle name="Процентный 4 3 106 4 2" xfId="57414"/>
    <cellStyle name="Процентный 4 3 106 5" xfId="36054"/>
    <cellStyle name="Процентный 4 3 107" xfId="4041"/>
    <cellStyle name="Процентный 4 3 107 2" xfId="9382"/>
    <cellStyle name="Процентный 4 3 107 2 2" xfId="20062"/>
    <cellStyle name="Процентный 4 3 107 2 2 2" xfId="52106"/>
    <cellStyle name="Процентный 4 3 107 2 3" xfId="30743"/>
    <cellStyle name="Процентный 4 3 107 2 3 2" xfId="62786"/>
    <cellStyle name="Процентный 4 3 107 2 4" xfId="41426"/>
    <cellStyle name="Процентный 4 3 107 3" xfId="14722"/>
    <cellStyle name="Процентный 4 3 107 3 2" xfId="46766"/>
    <cellStyle name="Процентный 4 3 107 4" xfId="25403"/>
    <cellStyle name="Процентный 4 3 107 4 2" xfId="57446"/>
    <cellStyle name="Процентный 4 3 107 5" xfId="36086"/>
    <cellStyle name="Процентный 4 3 108" xfId="4073"/>
    <cellStyle name="Процентный 4 3 108 2" xfId="9414"/>
    <cellStyle name="Процентный 4 3 108 2 2" xfId="20094"/>
    <cellStyle name="Процентный 4 3 108 2 2 2" xfId="52138"/>
    <cellStyle name="Процентный 4 3 108 2 3" xfId="30775"/>
    <cellStyle name="Процентный 4 3 108 2 3 2" xfId="62818"/>
    <cellStyle name="Процентный 4 3 108 2 4" xfId="41458"/>
    <cellStyle name="Процентный 4 3 108 3" xfId="14754"/>
    <cellStyle name="Процентный 4 3 108 3 2" xfId="46798"/>
    <cellStyle name="Процентный 4 3 108 4" xfId="25435"/>
    <cellStyle name="Процентный 4 3 108 4 2" xfId="57478"/>
    <cellStyle name="Процентный 4 3 108 5" xfId="36118"/>
    <cellStyle name="Процентный 4 3 109" xfId="4105"/>
    <cellStyle name="Процентный 4 3 109 2" xfId="9446"/>
    <cellStyle name="Процентный 4 3 109 2 2" xfId="20126"/>
    <cellStyle name="Процентный 4 3 109 2 2 2" xfId="52170"/>
    <cellStyle name="Процентный 4 3 109 2 3" xfId="30807"/>
    <cellStyle name="Процентный 4 3 109 2 3 2" xfId="62850"/>
    <cellStyle name="Процентный 4 3 109 2 4" xfId="41490"/>
    <cellStyle name="Процентный 4 3 109 3" xfId="14786"/>
    <cellStyle name="Процентный 4 3 109 3 2" xfId="46830"/>
    <cellStyle name="Процентный 4 3 109 4" xfId="25467"/>
    <cellStyle name="Процентный 4 3 109 4 2" xfId="57510"/>
    <cellStyle name="Процентный 4 3 109 5" xfId="36150"/>
    <cellStyle name="Процентный 4 3 11" xfId="1183"/>
    <cellStyle name="Процентный 4 3 11 2" xfId="6526"/>
    <cellStyle name="Процентный 4 3 11 2 2" xfId="17206"/>
    <cellStyle name="Процентный 4 3 11 2 2 2" xfId="49250"/>
    <cellStyle name="Процентный 4 3 11 2 3" xfId="27887"/>
    <cellStyle name="Процентный 4 3 11 2 3 2" xfId="59930"/>
    <cellStyle name="Процентный 4 3 11 2 4" xfId="38570"/>
    <cellStyle name="Процентный 4 3 11 3" xfId="11866"/>
    <cellStyle name="Процентный 4 3 11 3 2" xfId="43910"/>
    <cellStyle name="Процентный 4 3 11 4" xfId="22547"/>
    <cellStyle name="Процентный 4 3 11 4 2" xfId="54590"/>
    <cellStyle name="Процентный 4 3 11 5" xfId="33230"/>
    <cellStyle name="Процентный 4 3 110" xfId="4137"/>
    <cellStyle name="Процентный 4 3 110 2" xfId="9478"/>
    <cellStyle name="Процентный 4 3 110 2 2" xfId="20158"/>
    <cellStyle name="Процентный 4 3 110 2 2 2" xfId="52202"/>
    <cellStyle name="Процентный 4 3 110 2 3" xfId="30839"/>
    <cellStyle name="Процентный 4 3 110 2 3 2" xfId="62882"/>
    <cellStyle name="Процентный 4 3 110 2 4" xfId="41522"/>
    <cellStyle name="Процентный 4 3 110 3" xfId="14818"/>
    <cellStyle name="Процентный 4 3 110 3 2" xfId="46862"/>
    <cellStyle name="Процентный 4 3 110 4" xfId="25499"/>
    <cellStyle name="Процентный 4 3 110 4 2" xfId="57542"/>
    <cellStyle name="Процентный 4 3 110 5" xfId="36182"/>
    <cellStyle name="Процентный 4 3 111" xfId="4169"/>
    <cellStyle name="Процентный 4 3 111 2" xfId="9510"/>
    <cellStyle name="Процентный 4 3 111 2 2" xfId="20190"/>
    <cellStyle name="Процентный 4 3 111 2 2 2" xfId="52234"/>
    <cellStyle name="Процентный 4 3 111 2 3" xfId="30871"/>
    <cellStyle name="Процентный 4 3 111 2 3 2" xfId="62914"/>
    <cellStyle name="Процентный 4 3 111 2 4" xfId="41554"/>
    <cellStyle name="Процентный 4 3 111 3" xfId="14850"/>
    <cellStyle name="Процентный 4 3 111 3 2" xfId="46894"/>
    <cellStyle name="Процентный 4 3 111 4" xfId="25531"/>
    <cellStyle name="Процентный 4 3 111 4 2" xfId="57574"/>
    <cellStyle name="Процентный 4 3 111 5" xfId="36214"/>
    <cellStyle name="Процентный 4 3 112" xfId="4201"/>
    <cellStyle name="Процентный 4 3 112 2" xfId="9542"/>
    <cellStyle name="Процентный 4 3 112 2 2" xfId="20222"/>
    <cellStyle name="Процентный 4 3 112 2 2 2" xfId="52266"/>
    <cellStyle name="Процентный 4 3 112 2 3" xfId="30903"/>
    <cellStyle name="Процентный 4 3 112 2 3 2" xfId="62946"/>
    <cellStyle name="Процентный 4 3 112 2 4" xfId="41586"/>
    <cellStyle name="Процентный 4 3 112 3" xfId="14882"/>
    <cellStyle name="Процентный 4 3 112 3 2" xfId="46926"/>
    <cellStyle name="Процентный 4 3 112 4" xfId="25563"/>
    <cellStyle name="Процентный 4 3 112 4 2" xfId="57606"/>
    <cellStyle name="Процентный 4 3 112 5" xfId="36246"/>
    <cellStyle name="Процентный 4 3 113" xfId="4233"/>
    <cellStyle name="Процентный 4 3 113 2" xfId="9574"/>
    <cellStyle name="Процентный 4 3 113 2 2" xfId="20254"/>
    <cellStyle name="Процентный 4 3 113 2 2 2" xfId="52298"/>
    <cellStyle name="Процентный 4 3 113 2 3" xfId="30935"/>
    <cellStyle name="Процентный 4 3 113 2 3 2" xfId="62978"/>
    <cellStyle name="Процентный 4 3 113 2 4" xfId="41618"/>
    <cellStyle name="Процентный 4 3 113 3" xfId="14914"/>
    <cellStyle name="Процентный 4 3 113 3 2" xfId="46958"/>
    <cellStyle name="Процентный 4 3 113 4" xfId="25595"/>
    <cellStyle name="Процентный 4 3 113 4 2" xfId="57638"/>
    <cellStyle name="Процентный 4 3 113 5" xfId="36278"/>
    <cellStyle name="Процентный 4 3 114" xfId="4265"/>
    <cellStyle name="Процентный 4 3 114 2" xfId="9606"/>
    <cellStyle name="Процентный 4 3 114 2 2" xfId="20286"/>
    <cellStyle name="Процентный 4 3 114 2 2 2" xfId="52330"/>
    <cellStyle name="Процентный 4 3 114 2 3" xfId="30967"/>
    <cellStyle name="Процентный 4 3 114 2 3 2" xfId="63010"/>
    <cellStyle name="Процентный 4 3 114 2 4" xfId="41650"/>
    <cellStyle name="Процентный 4 3 114 3" xfId="14946"/>
    <cellStyle name="Процентный 4 3 114 3 2" xfId="46990"/>
    <cellStyle name="Процентный 4 3 114 4" xfId="25627"/>
    <cellStyle name="Процентный 4 3 114 4 2" xfId="57670"/>
    <cellStyle name="Процентный 4 3 114 5" xfId="36310"/>
    <cellStyle name="Процентный 4 3 115" xfId="4297"/>
    <cellStyle name="Процентный 4 3 115 2" xfId="9638"/>
    <cellStyle name="Процентный 4 3 115 2 2" xfId="20318"/>
    <cellStyle name="Процентный 4 3 115 2 2 2" xfId="52362"/>
    <cellStyle name="Процентный 4 3 115 2 3" xfId="30999"/>
    <cellStyle name="Процентный 4 3 115 2 3 2" xfId="63042"/>
    <cellStyle name="Процентный 4 3 115 2 4" xfId="41682"/>
    <cellStyle name="Процентный 4 3 115 3" xfId="14978"/>
    <cellStyle name="Процентный 4 3 115 3 2" xfId="47022"/>
    <cellStyle name="Процентный 4 3 115 4" xfId="25659"/>
    <cellStyle name="Процентный 4 3 115 4 2" xfId="57702"/>
    <cellStyle name="Процентный 4 3 115 5" xfId="36342"/>
    <cellStyle name="Процентный 4 3 116" xfId="4329"/>
    <cellStyle name="Процентный 4 3 116 2" xfId="9670"/>
    <cellStyle name="Процентный 4 3 116 2 2" xfId="20350"/>
    <cellStyle name="Процентный 4 3 116 2 2 2" xfId="52394"/>
    <cellStyle name="Процентный 4 3 116 2 3" xfId="31031"/>
    <cellStyle name="Процентный 4 3 116 2 3 2" xfId="63074"/>
    <cellStyle name="Процентный 4 3 116 2 4" xfId="41714"/>
    <cellStyle name="Процентный 4 3 116 3" xfId="15010"/>
    <cellStyle name="Процентный 4 3 116 3 2" xfId="47054"/>
    <cellStyle name="Процентный 4 3 116 4" xfId="25691"/>
    <cellStyle name="Процентный 4 3 116 4 2" xfId="57734"/>
    <cellStyle name="Процентный 4 3 116 5" xfId="36374"/>
    <cellStyle name="Процентный 4 3 117" xfId="4361"/>
    <cellStyle name="Процентный 4 3 117 2" xfId="9702"/>
    <cellStyle name="Процентный 4 3 117 2 2" xfId="20382"/>
    <cellStyle name="Процентный 4 3 117 2 2 2" xfId="52426"/>
    <cellStyle name="Процентный 4 3 117 2 3" xfId="31063"/>
    <cellStyle name="Процентный 4 3 117 2 3 2" xfId="63106"/>
    <cellStyle name="Процентный 4 3 117 2 4" xfId="41746"/>
    <cellStyle name="Процентный 4 3 117 3" xfId="15042"/>
    <cellStyle name="Процентный 4 3 117 3 2" xfId="47086"/>
    <cellStyle name="Процентный 4 3 117 4" xfId="25723"/>
    <cellStyle name="Процентный 4 3 117 4 2" xfId="57766"/>
    <cellStyle name="Процентный 4 3 117 5" xfId="36406"/>
    <cellStyle name="Процентный 4 3 118" xfId="4393"/>
    <cellStyle name="Процентный 4 3 118 2" xfId="9734"/>
    <cellStyle name="Процентный 4 3 118 2 2" xfId="20414"/>
    <cellStyle name="Процентный 4 3 118 2 2 2" xfId="52458"/>
    <cellStyle name="Процентный 4 3 118 2 3" xfId="31095"/>
    <cellStyle name="Процентный 4 3 118 2 3 2" xfId="63138"/>
    <cellStyle name="Процентный 4 3 118 2 4" xfId="41778"/>
    <cellStyle name="Процентный 4 3 118 3" xfId="15074"/>
    <cellStyle name="Процентный 4 3 118 3 2" xfId="47118"/>
    <cellStyle name="Процентный 4 3 118 4" xfId="25755"/>
    <cellStyle name="Процентный 4 3 118 4 2" xfId="57798"/>
    <cellStyle name="Процентный 4 3 118 5" xfId="36438"/>
    <cellStyle name="Процентный 4 3 119" xfId="4425"/>
    <cellStyle name="Процентный 4 3 119 2" xfId="9766"/>
    <cellStyle name="Процентный 4 3 119 2 2" xfId="20446"/>
    <cellStyle name="Процентный 4 3 119 2 2 2" xfId="52490"/>
    <cellStyle name="Процентный 4 3 119 2 3" xfId="31127"/>
    <cellStyle name="Процентный 4 3 119 2 3 2" xfId="63170"/>
    <cellStyle name="Процентный 4 3 119 2 4" xfId="41810"/>
    <cellStyle name="Процентный 4 3 119 3" xfId="15106"/>
    <cellStyle name="Процентный 4 3 119 3 2" xfId="47150"/>
    <cellStyle name="Процентный 4 3 119 4" xfId="25787"/>
    <cellStyle name="Процентный 4 3 119 4 2" xfId="57830"/>
    <cellStyle name="Процентный 4 3 119 5" xfId="36470"/>
    <cellStyle name="Процентный 4 3 12" xfId="1209"/>
    <cellStyle name="Процентный 4 3 12 2" xfId="6552"/>
    <cellStyle name="Процентный 4 3 12 2 2" xfId="17232"/>
    <cellStyle name="Процентный 4 3 12 2 2 2" xfId="49276"/>
    <cellStyle name="Процентный 4 3 12 2 3" xfId="27913"/>
    <cellStyle name="Процентный 4 3 12 2 3 2" xfId="59956"/>
    <cellStyle name="Процентный 4 3 12 2 4" xfId="38596"/>
    <cellStyle name="Процентный 4 3 12 3" xfId="11892"/>
    <cellStyle name="Процентный 4 3 12 3 2" xfId="43936"/>
    <cellStyle name="Процентный 4 3 12 4" xfId="22573"/>
    <cellStyle name="Процентный 4 3 12 4 2" xfId="54616"/>
    <cellStyle name="Процентный 4 3 12 5" xfId="33256"/>
    <cellStyle name="Процентный 4 3 120" xfId="4457"/>
    <cellStyle name="Процентный 4 3 120 2" xfId="9798"/>
    <cellStyle name="Процентный 4 3 120 2 2" xfId="20478"/>
    <cellStyle name="Процентный 4 3 120 2 2 2" xfId="52522"/>
    <cellStyle name="Процентный 4 3 120 2 3" xfId="31159"/>
    <cellStyle name="Процентный 4 3 120 2 3 2" xfId="63202"/>
    <cellStyle name="Процентный 4 3 120 2 4" xfId="41842"/>
    <cellStyle name="Процентный 4 3 120 3" xfId="15138"/>
    <cellStyle name="Процентный 4 3 120 3 2" xfId="47182"/>
    <cellStyle name="Процентный 4 3 120 4" xfId="25819"/>
    <cellStyle name="Процентный 4 3 120 4 2" xfId="57862"/>
    <cellStyle name="Процентный 4 3 120 5" xfId="36502"/>
    <cellStyle name="Процентный 4 3 121" xfId="4489"/>
    <cellStyle name="Процентный 4 3 121 2" xfId="9830"/>
    <cellStyle name="Процентный 4 3 121 2 2" xfId="20510"/>
    <cellStyle name="Процентный 4 3 121 2 2 2" xfId="52554"/>
    <cellStyle name="Процентный 4 3 121 2 3" xfId="31191"/>
    <cellStyle name="Процентный 4 3 121 2 3 2" xfId="63234"/>
    <cellStyle name="Процентный 4 3 121 2 4" xfId="41874"/>
    <cellStyle name="Процентный 4 3 121 3" xfId="15170"/>
    <cellStyle name="Процентный 4 3 121 3 2" xfId="47214"/>
    <cellStyle name="Процентный 4 3 121 4" xfId="25851"/>
    <cellStyle name="Процентный 4 3 121 4 2" xfId="57894"/>
    <cellStyle name="Процентный 4 3 121 5" xfId="36534"/>
    <cellStyle name="Процентный 4 3 122" xfId="4521"/>
    <cellStyle name="Процентный 4 3 122 2" xfId="9862"/>
    <cellStyle name="Процентный 4 3 122 2 2" xfId="20542"/>
    <cellStyle name="Процентный 4 3 122 2 2 2" xfId="52586"/>
    <cellStyle name="Процентный 4 3 122 2 3" xfId="31223"/>
    <cellStyle name="Процентный 4 3 122 2 3 2" xfId="63266"/>
    <cellStyle name="Процентный 4 3 122 2 4" xfId="41906"/>
    <cellStyle name="Процентный 4 3 122 3" xfId="15202"/>
    <cellStyle name="Процентный 4 3 122 3 2" xfId="47246"/>
    <cellStyle name="Процентный 4 3 122 4" xfId="25883"/>
    <cellStyle name="Процентный 4 3 122 4 2" xfId="57926"/>
    <cellStyle name="Процентный 4 3 122 5" xfId="36566"/>
    <cellStyle name="Процентный 4 3 123" xfId="4553"/>
    <cellStyle name="Процентный 4 3 123 2" xfId="9894"/>
    <cellStyle name="Процентный 4 3 123 2 2" xfId="20574"/>
    <cellStyle name="Процентный 4 3 123 2 2 2" xfId="52618"/>
    <cellStyle name="Процентный 4 3 123 2 3" xfId="31255"/>
    <cellStyle name="Процентный 4 3 123 2 3 2" xfId="63298"/>
    <cellStyle name="Процентный 4 3 123 2 4" xfId="41938"/>
    <cellStyle name="Процентный 4 3 123 3" xfId="15234"/>
    <cellStyle name="Процентный 4 3 123 3 2" xfId="47278"/>
    <cellStyle name="Процентный 4 3 123 4" xfId="25915"/>
    <cellStyle name="Процентный 4 3 123 4 2" xfId="57958"/>
    <cellStyle name="Процентный 4 3 123 5" xfId="36598"/>
    <cellStyle name="Процентный 4 3 124" xfId="4585"/>
    <cellStyle name="Процентный 4 3 124 2" xfId="9926"/>
    <cellStyle name="Процентный 4 3 124 2 2" xfId="20606"/>
    <cellStyle name="Процентный 4 3 124 2 2 2" xfId="52650"/>
    <cellStyle name="Процентный 4 3 124 2 3" xfId="31287"/>
    <cellStyle name="Процентный 4 3 124 2 3 2" xfId="63330"/>
    <cellStyle name="Процентный 4 3 124 2 4" xfId="41970"/>
    <cellStyle name="Процентный 4 3 124 3" xfId="15266"/>
    <cellStyle name="Процентный 4 3 124 3 2" xfId="47310"/>
    <cellStyle name="Процентный 4 3 124 4" xfId="25947"/>
    <cellStyle name="Процентный 4 3 124 4 2" xfId="57990"/>
    <cellStyle name="Процентный 4 3 124 5" xfId="36630"/>
    <cellStyle name="Процентный 4 3 125" xfId="4617"/>
    <cellStyle name="Процентный 4 3 125 2" xfId="9958"/>
    <cellStyle name="Процентный 4 3 125 2 2" xfId="20638"/>
    <cellStyle name="Процентный 4 3 125 2 2 2" xfId="52682"/>
    <cellStyle name="Процентный 4 3 125 2 3" xfId="31319"/>
    <cellStyle name="Процентный 4 3 125 2 3 2" xfId="63362"/>
    <cellStyle name="Процентный 4 3 125 2 4" xfId="42002"/>
    <cellStyle name="Процентный 4 3 125 3" xfId="15298"/>
    <cellStyle name="Процентный 4 3 125 3 2" xfId="47342"/>
    <cellStyle name="Процентный 4 3 125 4" xfId="25979"/>
    <cellStyle name="Процентный 4 3 125 4 2" xfId="58022"/>
    <cellStyle name="Процентный 4 3 125 5" xfId="36662"/>
    <cellStyle name="Процентный 4 3 126" xfId="4649"/>
    <cellStyle name="Процентный 4 3 126 2" xfId="9990"/>
    <cellStyle name="Процентный 4 3 126 2 2" xfId="20670"/>
    <cellStyle name="Процентный 4 3 126 2 2 2" xfId="52714"/>
    <cellStyle name="Процентный 4 3 126 2 3" xfId="31351"/>
    <cellStyle name="Процентный 4 3 126 2 3 2" xfId="63394"/>
    <cellStyle name="Процентный 4 3 126 2 4" xfId="42034"/>
    <cellStyle name="Процентный 4 3 126 3" xfId="15330"/>
    <cellStyle name="Процентный 4 3 126 3 2" xfId="47374"/>
    <cellStyle name="Процентный 4 3 126 4" xfId="26011"/>
    <cellStyle name="Процентный 4 3 126 4 2" xfId="58054"/>
    <cellStyle name="Процентный 4 3 126 5" xfId="36694"/>
    <cellStyle name="Процентный 4 3 127" xfId="4681"/>
    <cellStyle name="Процентный 4 3 127 2" xfId="10022"/>
    <cellStyle name="Процентный 4 3 127 2 2" xfId="20702"/>
    <cellStyle name="Процентный 4 3 127 2 2 2" xfId="52746"/>
    <cellStyle name="Процентный 4 3 127 2 3" xfId="31383"/>
    <cellStyle name="Процентный 4 3 127 2 3 2" xfId="63426"/>
    <cellStyle name="Процентный 4 3 127 2 4" xfId="42066"/>
    <cellStyle name="Процентный 4 3 127 3" xfId="15362"/>
    <cellStyle name="Процентный 4 3 127 3 2" xfId="47406"/>
    <cellStyle name="Процентный 4 3 127 4" xfId="26043"/>
    <cellStyle name="Процентный 4 3 127 4 2" xfId="58086"/>
    <cellStyle name="Процентный 4 3 127 5" xfId="36726"/>
    <cellStyle name="Процентный 4 3 128" xfId="4715"/>
    <cellStyle name="Процентный 4 3 128 2" xfId="10056"/>
    <cellStyle name="Процентный 4 3 128 2 2" xfId="20736"/>
    <cellStyle name="Процентный 4 3 128 2 2 2" xfId="52780"/>
    <cellStyle name="Процентный 4 3 128 2 3" xfId="31417"/>
    <cellStyle name="Процентный 4 3 128 2 3 2" xfId="63460"/>
    <cellStyle name="Процентный 4 3 128 2 4" xfId="42100"/>
    <cellStyle name="Процентный 4 3 128 3" xfId="15396"/>
    <cellStyle name="Процентный 4 3 128 3 2" xfId="47440"/>
    <cellStyle name="Процентный 4 3 128 4" xfId="26077"/>
    <cellStyle name="Процентный 4 3 128 4 2" xfId="58120"/>
    <cellStyle name="Процентный 4 3 128 5" xfId="36760"/>
    <cellStyle name="Процентный 4 3 129" xfId="4747"/>
    <cellStyle name="Процентный 4 3 129 2" xfId="10088"/>
    <cellStyle name="Процентный 4 3 129 2 2" xfId="20768"/>
    <cellStyle name="Процентный 4 3 129 2 2 2" xfId="52812"/>
    <cellStyle name="Процентный 4 3 129 2 3" xfId="31449"/>
    <cellStyle name="Процентный 4 3 129 2 3 2" xfId="63492"/>
    <cellStyle name="Процентный 4 3 129 2 4" xfId="42132"/>
    <cellStyle name="Процентный 4 3 129 3" xfId="15428"/>
    <cellStyle name="Процентный 4 3 129 3 2" xfId="47472"/>
    <cellStyle name="Процентный 4 3 129 4" xfId="26109"/>
    <cellStyle name="Процентный 4 3 129 4 2" xfId="58152"/>
    <cellStyle name="Процентный 4 3 129 5" xfId="36792"/>
    <cellStyle name="Процентный 4 3 13" xfId="1235"/>
    <cellStyle name="Процентный 4 3 13 2" xfId="6578"/>
    <cellStyle name="Процентный 4 3 13 2 2" xfId="17258"/>
    <cellStyle name="Процентный 4 3 13 2 2 2" xfId="49302"/>
    <cellStyle name="Процентный 4 3 13 2 3" xfId="27939"/>
    <cellStyle name="Процентный 4 3 13 2 3 2" xfId="59982"/>
    <cellStyle name="Процентный 4 3 13 2 4" xfId="38622"/>
    <cellStyle name="Процентный 4 3 13 3" xfId="11918"/>
    <cellStyle name="Процентный 4 3 13 3 2" xfId="43962"/>
    <cellStyle name="Процентный 4 3 13 4" xfId="22599"/>
    <cellStyle name="Процентный 4 3 13 4 2" xfId="54642"/>
    <cellStyle name="Процентный 4 3 13 5" xfId="33282"/>
    <cellStyle name="Процентный 4 3 130" xfId="4779"/>
    <cellStyle name="Процентный 4 3 130 2" xfId="10120"/>
    <cellStyle name="Процентный 4 3 130 2 2" xfId="20800"/>
    <cellStyle name="Процентный 4 3 130 2 2 2" xfId="52844"/>
    <cellStyle name="Процентный 4 3 130 2 3" xfId="31481"/>
    <cellStyle name="Процентный 4 3 130 2 3 2" xfId="63524"/>
    <cellStyle name="Процентный 4 3 130 2 4" xfId="42164"/>
    <cellStyle name="Процентный 4 3 130 3" xfId="15460"/>
    <cellStyle name="Процентный 4 3 130 3 2" xfId="47504"/>
    <cellStyle name="Процентный 4 3 130 4" xfId="26141"/>
    <cellStyle name="Процентный 4 3 130 4 2" xfId="58184"/>
    <cellStyle name="Процентный 4 3 130 5" xfId="36824"/>
    <cellStyle name="Процентный 4 3 131" xfId="4811"/>
    <cellStyle name="Процентный 4 3 131 2" xfId="10152"/>
    <cellStyle name="Процентный 4 3 131 2 2" xfId="20832"/>
    <cellStyle name="Процентный 4 3 131 2 2 2" xfId="52876"/>
    <cellStyle name="Процентный 4 3 131 2 3" xfId="31513"/>
    <cellStyle name="Процентный 4 3 131 2 3 2" xfId="63556"/>
    <cellStyle name="Процентный 4 3 131 2 4" xfId="42196"/>
    <cellStyle name="Процентный 4 3 131 3" xfId="15492"/>
    <cellStyle name="Процентный 4 3 131 3 2" xfId="47536"/>
    <cellStyle name="Процентный 4 3 131 4" xfId="26173"/>
    <cellStyle name="Процентный 4 3 131 4 2" xfId="58216"/>
    <cellStyle name="Процентный 4 3 131 5" xfId="36856"/>
    <cellStyle name="Процентный 4 3 132" xfId="4843"/>
    <cellStyle name="Процентный 4 3 132 2" xfId="10184"/>
    <cellStyle name="Процентный 4 3 132 2 2" xfId="20864"/>
    <cellStyle name="Процентный 4 3 132 2 2 2" xfId="52908"/>
    <cellStyle name="Процентный 4 3 132 2 3" xfId="31545"/>
    <cellStyle name="Процентный 4 3 132 2 3 2" xfId="63588"/>
    <cellStyle name="Процентный 4 3 132 2 4" xfId="42228"/>
    <cellStyle name="Процентный 4 3 132 3" xfId="15524"/>
    <cellStyle name="Процентный 4 3 132 3 2" xfId="47568"/>
    <cellStyle name="Процентный 4 3 132 4" xfId="26205"/>
    <cellStyle name="Процентный 4 3 132 4 2" xfId="58248"/>
    <cellStyle name="Процентный 4 3 132 5" xfId="36888"/>
    <cellStyle name="Процентный 4 3 133" xfId="4875"/>
    <cellStyle name="Процентный 4 3 133 2" xfId="10216"/>
    <cellStyle name="Процентный 4 3 133 2 2" xfId="20896"/>
    <cellStyle name="Процентный 4 3 133 2 2 2" xfId="52940"/>
    <cellStyle name="Процентный 4 3 133 2 3" xfId="31577"/>
    <cellStyle name="Процентный 4 3 133 2 3 2" xfId="63620"/>
    <cellStyle name="Процентный 4 3 133 2 4" xfId="42260"/>
    <cellStyle name="Процентный 4 3 133 3" xfId="15556"/>
    <cellStyle name="Процентный 4 3 133 3 2" xfId="47600"/>
    <cellStyle name="Процентный 4 3 133 4" xfId="26237"/>
    <cellStyle name="Процентный 4 3 133 4 2" xfId="58280"/>
    <cellStyle name="Процентный 4 3 133 5" xfId="36920"/>
    <cellStyle name="Процентный 4 3 134" xfId="4907"/>
    <cellStyle name="Процентный 4 3 134 2" xfId="10248"/>
    <cellStyle name="Процентный 4 3 134 2 2" xfId="20928"/>
    <cellStyle name="Процентный 4 3 134 2 2 2" xfId="52972"/>
    <cellStyle name="Процентный 4 3 134 2 3" xfId="31609"/>
    <cellStyle name="Процентный 4 3 134 2 3 2" xfId="63652"/>
    <cellStyle name="Процентный 4 3 134 2 4" xfId="42292"/>
    <cellStyle name="Процентный 4 3 134 3" xfId="15588"/>
    <cellStyle name="Процентный 4 3 134 3 2" xfId="47632"/>
    <cellStyle name="Процентный 4 3 134 4" xfId="26269"/>
    <cellStyle name="Процентный 4 3 134 4 2" xfId="58312"/>
    <cellStyle name="Процентный 4 3 134 5" xfId="36952"/>
    <cellStyle name="Процентный 4 3 135" xfId="4939"/>
    <cellStyle name="Процентный 4 3 135 2" xfId="10280"/>
    <cellStyle name="Процентный 4 3 135 2 2" xfId="20960"/>
    <cellStyle name="Процентный 4 3 135 2 2 2" xfId="53004"/>
    <cellStyle name="Процентный 4 3 135 2 3" xfId="31641"/>
    <cellStyle name="Процентный 4 3 135 2 3 2" xfId="63684"/>
    <cellStyle name="Процентный 4 3 135 2 4" xfId="42324"/>
    <cellStyle name="Процентный 4 3 135 3" xfId="15620"/>
    <cellStyle name="Процентный 4 3 135 3 2" xfId="47664"/>
    <cellStyle name="Процентный 4 3 135 4" xfId="26301"/>
    <cellStyle name="Процентный 4 3 135 4 2" xfId="58344"/>
    <cellStyle name="Процентный 4 3 135 5" xfId="36984"/>
    <cellStyle name="Процентный 4 3 136" xfId="4971"/>
    <cellStyle name="Процентный 4 3 136 2" xfId="10312"/>
    <cellStyle name="Процентный 4 3 136 2 2" xfId="20992"/>
    <cellStyle name="Процентный 4 3 136 2 2 2" xfId="53036"/>
    <cellStyle name="Процентный 4 3 136 2 3" xfId="31673"/>
    <cellStyle name="Процентный 4 3 136 2 3 2" xfId="63716"/>
    <cellStyle name="Процентный 4 3 136 2 4" xfId="42356"/>
    <cellStyle name="Процентный 4 3 136 3" xfId="15652"/>
    <cellStyle name="Процентный 4 3 136 3 2" xfId="47696"/>
    <cellStyle name="Процентный 4 3 136 4" xfId="26333"/>
    <cellStyle name="Процентный 4 3 136 4 2" xfId="58376"/>
    <cellStyle name="Процентный 4 3 136 5" xfId="37016"/>
    <cellStyle name="Процентный 4 3 137" xfId="5003"/>
    <cellStyle name="Процентный 4 3 137 2" xfId="10344"/>
    <cellStyle name="Процентный 4 3 137 2 2" xfId="21024"/>
    <cellStyle name="Процентный 4 3 137 2 2 2" xfId="53068"/>
    <cellStyle name="Процентный 4 3 137 2 3" xfId="31705"/>
    <cellStyle name="Процентный 4 3 137 2 3 2" xfId="63748"/>
    <cellStyle name="Процентный 4 3 137 2 4" xfId="42388"/>
    <cellStyle name="Процентный 4 3 137 3" xfId="15684"/>
    <cellStyle name="Процентный 4 3 137 3 2" xfId="47728"/>
    <cellStyle name="Процентный 4 3 137 4" xfId="26365"/>
    <cellStyle name="Процентный 4 3 137 4 2" xfId="58408"/>
    <cellStyle name="Процентный 4 3 137 5" xfId="37048"/>
    <cellStyle name="Процентный 4 3 138" xfId="5035"/>
    <cellStyle name="Процентный 4 3 138 2" xfId="10376"/>
    <cellStyle name="Процентный 4 3 138 2 2" xfId="21056"/>
    <cellStyle name="Процентный 4 3 138 2 2 2" xfId="53100"/>
    <cellStyle name="Процентный 4 3 138 2 3" xfId="31737"/>
    <cellStyle name="Процентный 4 3 138 2 3 2" xfId="63780"/>
    <cellStyle name="Процентный 4 3 138 2 4" xfId="42420"/>
    <cellStyle name="Процентный 4 3 138 3" xfId="15716"/>
    <cellStyle name="Процентный 4 3 138 3 2" xfId="47760"/>
    <cellStyle name="Процентный 4 3 138 4" xfId="26397"/>
    <cellStyle name="Процентный 4 3 138 4 2" xfId="58440"/>
    <cellStyle name="Процентный 4 3 138 5" xfId="37080"/>
    <cellStyle name="Процентный 4 3 139" xfId="5067"/>
    <cellStyle name="Процентный 4 3 139 2" xfId="10408"/>
    <cellStyle name="Процентный 4 3 139 2 2" xfId="21088"/>
    <cellStyle name="Процентный 4 3 139 2 2 2" xfId="53132"/>
    <cellStyle name="Процентный 4 3 139 2 3" xfId="31769"/>
    <cellStyle name="Процентный 4 3 139 2 3 2" xfId="63812"/>
    <cellStyle name="Процентный 4 3 139 2 4" xfId="42452"/>
    <cellStyle name="Процентный 4 3 139 3" xfId="15748"/>
    <cellStyle name="Процентный 4 3 139 3 2" xfId="47792"/>
    <cellStyle name="Процентный 4 3 139 4" xfId="26429"/>
    <cellStyle name="Процентный 4 3 139 4 2" xfId="58472"/>
    <cellStyle name="Процентный 4 3 139 5" xfId="37112"/>
    <cellStyle name="Процентный 4 3 14" xfId="1261"/>
    <cellStyle name="Процентный 4 3 14 2" xfId="6604"/>
    <cellStyle name="Процентный 4 3 14 2 2" xfId="17284"/>
    <cellStyle name="Процентный 4 3 14 2 2 2" xfId="49328"/>
    <cellStyle name="Процентный 4 3 14 2 3" xfId="27965"/>
    <cellStyle name="Процентный 4 3 14 2 3 2" xfId="60008"/>
    <cellStyle name="Процентный 4 3 14 2 4" xfId="38648"/>
    <cellStyle name="Процентный 4 3 14 3" xfId="11944"/>
    <cellStyle name="Процентный 4 3 14 3 2" xfId="43988"/>
    <cellStyle name="Процентный 4 3 14 4" xfId="22625"/>
    <cellStyle name="Процентный 4 3 14 4 2" xfId="54668"/>
    <cellStyle name="Процентный 4 3 14 5" xfId="33308"/>
    <cellStyle name="Процентный 4 3 140" xfId="5099"/>
    <cellStyle name="Процентный 4 3 140 2" xfId="10440"/>
    <cellStyle name="Процентный 4 3 140 2 2" xfId="21120"/>
    <cellStyle name="Процентный 4 3 140 2 2 2" xfId="53164"/>
    <cellStyle name="Процентный 4 3 140 2 3" xfId="31801"/>
    <cellStyle name="Процентный 4 3 140 2 3 2" xfId="63844"/>
    <cellStyle name="Процентный 4 3 140 2 4" xfId="42484"/>
    <cellStyle name="Процентный 4 3 140 3" xfId="15780"/>
    <cellStyle name="Процентный 4 3 140 3 2" xfId="47824"/>
    <cellStyle name="Процентный 4 3 140 4" xfId="26461"/>
    <cellStyle name="Процентный 4 3 140 4 2" xfId="58504"/>
    <cellStyle name="Процентный 4 3 140 5" xfId="37144"/>
    <cellStyle name="Процентный 4 3 141" xfId="5131"/>
    <cellStyle name="Процентный 4 3 141 2" xfId="10472"/>
    <cellStyle name="Процентный 4 3 141 2 2" xfId="21152"/>
    <cellStyle name="Процентный 4 3 141 2 2 2" xfId="53196"/>
    <cellStyle name="Процентный 4 3 141 2 3" xfId="31833"/>
    <cellStyle name="Процентный 4 3 141 2 3 2" xfId="63876"/>
    <cellStyle name="Процентный 4 3 141 2 4" xfId="42516"/>
    <cellStyle name="Процентный 4 3 141 3" xfId="15812"/>
    <cellStyle name="Процентный 4 3 141 3 2" xfId="47856"/>
    <cellStyle name="Процентный 4 3 141 4" xfId="26493"/>
    <cellStyle name="Процентный 4 3 141 4 2" xfId="58536"/>
    <cellStyle name="Процентный 4 3 141 5" xfId="37176"/>
    <cellStyle name="Процентный 4 3 142" xfId="5163"/>
    <cellStyle name="Процентный 4 3 142 2" xfId="10504"/>
    <cellStyle name="Процентный 4 3 142 2 2" xfId="21184"/>
    <cellStyle name="Процентный 4 3 142 2 2 2" xfId="53228"/>
    <cellStyle name="Процентный 4 3 142 2 3" xfId="31865"/>
    <cellStyle name="Процентный 4 3 142 2 3 2" xfId="63908"/>
    <cellStyle name="Процентный 4 3 142 2 4" xfId="42548"/>
    <cellStyle name="Процентный 4 3 142 3" xfId="15844"/>
    <cellStyle name="Процентный 4 3 142 3 2" xfId="47888"/>
    <cellStyle name="Процентный 4 3 142 4" xfId="26525"/>
    <cellStyle name="Процентный 4 3 142 4 2" xfId="58568"/>
    <cellStyle name="Процентный 4 3 142 5" xfId="37208"/>
    <cellStyle name="Процентный 4 3 143" xfId="5195"/>
    <cellStyle name="Процентный 4 3 143 2" xfId="10536"/>
    <cellStyle name="Процентный 4 3 143 2 2" xfId="21216"/>
    <cellStyle name="Процентный 4 3 143 2 2 2" xfId="53260"/>
    <cellStyle name="Процентный 4 3 143 2 3" xfId="31897"/>
    <cellStyle name="Процентный 4 3 143 2 3 2" xfId="63940"/>
    <cellStyle name="Процентный 4 3 143 2 4" xfId="42580"/>
    <cellStyle name="Процентный 4 3 143 3" xfId="15876"/>
    <cellStyle name="Процентный 4 3 143 3 2" xfId="47920"/>
    <cellStyle name="Процентный 4 3 143 4" xfId="26557"/>
    <cellStyle name="Процентный 4 3 143 4 2" xfId="58600"/>
    <cellStyle name="Процентный 4 3 143 5" xfId="37240"/>
    <cellStyle name="Процентный 4 3 144" xfId="5227"/>
    <cellStyle name="Процентный 4 3 144 2" xfId="10568"/>
    <cellStyle name="Процентный 4 3 144 2 2" xfId="21248"/>
    <cellStyle name="Процентный 4 3 144 2 2 2" xfId="53292"/>
    <cellStyle name="Процентный 4 3 144 2 3" xfId="31929"/>
    <cellStyle name="Процентный 4 3 144 2 3 2" xfId="63972"/>
    <cellStyle name="Процентный 4 3 144 2 4" xfId="42612"/>
    <cellStyle name="Процентный 4 3 144 3" xfId="15908"/>
    <cellStyle name="Процентный 4 3 144 3 2" xfId="47952"/>
    <cellStyle name="Процентный 4 3 144 4" xfId="26589"/>
    <cellStyle name="Процентный 4 3 144 4 2" xfId="58632"/>
    <cellStyle name="Процентный 4 3 144 5" xfId="37272"/>
    <cellStyle name="Процентный 4 3 145" xfId="5259"/>
    <cellStyle name="Процентный 4 3 145 2" xfId="10600"/>
    <cellStyle name="Процентный 4 3 145 2 2" xfId="21280"/>
    <cellStyle name="Процентный 4 3 145 2 2 2" xfId="53324"/>
    <cellStyle name="Процентный 4 3 145 2 3" xfId="31961"/>
    <cellStyle name="Процентный 4 3 145 2 3 2" xfId="64004"/>
    <cellStyle name="Процентный 4 3 145 2 4" xfId="42644"/>
    <cellStyle name="Процентный 4 3 145 3" xfId="15940"/>
    <cellStyle name="Процентный 4 3 145 3 2" xfId="47984"/>
    <cellStyle name="Процентный 4 3 145 4" xfId="26621"/>
    <cellStyle name="Процентный 4 3 145 4 2" xfId="58664"/>
    <cellStyle name="Процентный 4 3 145 5" xfId="37304"/>
    <cellStyle name="Процентный 4 3 146" xfId="5291"/>
    <cellStyle name="Процентный 4 3 146 2" xfId="10632"/>
    <cellStyle name="Процентный 4 3 146 2 2" xfId="21312"/>
    <cellStyle name="Процентный 4 3 146 2 2 2" xfId="53356"/>
    <cellStyle name="Процентный 4 3 146 2 3" xfId="31993"/>
    <cellStyle name="Процентный 4 3 146 2 3 2" xfId="64036"/>
    <cellStyle name="Процентный 4 3 146 2 4" xfId="42676"/>
    <cellStyle name="Процентный 4 3 146 3" xfId="15972"/>
    <cellStyle name="Процентный 4 3 146 3 2" xfId="48016"/>
    <cellStyle name="Процентный 4 3 146 4" xfId="26653"/>
    <cellStyle name="Процентный 4 3 146 4 2" xfId="58696"/>
    <cellStyle name="Процентный 4 3 146 5" xfId="37336"/>
    <cellStyle name="Процентный 4 3 147" xfId="5323"/>
    <cellStyle name="Процентный 4 3 147 2" xfId="10664"/>
    <cellStyle name="Процентный 4 3 147 2 2" xfId="21344"/>
    <cellStyle name="Процентный 4 3 147 2 2 2" xfId="53388"/>
    <cellStyle name="Процентный 4 3 147 2 3" xfId="32025"/>
    <cellStyle name="Процентный 4 3 147 2 3 2" xfId="64068"/>
    <cellStyle name="Процентный 4 3 147 2 4" xfId="42708"/>
    <cellStyle name="Процентный 4 3 147 3" xfId="16004"/>
    <cellStyle name="Процентный 4 3 147 3 2" xfId="48048"/>
    <cellStyle name="Процентный 4 3 147 4" xfId="26685"/>
    <cellStyle name="Процентный 4 3 147 4 2" xfId="58728"/>
    <cellStyle name="Процентный 4 3 147 5" xfId="37368"/>
    <cellStyle name="Процентный 4 3 148" xfId="5355"/>
    <cellStyle name="Процентный 4 3 148 2" xfId="10696"/>
    <cellStyle name="Процентный 4 3 148 2 2" xfId="21376"/>
    <cellStyle name="Процентный 4 3 148 2 2 2" xfId="53420"/>
    <cellStyle name="Процентный 4 3 148 2 3" xfId="32057"/>
    <cellStyle name="Процентный 4 3 148 2 3 2" xfId="64100"/>
    <cellStyle name="Процентный 4 3 148 2 4" xfId="42740"/>
    <cellStyle name="Процентный 4 3 148 3" xfId="16036"/>
    <cellStyle name="Процентный 4 3 148 3 2" xfId="48080"/>
    <cellStyle name="Процентный 4 3 148 4" xfId="26717"/>
    <cellStyle name="Процентный 4 3 148 4 2" xfId="58760"/>
    <cellStyle name="Процентный 4 3 148 5" xfId="37400"/>
    <cellStyle name="Процентный 4 3 149" xfId="5381"/>
    <cellStyle name="Процентный 4 3 149 2" xfId="16061"/>
    <cellStyle name="Процентный 4 3 149 2 2" xfId="48105"/>
    <cellStyle name="Процентный 4 3 149 3" xfId="26742"/>
    <cellStyle name="Процентный 4 3 149 3 2" xfId="58785"/>
    <cellStyle name="Процентный 4 3 149 4" xfId="37425"/>
    <cellStyle name="Процентный 4 3 15" xfId="1287"/>
    <cellStyle name="Процентный 4 3 15 2" xfId="6630"/>
    <cellStyle name="Процентный 4 3 15 2 2" xfId="17310"/>
    <cellStyle name="Процентный 4 3 15 2 2 2" xfId="49354"/>
    <cellStyle name="Процентный 4 3 15 2 3" xfId="27991"/>
    <cellStyle name="Процентный 4 3 15 2 3 2" xfId="60034"/>
    <cellStyle name="Процентный 4 3 15 2 4" xfId="38674"/>
    <cellStyle name="Процентный 4 3 15 3" xfId="11970"/>
    <cellStyle name="Процентный 4 3 15 3 2" xfId="44014"/>
    <cellStyle name="Процентный 4 3 15 4" xfId="22651"/>
    <cellStyle name="Процентный 4 3 15 4 2" xfId="54694"/>
    <cellStyle name="Процентный 4 3 15 5" xfId="33334"/>
    <cellStyle name="Процентный 4 3 150" xfId="10721"/>
    <cellStyle name="Процентный 4 3 150 2" xfId="42765"/>
    <cellStyle name="Процентный 4 3 151" xfId="21402"/>
    <cellStyle name="Процентный 4 3 151 2" xfId="53445"/>
    <cellStyle name="Процентный 4 3 152" xfId="32085"/>
    <cellStyle name="Процентный 4 3 16" xfId="1314"/>
    <cellStyle name="Процентный 4 3 16 2" xfId="6656"/>
    <cellStyle name="Процентный 4 3 16 2 2" xfId="17336"/>
    <cellStyle name="Процентный 4 3 16 2 2 2" xfId="49380"/>
    <cellStyle name="Процентный 4 3 16 2 3" xfId="28017"/>
    <cellStyle name="Процентный 4 3 16 2 3 2" xfId="60060"/>
    <cellStyle name="Процентный 4 3 16 2 4" xfId="38700"/>
    <cellStyle name="Процентный 4 3 16 3" xfId="11996"/>
    <cellStyle name="Процентный 4 3 16 3 2" xfId="44040"/>
    <cellStyle name="Процентный 4 3 16 4" xfId="22677"/>
    <cellStyle name="Процентный 4 3 16 4 2" xfId="54720"/>
    <cellStyle name="Процентный 4 3 16 5" xfId="33360"/>
    <cellStyle name="Процентный 4 3 17" xfId="1340"/>
    <cellStyle name="Процентный 4 3 17 2" xfId="6682"/>
    <cellStyle name="Процентный 4 3 17 2 2" xfId="17362"/>
    <cellStyle name="Процентный 4 3 17 2 2 2" xfId="49406"/>
    <cellStyle name="Процентный 4 3 17 2 3" xfId="28043"/>
    <cellStyle name="Процентный 4 3 17 2 3 2" xfId="60086"/>
    <cellStyle name="Процентный 4 3 17 2 4" xfId="38726"/>
    <cellStyle name="Процентный 4 3 17 3" xfId="12022"/>
    <cellStyle name="Процентный 4 3 17 3 2" xfId="44066"/>
    <cellStyle name="Процентный 4 3 17 4" xfId="22703"/>
    <cellStyle name="Процентный 4 3 17 4 2" xfId="54746"/>
    <cellStyle name="Процентный 4 3 17 5" xfId="33386"/>
    <cellStyle name="Процентный 4 3 18" xfId="1366"/>
    <cellStyle name="Процентный 4 3 18 2" xfId="6708"/>
    <cellStyle name="Процентный 4 3 18 2 2" xfId="17388"/>
    <cellStyle name="Процентный 4 3 18 2 2 2" xfId="49432"/>
    <cellStyle name="Процентный 4 3 18 2 3" xfId="28069"/>
    <cellStyle name="Процентный 4 3 18 2 3 2" xfId="60112"/>
    <cellStyle name="Процентный 4 3 18 2 4" xfId="38752"/>
    <cellStyle name="Процентный 4 3 18 3" xfId="12048"/>
    <cellStyle name="Процентный 4 3 18 3 2" xfId="44092"/>
    <cellStyle name="Процентный 4 3 18 4" xfId="22729"/>
    <cellStyle name="Процентный 4 3 18 4 2" xfId="54772"/>
    <cellStyle name="Процентный 4 3 18 5" xfId="33412"/>
    <cellStyle name="Процентный 4 3 19" xfId="1392"/>
    <cellStyle name="Процентный 4 3 19 2" xfId="6734"/>
    <cellStyle name="Процентный 4 3 19 2 2" xfId="17414"/>
    <cellStyle name="Процентный 4 3 19 2 2 2" xfId="49458"/>
    <cellStyle name="Процентный 4 3 19 2 3" xfId="28095"/>
    <cellStyle name="Процентный 4 3 19 2 3 2" xfId="60138"/>
    <cellStyle name="Процентный 4 3 19 2 4" xfId="38778"/>
    <cellStyle name="Процентный 4 3 19 3" xfId="12074"/>
    <cellStyle name="Процентный 4 3 19 3 2" xfId="44118"/>
    <cellStyle name="Процентный 4 3 19 4" xfId="22755"/>
    <cellStyle name="Процентный 4 3 19 4 2" xfId="54798"/>
    <cellStyle name="Процентный 4 3 19 5" xfId="33438"/>
    <cellStyle name="Процентный 4 3 2" xfId="505"/>
    <cellStyle name="Процентный 4 3 2 2" xfId="5848"/>
    <cellStyle name="Процентный 4 3 2 2 2" xfId="16528"/>
    <cellStyle name="Процентный 4 3 2 2 2 2" xfId="48572"/>
    <cellStyle name="Процентный 4 3 2 2 3" xfId="27209"/>
    <cellStyle name="Процентный 4 3 2 2 3 2" xfId="59252"/>
    <cellStyle name="Процентный 4 3 2 2 4" xfId="37892"/>
    <cellStyle name="Процентный 4 3 2 3" xfId="11188"/>
    <cellStyle name="Процентный 4 3 2 3 2" xfId="43232"/>
    <cellStyle name="Процентный 4 3 2 4" xfId="21869"/>
    <cellStyle name="Процентный 4 3 2 4 2" xfId="53912"/>
    <cellStyle name="Процентный 4 3 2 5" xfId="32552"/>
    <cellStyle name="Процентный 4 3 20" xfId="1418"/>
    <cellStyle name="Процентный 4 3 20 2" xfId="6760"/>
    <cellStyle name="Процентный 4 3 20 2 2" xfId="17440"/>
    <cellStyle name="Процентный 4 3 20 2 2 2" xfId="49484"/>
    <cellStyle name="Процентный 4 3 20 2 3" xfId="28121"/>
    <cellStyle name="Процентный 4 3 20 2 3 2" xfId="60164"/>
    <cellStyle name="Процентный 4 3 20 2 4" xfId="38804"/>
    <cellStyle name="Процентный 4 3 20 3" xfId="12100"/>
    <cellStyle name="Процентный 4 3 20 3 2" xfId="44144"/>
    <cellStyle name="Процентный 4 3 20 4" xfId="22781"/>
    <cellStyle name="Процентный 4 3 20 4 2" xfId="54824"/>
    <cellStyle name="Процентный 4 3 20 5" xfId="33464"/>
    <cellStyle name="Процентный 4 3 21" xfId="1444"/>
    <cellStyle name="Процентный 4 3 21 2" xfId="6786"/>
    <cellStyle name="Процентный 4 3 21 2 2" xfId="17466"/>
    <cellStyle name="Процентный 4 3 21 2 2 2" xfId="49510"/>
    <cellStyle name="Процентный 4 3 21 2 3" xfId="28147"/>
    <cellStyle name="Процентный 4 3 21 2 3 2" xfId="60190"/>
    <cellStyle name="Процентный 4 3 21 2 4" xfId="38830"/>
    <cellStyle name="Процентный 4 3 21 3" xfId="12126"/>
    <cellStyle name="Процентный 4 3 21 3 2" xfId="44170"/>
    <cellStyle name="Процентный 4 3 21 4" xfId="22807"/>
    <cellStyle name="Процентный 4 3 21 4 2" xfId="54850"/>
    <cellStyle name="Процентный 4 3 21 5" xfId="33490"/>
    <cellStyle name="Процентный 4 3 22" xfId="1470"/>
    <cellStyle name="Процентный 4 3 22 2" xfId="6812"/>
    <cellStyle name="Процентный 4 3 22 2 2" xfId="17492"/>
    <cellStyle name="Процентный 4 3 22 2 2 2" xfId="49536"/>
    <cellStyle name="Процентный 4 3 22 2 3" xfId="28173"/>
    <cellStyle name="Процентный 4 3 22 2 3 2" xfId="60216"/>
    <cellStyle name="Процентный 4 3 22 2 4" xfId="38856"/>
    <cellStyle name="Процентный 4 3 22 3" xfId="12152"/>
    <cellStyle name="Процентный 4 3 22 3 2" xfId="44196"/>
    <cellStyle name="Процентный 4 3 22 4" xfId="22833"/>
    <cellStyle name="Процентный 4 3 22 4 2" xfId="54876"/>
    <cellStyle name="Процентный 4 3 22 5" xfId="33516"/>
    <cellStyle name="Процентный 4 3 23" xfId="1496"/>
    <cellStyle name="Процентный 4 3 23 2" xfId="6838"/>
    <cellStyle name="Процентный 4 3 23 2 2" xfId="17518"/>
    <cellStyle name="Процентный 4 3 23 2 2 2" xfId="49562"/>
    <cellStyle name="Процентный 4 3 23 2 3" xfId="28199"/>
    <cellStyle name="Процентный 4 3 23 2 3 2" xfId="60242"/>
    <cellStyle name="Процентный 4 3 23 2 4" xfId="38882"/>
    <cellStyle name="Процентный 4 3 23 3" xfId="12178"/>
    <cellStyle name="Процентный 4 3 23 3 2" xfId="44222"/>
    <cellStyle name="Процентный 4 3 23 4" xfId="22859"/>
    <cellStyle name="Процентный 4 3 23 4 2" xfId="54902"/>
    <cellStyle name="Процентный 4 3 23 5" xfId="33542"/>
    <cellStyle name="Процентный 4 3 24" xfId="1522"/>
    <cellStyle name="Процентный 4 3 24 2" xfId="6864"/>
    <cellStyle name="Процентный 4 3 24 2 2" xfId="17544"/>
    <cellStyle name="Процентный 4 3 24 2 2 2" xfId="49588"/>
    <cellStyle name="Процентный 4 3 24 2 3" xfId="28225"/>
    <cellStyle name="Процентный 4 3 24 2 3 2" xfId="60268"/>
    <cellStyle name="Процентный 4 3 24 2 4" xfId="38908"/>
    <cellStyle name="Процентный 4 3 24 3" xfId="12204"/>
    <cellStyle name="Процентный 4 3 24 3 2" xfId="44248"/>
    <cellStyle name="Процентный 4 3 24 4" xfId="22885"/>
    <cellStyle name="Процентный 4 3 24 4 2" xfId="54928"/>
    <cellStyle name="Процентный 4 3 24 5" xfId="33568"/>
    <cellStyle name="Процентный 4 3 25" xfId="1548"/>
    <cellStyle name="Процентный 4 3 25 2" xfId="6890"/>
    <cellStyle name="Процентный 4 3 25 2 2" xfId="17570"/>
    <cellStyle name="Процентный 4 3 25 2 2 2" xfId="49614"/>
    <cellStyle name="Процентный 4 3 25 2 3" xfId="28251"/>
    <cellStyle name="Процентный 4 3 25 2 3 2" xfId="60294"/>
    <cellStyle name="Процентный 4 3 25 2 4" xfId="38934"/>
    <cellStyle name="Процентный 4 3 25 3" xfId="12230"/>
    <cellStyle name="Процентный 4 3 25 3 2" xfId="44274"/>
    <cellStyle name="Процентный 4 3 25 4" xfId="22911"/>
    <cellStyle name="Процентный 4 3 25 4 2" xfId="54954"/>
    <cellStyle name="Процентный 4 3 25 5" xfId="33594"/>
    <cellStyle name="Процентный 4 3 26" xfId="1574"/>
    <cellStyle name="Процентный 4 3 26 2" xfId="6916"/>
    <cellStyle name="Процентный 4 3 26 2 2" xfId="17596"/>
    <cellStyle name="Процентный 4 3 26 2 2 2" xfId="49640"/>
    <cellStyle name="Процентный 4 3 26 2 3" xfId="28277"/>
    <cellStyle name="Процентный 4 3 26 2 3 2" xfId="60320"/>
    <cellStyle name="Процентный 4 3 26 2 4" xfId="38960"/>
    <cellStyle name="Процентный 4 3 26 3" xfId="12256"/>
    <cellStyle name="Процентный 4 3 26 3 2" xfId="44300"/>
    <cellStyle name="Процентный 4 3 26 4" xfId="22937"/>
    <cellStyle name="Процентный 4 3 26 4 2" xfId="54980"/>
    <cellStyle name="Процентный 4 3 26 5" xfId="33620"/>
    <cellStyle name="Процентный 4 3 27" xfId="1600"/>
    <cellStyle name="Процентный 4 3 27 2" xfId="6942"/>
    <cellStyle name="Процентный 4 3 27 2 2" xfId="17622"/>
    <cellStyle name="Процентный 4 3 27 2 2 2" xfId="49666"/>
    <cellStyle name="Процентный 4 3 27 2 3" xfId="28303"/>
    <cellStyle name="Процентный 4 3 27 2 3 2" xfId="60346"/>
    <cellStyle name="Процентный 4 3 27 2 4" xfId="38986"/>
    <cellStyle name="Процентный 4 3 27 3" xfId="12282"/>
    <cellStyle name="Процентный 4 3 27 3 2" xfId="44326"/>
    <cellStyle name="Процентный 4 3 27 4" xfId="22963"/>
    <cellStyle name="Процентный 4 3 27 4 2" xfId="55006"/>
    <cellStyle name="Процентный 4 3 27 5" xfId="33646"/>
    <cellStyle name="Процентный 4 3 28" xfId="1626"/>
    <cellStyle name="Процентный 4 3 28 2" xfId="6968"/>
    <cellStyle name="Процентный 4 3 28 2 2" xfId="17648"/>
    <cellStyle name="Процентный 4 3 28 2 2 2" xfId="49692"/>
    <cellStyle name="Процентный 4 3 28 2 3" xfId="28329"/>
    <cellStyle name="Процентный 4 3 28 2 3 2" xfId="60372"/>
    <cellStyle name="Процентный 4 3 28 2 4" xfId="39012"/>
    <cellStyle name="Процентный 4 3 28 3" xfId="12308"/>
    <cellStyle name="Процентный 4 3 28 3 2" xfId="44352"/>
    <cellStyle name="Процентный 4 3 28 4" xfId="22989"/>
    <cellStyle name="Процентный 4 3 28 4 2" xfId="55032"/>
    <cellStyle name="Процентный 4 3 28 5" xfId="33672"/>
    <cellStyle name="Процентный 4 3 29" xfId="1652"/>
    <cellStyle name="Процентный 4 3 29 2" xfId="6994"/>
    <cellStyle name="Процентный 4 3 29 2 2" xfId="17674"/>
    <cellStyle name="Процентный 4 3 29 2 2 2" xfId="49718"/>
    <cellStyle name="Процентный 4 3 29 2 3" xfId="28355"/>
    <cellStyle name="Процентный 4 3 29 2 3 2" xfId="60398"/>
    <cellStyle name="Процентный 4 3 29 2 4" xfId="39038"/>
    <cellStyle name="Процентный 4 3 29 3" xfId="12334"/>
    <cellStyle name="Процентный 4 3 29 3 2" xfId="44378"/>
    <cellStyle name="Процентный 4 3 29 4" xfId="23015"/>
    <cellStyle name="Процентный 4 3 29 4 2" xfId="55058"/>
    <cellStyle name="Процентный 4 3 29 5" xfId="33698"/>
    <cellStyle name="Процентный 4 3 3" xfId="979"/>
    <cellStyle name="Процентный 4 3 3 2" xfId="6322"/>
    <cellStyle name="Процентный 4 3 3 2 2" xfId="17002"/>
    <cellStyle name="Процентный 4 3 3 2 2 2" xfId="49046"/>
    <cellStyle name="Процентный 4 3 3 2 3" xfId="27683"/>
    <cellStyle name="Процентный 4 3 3 2 3 2" xfId="59726"/>
    <cellStyle name="Процентный 4 3 3 2 4" xfId="38366"/>
    <cellStyle name="Процентный 4 3 3 3" xfId="11662"/>
    <cellStyle name="Процентный 4 3 3 3 2" xfId="43706"/>
    <cellStyle name="Процентный 4 3 3 4" xfId="22343"/>
    <cellStyle name="Процентный 4 3 3 4 2" xfId="54386"/>
    <cellStyle name="Процентный 4 3 3 5" xfId="33026"/>
    <cellStyle name="Процентный 4 3 30" xfId="1678"/>
    <cellStyle name="Процентный 4 3 30 2" xfId="7020"/>
    <cellStyle name="Процентный 4 3 30 2 2" xfId="17700"/>
    <cellStyle name="Процентный 4 3 30 2 2 2" xfId="49744"/>
    <cellStyle name="Процентный 4 3 30 2 3" xfId="28381"/>
    <cellStyle name="Процентный 4 3 30 2 3 2" xfId="60424"/>
    <cellStyle name="Процентный 4 3 30 2 4" xfId="39064"/>
    <cellStyle name="Процентный 4 3 30 3" xfId="12360"/>
    <cellStyle name="Процентный 4 3 30 3 2" xfId="44404"/>
    <cellStyle name="Процентный 4 3 30 4" xfId="23041"/>
    <cellStyle name="Процентный 4 3 30 4 2" xfId="55084"/>
    <cellStyle name="Процентный 4 3 30 5" xfId="33724"/>
    <cellStyle name="Процентный 4 3 31" xfId="1704"/>
    <cellStyle name="Процентный 4 3 31 2" xfId="7046"/>
    <cellStyle name="Процентный 4 3 31 2 2" xfId="17726"/>
    <cellStyle name="Процентный 4 3 31 2 2 2" xfId="49770"/>
    <cellStyle name="Процентный 4 3 31 2 3" xfId="28407"/>
    <cellStyle name="Процентный 4 3 31 2 3 2" xfId="60450"/>
    <cellStyle name="Процентный 4 3 31 2 4" xfId="39090"/>
    <cellStyle name="Процентный 4 3 31 3" xfId="12386"/>
    <cellStyle name="Процентный 4 3 31 3 2" xfId="44430"/>
    <cellStyle name="Процентный 4 3 31 4" xfId="23067"/>
    <cellStyle name="Процентный 4 3 31 4 2" xfId="55110"/>
    <cellStyle name="Процентный 4 3 31 5" xfId="33750"/>
    <cellStyle name="Процентный 4 3 32" xfId="1730"/>
    <cellStyle name="Процентный 4 3 32 2" xfId="7072"/>
    <cellStyle name="Процентный 4 3 32 2 2" xfId="17752"/>
    <cellStyle name="Процентный 4 3 32 2 2 2" xfId="49796"/>
    <cellStyle name="Процентный 4 3 32 2 3" xfId="28433"/>
    <cellStyle name="Процентный 4 3 32 2 3 2" xfId="60476"/>
    <cellStyle name="Процентный 4 3 32 2 4" xfId="39116"/>
    <cellStyle name="Процентный 4 3 32 3" xfId="12412"/>
    <cellStyle name="Процентный 4 3 32 3 2" xfId="44456"/>
    <cellStyle name="Процентный 4 3 32 4" xfId="23093"/>
    <cellStyle name="Процентный 4 3 32 4 2" xfId="55136"/>
    <cellStyle name="Процентный 4 3 32 5" xfId="33776"/>
    <cellStyle name="Процентный 4 3 33" xfId="1756"/>
    <cellStyle name="Процентный 4 3 33 2" xfId="7098"/>
    <cellStyle name="Процентный 4 3 33 2 2" xfId="17778"/>
    <cellStyle name="Процентный 4 3 33 2 2 2" xfId="49822"/>
    <cellStyle name="Процентный 4 3 33 2 3" xfId="28459"/>
    <cellStyle name="Процентный 4 3 33 2 3 2" xfId="60502"/>
    <cellStyle name="Процентный 4 3 33 2 4" xfId="39142"/>
    <cellStyle name="Процентный 4 3 33 3" xfId="12438"/>
    <cellStyle name="Процентный 4 3 33 3 2" xfId="44482"/>
    <cellStyle name="Процентный 4 3 33 4" xfId="23119"/>
    <cellStyle name="Процентный 4 3 33 4 2" xfId="55162"/>
    <cellStyle name="Процентный 4 3 33 5" xfId="33802"/>
    <cellStyle name="Процентный 4 3 34" xfId="1782"/>
    <cellStyle name="Процентный 4 3 34 2" xfId="7124"/>
    <cellStyle name="Процентный 4 3 34 2 2" xfId="17804"/>
    <cellStyle name="Процентный 4 3 34 2 2 2" xfId="49848"/>
    <cellStyle name="Процентный 4 3 34 2 3" xfId="28485"/>
    <cellStyle name="Процентный 4 3 34 2 3 2" xfId="60528"/>
    <cellStyle name="Процентный 4 3 34 2 4" xfId="39168"/>
    <cellStyle name="Процентный 4 3 34 3" xfId="12464"/>
    <cellStyle name="Процентный 4 3 34 3 2" xfId="44508"/>
    <cellStyle name="Процентный 4 3 34 4" xfId="23145"/>
    <cellStyle name="Процентный 4 3 34 4 2" xfId="55188"/>
    <cellStyle name="Процентный 4 3 34 5" xfId="33828"/>
    <cellStyle name="Процентный 4 3 35" xfId="1808"/>
    <cellStyle name="Процентный 4 3 35 2" xfId="7150"/>
    <cellStyle name="Процентный 4 3 35 2 2" xfId="17830"/>
    <cellStyle name="Процентный 4 3 35 2 2 2" xfId="49874"/>
    <cellStyle name="Процентный 4 3 35 2 3" xfId="28511"/>
    <cellStyle name="Процентный 4 3 35 2 3 2" xfId="60554"/>
    <cellStyle name="Процентный 4 3 35 2 4" xfId="39194"/>
    <cellStyle name="Процентный 4 3 35 3" xfId="12490"/>
    <cellStyle name="Процентный 4 3 35 3 2" xfId="44534"/>
    <cellStyle name="Процентный 4 3 35 4" xfId="23171"/>
    <cellStyle name="Процентный 4 3 35 4 2" xfId="55214"/>
    <cellStyle name="Процентный 4 3 35 5" xfId="33854"/>
    <cellStyle name="Процентный 4 3 36" xfId="1834"/>
    <cellStyle name="Процентный 4 3 36 2" xfId="7176"/>
    <cellStyle name="Процентный 4 3 36 2 2" xfId="17856"/>
    <cellStyle name="Процентный 4 3 36 2 2 2" xfId="49900"/>
    <cellStyle name="Процентный 4 3 36 2 3" xfId="28537"/>
    <cellStyle name="Процентный 4 3 36 2 3 2" xfId="60580"/>
    <cellStyle name="Процентный 4 3 36 2 4" xfId="39220"/>
    <cellStyle name="Процентный 4 3 36 3" xfId="12516"/>
    <cellStyle name="Процентный 4 3 36 3 2" xfId="44560"/>
    <cellStyle name="Процентный 4 3 36 4" xfId="23197"/>
    <cellStyle name="Процентный 4 3 36 4 2" xfId="55240"/>
    <cellStyle name="Процентный 4 3 36 5" xfId="33880"/>
    <cellStyle name="Процентный 4 3 37" xfId="1860"/>
    <cellStyle name="Процентный 4 3 37 2" xfId="7202"/>
    <cellStyle name="Процентный 4 3 37 2 2" xfId="17882"/>
    <cellStyle name="Процентный 4 3 37 2 2 2" xfId="49926"/>
    <cellStyle name="Процентный 4 3 37 2 3" xfId="28563"/>
    <cellStyle name="Процентный 4 3 37 2 3 2" xfId="60606"/>
    <cellStyle name="Процентный 4 3 37 2 4" xfId="39246"/>
    <cellStyle name="Процентный 4 3 37 3" xfId="12542"/>
    <cellStyle name="Процентный 4 3 37 3 2" xfId="44586"/>
    <cellStyle name="Процентный 4 3 37 4" xfId="23223"/>
    <cellStyle name="Процентный 4 3 37 4 2" xfId="55266"/>
    <cellStyle name="Процентный 4 3 37 5" xfId="33906"/>
    <cellStyle name="Процентный 4 3 38" xfId="1886"/>
    <cellStyle name="Процентный 4 3 38 2" xfId="7228"/>
    <cellStyle name="Процентный 4 3 38 2 2" xfId="17908"/>
    <cellStyle name="Процентный 4 3 38 2 2 2" xfId="49952"/>
    <cellStyle name="Процентный 4 3 38 2 3" xfId="28589"/>
    <cellStyle name="Процентный 4 3 38 2 3 2" xfId="60632"/>
    <cellStyle name="Процентный 4 3 38 2 4" xfId="39272"/>
    <cellStyle name="Процентный 4 3 38 3" xfId="12568"/>
    <cellStyle name="Процентный 4 3 38 3 2" xfId="44612"/>
    <cellStyle name="Процентный 4 3 38 4" xfId="23249"/>
    <cellStyle name="Процентный 4 3 38 4 2" xfId="55292"/>
    <cellStyle name="Процентный 4 3 38 5" xfId="33932"/>
    <cellStyle name="Процентный 4 3 39" xfId="1912"/>
    <cellStyle name="Процентный 4 3 39 2" xfId="7254"/>
    <cellStyle name="Процентный 4 3 39 2 2" xfId="17934"/>
    <cellStyle name="Процентный 4 3 39 2 2 2" xfId="49978"/>
    <cellStyle name="Процентный 4 3 39 2 3" xfId="28615"/>
    <cellStyle name="Процентный 4 3 39 2 3 2" xfId="60658"/>
    <cellStyle name="Процентный 4 3 39 2 4" xfId="39298"/>
    <cellStyle name="Процентный 4 3 39 3" xfId="12594"/>
    <cellStyle name="Процентный 4 3 39 3 2" xfId="44638"/>
    <cellStyle name="Процентный 4 3 39 4" xfId="23275"/>
    <cellStyle name="Процентный 4 3 39 4 2" xfId="55318"/>
    <cellStyle name="Процентный 4 3 39 5" xfId="33958"/>
    <cellStyle name="Процентный 4 3 4" xfId="1003"/>
    <cellStyle name="Процентный 4 3 4 2" xfId="6346"/>
    <cellStyle name="Процентный 4 3 4 2 2" xfId="17026"/>
    <cellStyle name="Процентный 4 3 4 2 2 2" xfId="49070"/>
    <cellStyle name="Процентный 4 3 4 2 3" xfId="27707"/>
    <cellStyle name="Процентный 4 3 4 2 3 2" xfId="59750"/>
    <cellStyle name="Процентный 4 3 4 2 4" xfId="38390"/>
    <cellStyle name="Процентный 4 3 4 3" xfId="11686"/>
    <cellStyle name="Процентный 4 3 4 3 2" xfId="43730"/>
    <cellStyle name="Процентный 4 3 4 4" xfId="22367"/>
    <cellStyle name="Процентный 4 3 4 4 2" xfId="54410"/>
    <cellStyle name="Процентный 4 3 4 5" xfId="33050"/>
    <cellStyle name="Процентный 4 3 40" xfId="1940"/>
    <cellStyle name="Процентный 4 3 40 2" xfId="7282"/>
    <cellStyle name="Процентный 4 3 40 2 2" xfId="17962"/>
    <cellStyle name="Процентный 4 3 40 2 2 2" xfId="50006"/>
    <cellStyle name="Процентный 4 3 40 2 3" xfId="28643"/>
    <cellStyle name="Процентный 4 3 40 2 3 2" xfId="60686"/>
    <cellStyle name="Процентный 4 3 40 2 4" xfId="39326"/>
    <cellStyle name="Процентный 4 3 40 3" xfId="12622"/>
    <cellStyle name="Процентный 4 3 40 3 2" xfId="44666"/>
    <cellStyle name="Процентный 4 3 40 4" xfId="23303"/>
    <cellStyle name="Процентный 4 3 40 4 2" xfId="55346"/>
    <cellStyle name="Процентный 4 3 40 5" xfId="33986"/>
    <cellStyle name="Процентный 4 3 41" xfId="1968"/>
    <cellStyle name="Процентный 4 3 41 2" xfId="7310"/>
    <cellStyle name="Процентный 4 3 41 2 2" xfId="17990"/>
    <cellStyle name="Процентный 4 3 41 2 2 2" xfId="50034"/>
    <cellStyle name="Процентный 4 3 41 2 3" xfId="28671"/>
    <cellStyle name="Процентный 4 3 41 2 3 2" xfId="60714"/>
    <cellStyle name="Процентный 4 3 41 2 4" xfId="39354"/>
    <cellStyle name="Процентный 4 3 41 3" xfId="12650"/>
    <cellStyle name="Процентный 4 3 41 3 2" xfId="44694"/>
    <cellStyle name="Процентный 4 3 41 4" xfId="23331"/>
    <cellStyle name="Процентный 4 3 41 4 2" xfId="55374"/>
    <cellStyle name="Процентный 4 3 41 5" xfId="34014"/>
    <cellStyle name="Процентный 4 3 42" xfId="1996"/>
    <cellStyle name="Процентный 4 3 42 2" xfId="7338"/>
    <cellStyle name="Процентный 4 3 42 2 2" xfId="18018"/>
    <cellStyle name="Процентный 4 3 42 2 2 2" xfId="50062"/>
    <cellStyle name="Процентный 4 3 42 2 3" xfId="28699"/>
    <cellStyle name="Процентный 4 3 42 2 3 2" xfId="60742"/>
    <cellStyle name="Процентный 4 3 42 2 4" xfId="39382"/>
    <cellStyle name="Процентный 4 3 42 3" xfId="12678"/>
    <cellStyle name="Процентный 4 3 42 3 2" xfId="44722"/>
    <cellStyle name="Процентный 4 3 42 4" xfId="23359"/>
    <cellStyle name="Процентный 4 3 42 4 2" xfId="55402"/>
    <cellStyle name="Процентный 4 3 42 5" xfId="34042"/>
    <cellStyle name="Процентный 4 3 43" xfId="2024"/>
    <cellStyle name="Процентный 4 3 43 2" xfId="7366"/>
    <cellStyle name="Процентный 4 3 43 2 2" xfId="18046"/>
    <cellStyle name="Процентный 4 3 43 2 2 2" xfId="50090"/>
    <cellStyle name="Процентный 4 3 43 2 3" xfId="28727"/>
    <cellStyle name="Процентный 4 3 43 2 3 2" xfId="60770"/>
    <cellStyle name="Процентный 4 3 43 2 4" xfId="39410"/>
    <cellStyle name="Процентный 4 3 43 3" xfId="12706"/>
    <cellStyle name="Процентный 4 3 43 3 2" xfId="44750"/>
    <cellStyle name="Процентный 4 3 43 4" xfId="23387"/>
    <cellStyle name="Процентный 4 3 43 4 2" xfId="55430"/>
    <cellStyle name="Процентный 4 3 43 5" xfId="34070"/>
    <cellStyle name="Процентный 4 3 44" xfId="2052"/>
    <cellStyle name="Процентный 4 3 44 2" xfId="7394"/>
    <cellStyle name="Процентный 4 3 44 2 2" xfId="18074"/>
    <cellStyle name="Процентный 4 3 44 2 2 2" xfId="50118"/>
    <cellStyle name="Процентный 4 3 44 2 3" xfId="28755"/>
    <cellStyle name="Процентный 4 3 44 2 3 2" xfId="60798"/>
    <cellStyle name="Процентный 4 3 44 2 4" xfId="39438"/>
    <cellStyle name="Процентный 4 3 44 3" xfId="12734"/>
    <cellStyle name="Процентный 4 3 44 3 2" xfId="44778"/>
    <cellStyle name="Процентный 4 3 44 4" xfId="23415"/>
    <cellStyle name="Процентный 4 3 44 4 2" xfId="55458"/>
    <cellStyle name="Процентный 4 3 44 5" xfId="34098"/>
    <cellStyle name="Процентный 4 3 45" xfId="2080"/>
    <cellStyle name="Процентный 4 3 45 2" xfId="7422"/>
    <cellStyle name="Процентный 4 3 45 2 2" xfId="18102"/>
    <cellStyle name="Процентный 4 3 45 2 2 2" xfId="50146"/>
    <cellStyle name="Процентный 4 3 45 2 3" xfId="28783"/>
    <cellStyle name="Процентный 4 3 45 2 3 2" xfId="60826"/>
    <cellStyle name="Процентный 4 3 45 2 4" xfId="39466"/>
    <cellStyle name="Процентный 4 3 45 3" xfId="12762"/>
    <cellStyle name="Процентный 4 3 45 3 2" xfId="44806"/>
    <cellStyle name="Процентный 4 3 45 4" xfId="23443"/>
    <cellStyle name="Процентный 4 3 45 4 2" xfId="55486"/>
    <cellStyle name="Процентный 4 3 45 5" xfId="34126"/>
    <cellStyle name="Процентный 4 3 46" xfId="2108"/>
    <cellStyle name="Процентный 4 3 46 2" xfId="7450"/>
    <cellStyle name="Процентный 4 3 46 2 2" xfId="18130"/>
    <cellStyle name="Процентный 4 3 46 2 2 2" xfId="50174"/>
    <cellStyle name="Процентный 4 3 46 2 3" xfId="28811"/>
    <cellStyle name="Процентный 4 3 46 2 3 2" xfId="60854"/>
    <cellStyle name="Процентный 4 3 46 2 4" xfId="39494"/>
    <cellStyle name="Процентный 4 3 46 3" xfId="12790"/>
    <cellStyle name="Процентный 4 3 46 3 2" xfId="44834"/>
    <cellStyle name="Процентный 4 3 46 4" xfId="23471"/>
    <cellStyle name="Процентный 4 3 46 4 2" xfId="55514"/>
    <cellStyle name="Процентный 4 3 46 5" xfId="34154"/>
    <cellStyle name="Процентный 4 3 47" xfId="2138"/>
    <cellStyle name="Процентный 4 3 47 2" xfId="7480"/>
    <cellStyle name="Процентный 4 3 47 2 2" xfId="18160"/>
    <cellStyle name="Процентный 4 3 47 2 2 2" xfId="50204"/>
    <cellStyle name="Процентный 4 3 47 2 3" xfId="28841"/>
    <cellStyle name="Процентный 4 3 47 2 3 2" xfId="60884"/>
    <cellStyle name="Процентный 4 3 47 2 4" xfId="39524"/>
    <cellStyle name="Процентный 4 3 47 3" xfId="12820"/>
    <cellStyle name="Процентный 4 3 47 3 2" xfId="44864"/>
    <cellStyle name="Процентный 4 3 47 4" xfId="23501"/>
    <cellStyle name="Процентный 4 3 47 4 2" xfId="55544"/>
    <cellStyle name="Процентный 4 3 47 5" xfId="34184"/>
    <cellStyle name="Процентный 4 3 48" xfId="2168"/>
    <cellStyle name="Процентный 4 3 48 2" xfId="7510"/>
    <cellStyle name="Процентный 4 3 48 2 2" xfId="18190"/>
    <cellStyle name="Процентный 4 3 48 2 2 2" xfId="50234"/>
    <cellStyle name="Процентный 4 3 48 2 3" xfId="28871"/>
    <cellStyle name="Процентный 4 3 48 2 3 2" xfId="60914"/>
    <cellStyle name="Процентный 4 3 48 2 4" xfId="39554"/>
    <cellStyle name="Процентный 4 3 48 3" xfId="12850"/>
    <cellStyle name="Процентный 4 3 48 3 2" xfId="44894"/>
    <cellStyle name="Процентный 4 3 48 4" xfId="23531"/>
    <cellStyle name="Процентный 4 3 48 4 2" xfId="55574"/>
    <cellStyle name="Процентный 4 3 48 5" xfId="34214"/>
    <cellStyle name="Процентный 4 3 49" xfId="2198"/>
    <cellStyle name="Процентный 4 3 49 2" xfId="7540"/>
    <cellStyle name="Процентный 4 3 49 2 2" xfId="18220"/>
    <cellStyle name="Процентный 4 3 49 2 2 2" xfId="50264"/>
    <cellStyle name="Процентный 4 3 49 2 3" xfId="28901"/>
    <cellStyle name="Процентный 4 3 49 2 3 2" xfId="60944"/>
    <cellStyle name="Процентный 4 3 49 2 4" xfId="39584"/>
    <cellStyle name="Процентный 4 3 49 3" xfId="12880"/>
    <cellStyle name="Процентный 4 3 49 3 2" xfId="44924"/>
    <cellStyle name="Процентный 4 3 49 4" xfId="23561"/>
    <cellStyle name="Процентный 4 3 49 4 2" xfId="55604"/>
    <cellStyle name="Процентный 4 3 49 5" xfId="34244"/>
    <cellStyle name="Процентный 4 3 5" xfId="1027"/>
    <cellStyle name="Процентный 4 3 5 2" xfId="6370"/>
    <cellStyle name="Процентный 4 3 5 2 2" xfId="17050"/>
    <cellStyle name="Процентный 4 3 5 2 2 2" xfId="49094"/>
    <cellStyle name="Процентный 4 3 5 2 3" xfId="27731"/>
    <cellStyle name="Процентный 4 3 5 2 3 2" xfId="59774"/>
    <cellStyle name="Процентный 4 3 5 2 4" xfId="38414"/>
    <cellStyle name="Процентный 4 3 5 3" xfId="11710"/>
    <cellStyle name="Процентный 4 3 5 3 2" xfId="43754"/>
    <cellStyle name="Процентный 4 3 5 4" xfId="22391"/>
    <cellStyle name="Процентный 4 3 5 4 2" xfId="54434"/>
    <cellStyle name="Процентный 4 3 5 5" xfId="33074"/>
    <cellStyle name="Процентный 4 3 50" xfId="2228"/>
    <cellStyle name="Процентный 4 3 50 2" xfId="7570"/>
    <cellStyle name="Процентный 4 3 50 2 2" xfId="18250"/>
    <cellStyle name="Процентный 4 3 50 2 2 2" xfId="50294"/>
    <cellStyle name="Процентный 4 3 50 2 3" xfId="28931"/>
    <cellStyle name="Процентный 4 3 50 2 3 2" xfId="60974"/>
    <cellStyle name="Процентный 4 3 50 2 4" xfId="39614"/>
    <cellStyle name="Процентный 4 3 50 3" xfId="12910"/>
    <cellStyle name="Процентный 4 3 50 3 2" xfId="44954"/>
    <cellStyle name="Процентный 4 3 50 4" xfId="23591"/>
    <cellStyle name="Процентный 4 3 50 4 2" xfId="55634"/>
    <cellStyle name="Процентный 4 3 50 5" xfId="34274"/>
    <cellStyle name="Процентный 4 3 51" xfId="2258"/>
    <cellStyle name="Процентный 4 3 51 2" xfId="7600"/>
    <cellStyle name="Процентный 4 3 51 2 2" xfId="18280"/>
    <cellStyle name="Процентный 4 3 51 2 2 2" xfId="50324"/>
    <cellStyle name="Процентный 4 3 51 2 3" xfId="28961"/>
    <cellStyle name="Процентный 4 3 51 2 3 2" xfId="61004"/>
    <cellStyle name="Процентный 4 3 51 2 4" xfId="39644"/>
    <cellStyle name="Процентный 4 3 51 3" xfId="12940"/>
    <cellStyle name="Процентный 4 3 51 3 2" xfId="44984"/>
    <cellStyle name="Процентный 4 3 51 4" xfId="23621"/>
    <cellStyle name="Процентный 4 3 51 4 2" xfId="55664"/>
    <cellStyle name="Процентный 4 3 51 5" xfId="34304"/>
    <cellStyle name="Процентный 4 3 52" xfId="2288"/>
    <cellStyle name="Процентный 4 3 52 2" xfId="7630"/>
    <cellStyle name="Процентный 4 3 52 2 2" xfId="18310"/>
    <cellStyle name="Процентный 4 3 52 2 2 2" xfId="50354"/>
    <cellStyle name="Процентный 4 3 52 2 3" xfId="28991"/>
    <cellStyle name="Процентный 4 3 52 2 3 2" xfId="61034"/>
    <cellStyle name="Процентный 4 3 52 2 4" xfId="39674"/>
    <cellStyle name="Процентный 4 3 52 3" xfId="12970"/>
    <cellStyle name="Процентный 4 3 52 3 2" xfId="45014"/>
    <cellStyle name="Процентный 4 3 52 4" xfId="23651"/>
    <cellStyle name="Процентный 4 3 52 4 2" xfId="55694"/>
    <cellStyle name="Процентный 4 3 52 5" xfId="34334"/>
    <cellStyle name="Процентный 4 3 53" xfId="2318"/>
    <cellStyle name="Процентный 4 3 53 2" xfId="7660"/>
    <cellStyle name="Процентный 4 3 53 2 2" xfId="18340"/>
    <cellStyle name="Процентный 4 3 53 2 2 2" xfId="50384"/>
    <cellStyle name="Процентный 4 3 53 2 3" xfId="29021"/>
    <cellStyle name="Процентный 4 3 53 2 3 2" xfId="61064"/>
    <cellStyle name="Процентный 4 3 53 2 4" xfId="39704"/>
    <cellStyle name="Процентный 4 3 53 3" xfId="13000"/>
    <cellStyle name="Процентный 4 3 53 3 2" xfId="45044"/>
    <cellStyle name="Процентный 4 3 53 4" xfId="23681"/>
    <cellStyle name="Процентный 4 3 53 4 2" xfId="55724"/>
    <cellStyle name="Процентный 4 3 53 5" xfId="34364"/>
    <cellStyle name="Процентный 4 3 54" xfId="2348"/>
    <cellStyle name="Процентный 4 3 54 2" xfId="7690"/>
    <cellStyle name="Процентный 4 3 54 2 2" xfId="18370"/>
    <cellStyle name="Процентный 4 3 54 2 2 2" xfId="50414"/>
    <cellStyle name="Процентный 4 3 54 2 3" xfId="29051"/>
    <cellStyle name="Процентный 4 3 54 2 3 2" xfId="61094"/>
    <cellStyle name="Процентный 4 3 54 2 4" xfId="39734"/>
    <cellStyle name="Процентный 4 3 54 3" xfId="13030"/>
    <cellStyle name="Процентный 4 3 54 3 2" xfId="45074"/>
    <cellStyle name="Процентный 4 3 54 4" xfId="23711"/>
    <cellStyle name="Процентный 4 3 54 4 2" xfId="55754"/>
    <cellStyle name="Процентный 4 3 54 5" xfId="34394"/>
    <cellStyle name="Процентный 4 3 55" xfId="2378"/>
    <cellStyle name="Процентный 4 3 55 2" xfId="7720"/>
    <cellStyle name="Процентный 4 3 55 2 2" xfId="18400"/>
    <cellStyle name="Процентный 4 3 55 2 2 2" xfId="50444"/>
    <cellStyle name="Процентный 4 3 55 2 3" xfId="29081"/>
    <cellStyle name="Процентный 4 3 55 2 3 2" xfId="61124"/>
    <cellStyle name="Процентный 4 3 55 2 4" xfId="39764"/>
    <cellStyle name="Процентный 4 3 55 3" xfId="13060"/>
    <cellStyle name="Процентный 4 3 55 3 2" xfId="45104"/>
    <cellStyle name="Процентный 4 3 55 4" xfId="23741"/>
    <cellStyle name="Процентный 4 3 55 4 2" xfId="55784"/>
    <cellStyle name="Процентный 4 3 55 5" xfId="34424"/>
    <cellStyle name="Процентный 4 3 56" xfId="2408"/>
    <cellStyle name="Процентный 4 3 56 2" xfId="7750"/>
    <cellStyle name="Процентный 4 3 56 2 2" xfId="18430"/>
    <cellStyle name="Процентный 4 3 56 2 2 2" xfId="50474"/>
    <cellStyle name="Процентный 4 3 56 2 3" xfId="29111"/>
    <cellStyle name="Процентный 4 3 56 2 3 2" xfId="61154"/>
    <cellStyle name="Процентный 4 3 56 2 4" xfId="39794"/>
    <cellStyle name="Процентный 4 3 56 3" xfId="13090"/>
    <cellStyle name="Процентный 4 3 56 3 2" xfId="45134"/>
    <cellStyle name="Процентный 4 3 56 4" xfId="23771"/>
    <cellStyle name="Процентный 4 3 56 4 2" xfId="55814"/>
    <cellStyle name="Процентный 4 3 56 5" xfId="34454"/>
    <cellStyle name="Процентный 4 3 57" xfId="2438"/>
    <cellStyle name="Процентный 4 3 57 2" xfId="7780"/>
    <cellStyle name="Процентный 4 3 57 2 2" xfId="18460"/>
    <cellStyle name="Процентный 4 3 57 2 2 2" xfId="50504"/>
    <cellStyle name="Процентный 4 3 57 2 3" xfId="29141"/>
    <cellStyle name="Процентный 4 3 57 2 3 2" xfId="61184"/>
    <cellStyle name="Процентный 4 3 57 2 4" xfId="39824"/>
    <cellStyle name="Процентный 4 3 57 3" xfId="13120"/>
    <cellStyle name="Процентный 4 3 57 3 2" xfId="45164"/>
    <cellStyle name="Процентный 4 3 57 4" xfId="23801"/>
    <cellStyle name="Процентный 4 3 57 4 2" xfId="55844"/>
    <cellStyle name="Процентный 4 3 57 5" xfId="34484"/>
    <cellStyle name="Процентный 4 3 58" xfId="2468"/>
    <cellStyle name="Процентный 4 3 58 2" xfId="7810"/>
    <cellStyle name="Процентный 4 3 58 2 2" xfId="18490"/>
    <cellStyle name="Процентный 4 3 58 2 2 2" xfId="50534"/>
    <cellStyle name="Процентный 4 3 58 2 3" xfId="29171"/>
    <cellStyle name="Процентный 4 3 58 2 3 2" xfId="61214"/>
    <cellStyle name="Процентный 4 3 58 2 4" xfId="39854"/>
    <cellStyle name="Процентный 4 3 58 3" xfId="13150"/>
    <cellStyle name="Процентный 4 3 58 3 2" xfId="45194"/>
    <cellStyle name="Процентный 4 3 58 4" xfId="23831"/>
    <cellStyle name="Процентный 4 3 58 4 2" xfId="55874"/>
    <cellStyle name="Процентный 4 3 58 5" xfId="34514"/>
    <cellStyle name="Процентный 4 3 59" xfId="2500"/>
    <cellStyle name="Процентный 4 3 59 2" xfId="7842"/>
    <cellStyle name="Процентный 4 3 59 2 2" xfId="18522"/>
    <cellStyle name="Процентный 4 3 59 2 2 2" xfId="50566"/>
    <cellStyle name="Процентный 4 3 59 2 3" xfId="29203"/>
    <cellStyle name="Процентный 4 3 59 2 3 2" xfId="61246"/>
    <cellStyle name="Процентный 4 3 59 2 4" xfId="39886"/>
    <cellStyle name="Процентный 4 3 59 3" xfId="13182"/>
    <cellStyle name="Процентный 4 3 59 3 2" xfId="45226"/>
    <cellStyle name="Процентный 4 3 59 4" xfId="23863"/>
    <cellStyle name="Процентный 4 3 59 4 2" xfId="55906"/>
    <cellStyle name="Процентный 4 3 59 5" xfId="34546"/>
    <cellStyle name="Процентный 4 3 6" xfId="1053"/>
    <cellStyle name="Процентный 4 3 6 2" xfId="6396"/>
    <cellStyle name="Процентный 4 3 6 2 2" xfId="17076"/>
    <cellStyle name="Процентный 4 3 6 2 2 2" xfId="49120"/>
    <cellStyle name="Процентный 4 3 6 2 3" xfId="27757"/>
    <cellStyle name="Процентный 4 3 6 2 3 2" xfId="59800"/>
    <cellStyle name="Процентный 4 3 6 2 4" xfId="38440"/>
    <cellStyle name="Процентный 4 3 6 3" xfId="11736"/>
    <cellStyle name="Процентный 4 3 6 3 2" xfId="43780"/>
    <cellStyle name="Процентный 4 3 6 4" xfId="22417"/>
    <cellStyle name="Процентный 4 3 6 4 2" xfId="54460"/>
    <cellStyle name="Процентный 4 3 6 5" xfId="33100"/>
    <cellStyle name="Процентный 4 3 60" xfId="2534"/>
    <cellStyle name="Процентный 4 3 60 2" xfId="7876"/>
    <cellStyle name="Процентный 4 3 60 2 2" xfId="18556"/>
    <cellStyle name="Процентный 4 3 60 2 2 2" xfId="50600"/>
    <cellStyle name="Процентный 4 3 60 2 3" xfId="29237"/>
    <cellStyle name="Процентный 4 3 60 2 3 2" xfId="61280"/>
    <cellStyle name="Процентный 4 3 60 2 4" xfId="39920"/>
    <cellStyle name="Процентный 4 3 60 3" xfId="13216"/>
    <cellStyle name="Процентный 4 3 60 3 2" xfId="45260"/>
    <cellStyle name="Процентный 4 3 60 4" xfId="23897"/>
    <cellStyle name="Процентный 4 3 60 4 2" xfId="55940"/>
    <cellStyle name="Процентный 4 3 60 5" xfId="34580"/>
    <cellStyle name="Процентный 4 3 61" xfId="2566"/>
    <cellStyle name="Процентный 4 3 61 2" xfId="7908"/>
    <cellStyle name="Процентный 4 3 61 2 2" xfId="18588"/>
    <cellStyle name="Процентный 4 3 61 2 2 2" xfId="50632"/>
    <cellStyle name="Процентный 4 3 61 2 3" xfId="29269"/>
    <cellStyle name="Процентный 4 3 61 2 3 2" xfId="61312"/>
    <cellStyle name="Процентный 4 3 61 2 4" xfId="39952"/>
    <cellStyle name="Процентный 4 3 61 3" xfId="13248"/>
    <cellStyle name="Процентный 4 3 61 3 2" xfId="45292"/>
    <cellStyle name="Процентный 4 3 61 4" xfId="23929"/>
    <cellStyle name="Процентный 4 3 61 4 2" xfId="55972"/>
    <cellStyle name="Процентный 4 3 61 5" xfId="34612"/>
    <cellStyle name="Процентный 4 3 62" xfId="2598"/>
    <cellStyle name="Процентный 4 3 62 2" xfId="7940"/>
    <cellStyle name="Процентный 4 3 62 2 2" xfId="18620"/>
    <cellStyle name="Процентный 4 3 62 2 2 2" xfId="50664"/>
    <cellStyle name="Процентный 4 3 62 2 3" xfId="29301"/>
    <cellStyle name="Процентный 4 3 62 2 3 2" xfId="61344"/>
    <cellStyle name="Процентный 4 3 62 2 4" xfId="39984"/>
    <cellStyle name="Процентный 4 3 62 3" xfId="13280"/>
    <cellStyle name="Процентный 4 3 62 3 2" xfId="45324"/>
    <cellStyle name="Процентный 4 3 62 4" xfId="23961"/>
    <cellStyle name="Процентный 4 3 62 4 2" xfId="56004"/>
    <cellStyle name="Процентный 4 3 62 5" xfId="34644"/>
    <cellStyle name="Процентный 4 3 63" xfId="2630"/>
    <cellStyle name="Процентный 4 3 63 2" xfId="7972"/>
    <cellStyle name="Процентный 4 3 63 2 2" xfId="18652"/>
    <cellStyle name="Процентный 4 3 63 2 2 2" xfId="50696"/>
    <cellStyle name="Процентный 4 3 63 2 3" xfId="29333"/>
    <cellStyle name="Процентный 4 3 63 2 3 2" xfId="61376"/>
    <cellStyle name="Процентный 4 3 63 2 4" xfId="40016"/>
    <cellStyle name="Процентный 4 3 63 3" xfId="13312"/>
    <cellStyle name="Процентный 4 3 63 3 2" xfId="45356"/>
    <cellStyle name="Процентный 4 3 63 4" xfId="23993"/>
    <cellStyle name="Процентный 4 3 63 4 2" xfId="56036"/>
    <cellStyle name="Процентный 4 3 63 5" xfId="34676"/>
    <cellStyle name="Процентный 4 3 64" xfId="2662"/>
    <cellStyle name="Процентный 4 3 64 2" xfId="8004"/>
    <cellStyle name="Процентный 4 3 64 2 2" xfId="18684"/>
    <cellStyle name="Процентный 4 3 64 2 2 2" xfId="50728"/>
    <cellStyle name="Процентный 4 3 64 2 3" xfId="29365"/>
    <cellStyle name="Процентный 4 3 64 2 3 2" xfId="61408"/>
    <cellStyle name="Процентный 4 3 64 2 4" xfId="40048"/>
    <cellStyle name="Процентный 4 3 64 3" xfId="13344"/>
    <cellStyle name="Процентный 4 3 64 3 2" xfId="45388"/>
    <cellStyle name="Процентный 4 3 64 4" xfId="24025"/>
    <cellStyle name="Процентный 4 3 64 4 2" xfId="56068"/>
    <cellStyle name="Процентный 4 3 64 5" xfId="34708"/>
    <cellStyle name="Процентный 4 3 65" xfId="2694"/>
    <cellStyle name="Процентный 4 3 65 2" xfId="8036"/>
    <cellStyle name="Процентный 4 3 65 2 2" xfId="18716"/>
    <cellStyle name="Процентный 4 3 65 2 2 2" xfId="50760"/>
    <cellStyle name="Процентный 4 3 65 2 3" xfId="29397"/>
    <cellStyle name="Процентный 4 3 65 2 3 2" xfId="61440"/>
    <cellStyle name="Процентный 4 3 65 2 4" xfId="40080"/>
    <cellStyle name="Процентный 4 3 65 3" xfId="13376"/>
    <cellStyle name="Процентный 4 3 65 3 2" xfId="45420"/>
    <cellStyle name="Процентный 4 3 65 4" xfId="24057"/>
    <cellStyle name="Процентный 4 3 65 4 2" xfId="56100"/>
    <cellStyle name="Процентный 4 3 65 5" xfId="34740"/>
    <cellStyle name="Процентный 4 3 66" xfId="2726"/>
    <cellStyle name="Процентный 4 3 66 2" xfId="8068"/>
    <cellStyle name="Процентный 4 3 66 2 2" xfId="18748"/>
    <cellStyle name="Процентный 4 3 66 2 2 2" xfId="50792"/>
    <cellStyle name="Процентный 4 3 66 2 3" xfId="29429"/>
    <cellStyle name="Процентный 4 3 66 2 3 2" xfId="61472"/>
    <cellStyle name="Процентный 4 3 66 2 4" xfId="40112"/>
    <cellStyle name="Процентный 4 3 66 3" xfId="13408"/>
    <cellStyle name="Процентный 4 3 66 3 2" xfId="45452"/>
    <cellStyle name="Процентный 4 3 66 4" xfId="24089"/>
    <cellStyle name="Процентный 4 3 66 4 2" xfId="56132"/>
    <cellStyle name="Процентный 4 3 66 5" xfId="34772"/>
    <cellStyle name="Процентный 4 3 67" xfId="2760"/>
    <cellStyle name="Процентный 4 3 67 2" xfId="8102"/>
    <cellStyle name="Процентный 4 3 67 2 2" xfId="18782"/>
    <cellStyle name="Процентный 4 3 67 2 2 2" xfId="50826"/>
    <cellStyle name="Процентный 4 3 67 2 3" xfId="29463"/>
    <cellStyle name="Процентный 4 3 67 2 3 2" xfId="61506"/>
    <cellStyle name="Процентный 4 3 67 2 4" xfId="40146"/>
    <cellStyle name="Процентный 4 3 67 3" xfId="13442"/>
    <cellStyle name="Процентный 4 3 67 3 2" xfId="45486"/>
    <cellStyle name="Процентный 4 3 67 4" xfId="24123"/>
    <cellStyle name="Процентный 4 3 67 4 2" xfId="56166"/>
    <cellStyle name="Процентный 4 3 67 5" xfId="34806"/>
    <cellStyle name="Процентный 4 3 68" xfId="2792"/>
    <cellStyle name="Процентный 4 3 68 2" xfId="8134"/>
    <cellStyle name="Процентный 4 3 68 2 2" xfId="18814"/>
    <cellStyle name="Процентный 4 3 68 2 2 2" xfId="50858"/>
    <cellStyle name="Процентный 4 3 68 2 3" xfId="29495"/>
    <cellStyle name="Процентный 4 3 68 2 3 2" xfId="61538"/>
    <cellStyle name="Процентный 4 3 68 2 4" xfId="40178"/>
    <cellStyle name="Процентный 4 3 68 3" xfId="13474"/>
    <cellStyle name="Процентный 4 3 68 3 2" xfId="45518"/>
    <cellStyle name="Процентный 4 3 68 4" xfId="24155"/>
    <cellStyle name="Процентный 4 3 68 4 2" xfId="56198"/>
    <cellStyle name="Процентный 4 3 68 5" xfId="34838"/>
    <cellStyle name="Процентный 4 3 69" xfId="2824"/>
    <cellStyle name="Процентный 4 3 69 2" xfId="8166"/>
    <cellStyle name="Процентный 4 3 69 2 2" xfId="18846"/>
    <cellStyle name="Процентный 4 3 69 2 2 2" xfId="50890"/>
    <cellStyle name="Процентный 4 3 69 2 3" xfId="29527"/>
    <cellStyle name="Процентный 4 3 69 2 3 2" xfId="61570"/>
    <cellStyle name="Процентный 4 3 69 2 4" xfId="40210"/>
    <cellStyle name="Процентный 4 3 69 3" xfId="13506"/>
    <cellStyle name="Процентный 4 3 69 3 2" xfId="45550"/>
    <cellStyle name="Процентный 4 3 69 4" xfId="24187"/>
    <cellStyle name="Процентный 4 3 69 4 2" xfId="56230"/>
    <cellStyle name="Процентный 4 3 69 5" xfId="34870"/>
    <cellStyle name="Процентный 4 3 7" xfId="1079"/>
    <cellStyle name="Процентный 4 3 7 2" xfId="6422"/>
    <cellStyle name="Процентный 4 3 7 2 2" xfId="17102"/>
    <cellStyle name="Процентный 4 3 7 2 2 2" xfId="49146"/>
    <cellStyle name="Процентный 4 3 7 2 3" xfId="27783"/>
    <cellStyle name="Процентный 4 3 7 2 3 2" xfId="59826"/>
    <cellStyle name="Процентный 4 3 7 2 4" xfId="38466"/>
    <cellStyle name="Процентный 4 3 7 3" xfId="11762"/>
    <cellStyle name="Процентный 4 3 7 3 2" xfId="43806"/>
    <cellStyle name="Процентный 4 3 7 4" xfId="22443"/>
    <cellStyle name="Процентный 4 3 7 4 2" xfId="54486"/>
    <cellStyle name="Процентный 4 3 7 5" xfId="33126"/>
    <cellStyle name="Процентный 4 3 70" xfId="2856"/>
    <cellStyle name="Процентный 4 3 70 2" xfId="8198"/>
    <cellStyle name="Процентный 4 3 70 2 2" xfId="18878"/>
    <cellStyle name="Процентный 4 3 70 2 2 2" xfId="50922"/>
    <cellStyle name="Процентный 4 3 70 2 3" xfId="29559"/>
    <cellStyle name="Процентный 4 3 70 2 3 2" xfId="61602"/>
    <cellStyle name="Процентный 4 3 70 2 4" xfId="40242"/>
    <cellStyle name="Процентный 4 3 70 3" xfId="13538"/>
    <cellStyle name="Процентный 4 3 70 3 2" xfId="45582"/>
    <cellStyle name="Процентный 4 3 70 4" xfId="24219"/>
    <cellStyle name="Процентный 4 3 70 4 2" xfId="56262"/>
    <cellStyle name="Процентный 4 3 70 5" xfId="34902"/>
    <cellStyle name="Процентный 4 3 71" xfId="2888"/>
    <cellStyle name="Процентный 4 3 71 2" xfId="8230"/>
    <cellStyle name="Процентный 4 3 71 2 2" xfId="18910"/>
    <cellStyle name="Процентный 4 3 71 2 2 2" xfId="50954"/>
    <cellStyle name="Процентный 4 3 71 2 3" xfId="29591"/>
    <cellStyle name="Процентный 4 3 71 2 3 2" xfId="61634"/>
    <cellStyle name="Процентный 4 3 71 2 4" xfId="40274"/>
    <cellStyle name="Процентный 4 3 71 3" xfId="13570"/>
    <cellStyle name="Процентный 4 3 71 3 2" xfId="45614"/>
    <cellStyle name="Процентный 4 3 71 4" xfId="24251"/>
    <cellStyle name="Процентный 4 3 71 4 2" xfId="56294"/>
    <cellStyle name="Процентный 4 3 71 5" xfId="34934"/>
    <cellStyle name="Процентный 4 3 72" xfId="2920"/>
    <cellStyle name="Процентный 4 3 72 2" xfId="8262"/>
    <cellStyle name="Процентный 4 3 72 2 2" xfId="18942"/>
    <cellStyle name="Процентный 4 3 72 2 2 2" xfId="50986"/>
    <cellStyle name="Процентный 4 3 72 2 3" xfId="29623"/>
    <cellStyle name="Процентный 4 3 72 2 3 2" xfId="61666"/>
    <cellStyle name="Процентный 4 3 72 2 4" xfId="40306"/>
    <cellStyle name="Процентный 4 3 72 3" xfId="13602"/>
    <cellStyle name="Процентный 4 3 72 3 2" xfId="45646"/>
    <cellStyle name="Процентный 4 3 72 4" xfId="24283"/>
    <cellStyle name="Процентный 4 3 72 4 2" xfId="56326"/>
    <cellStyle name="Процентный 4 3 72 5" xfId="34966"/>
    <cellStyle name="Процентный 4 3 73" xfId="2952"/>
    <cellStyle name="Процентный 4 3 73 2" xfId="8294"/>
    <cellStyle name="Процентный 4 3 73 2 2" xfId="18974"/>
    <cellStyle name="Процентный 4 3 73 2 2 2" xfId="51018"/>
    <cellStyle name="Процентный 4 3 73 2 3" xfId="29655"/>
    <cellStyle name="Процентный 4 3 73 2 3 2" xfId="61698"/>
    <cellStyle name="Процентный 4 3 73 2 4" xfId="40338"/>
    <cellStyle name="Процентный 4 3 73 3" xfId="13634"/>
    <cellStyle name="Процентный 4 3 73 3 2" xfId="45678"/>
    <cellStyle name="Процентный 4 3 73 4" xfId="24315"/>
    <cellStyle name="Процентный 4 3 73 4 2" xfId="56358"/>
    <cellStyle name="Процентный 4 3 73 5" xfId="34998"/>
    <cellStyle name="Процентный 4 3 74" xfId="2984"/>
    <cellStyle name="Процентный 4 3 74 2" xfId="8326"/>
    <cellStyle name="Процентный 4 3 74 2 2" xfId="19006"/>
    <cellStyle name="Процентный 4 3 74 2 2 2" xfId="51050"/>
    <cellStyle name="Процентный 4 3 74 2 3" xfId="29687"/>
    <cellStyle name="Процентный 4 3 74 2 3 2" xfId="61730"/>
    <cellStyle name="Процентный 4 3 74 2 4" xfId="40370"/>
    <cellStyle name="Процентный 4 3 74 3" xfId="13666"/>
    <cellStyle name="Процентный 4 3 74 3 2" xfId="45710"/>
    <cellStyle name="Процентный 4 3 74 4" xfId="24347"/>
    <cellStyle name="Процентный 4 3 74 4 2" xfId="56390"/>
    <cellStyle name="Процентный 4 3 74 5" xfId="35030"/>
    <cellStyle name="Процентный 4 3 75" xfId="3016"/>
    <cellStyle name="Процентный 4 3 75 2" xfId="8358"/>
    <cellStyle name="Процентный 4 3 75 2 2" xfId="19038"/>
    <cellStyle name="Процентный 4 3 75 2 2 2" xfId="51082"/>
    <cellStyle name="Процентный 4 3 75 2 3" xfId="29719"/>
    <cellStyle name="Процентный 4 3 75 2 3 2" xfId="61762"/>
    <cellStyle name="Процентный 4 3 75 2 4" xfId="40402"/>
    <cellStyle name="Процентный 4 3 75 3" xfId="13698"/>
    <cellStyle name="Процентный 4 3 75 3 2" xfId="45742"/>
    <cellStyle name="Процентный 4 3 75 4" xfId="24379"/>
    <cellStyle name="Процентный 4 3 75 4 2" xfId="56422"/>
    <cellStyle name="Процентный 4 3 75 5" xfId="35062"/>
    <cellStyle name="Процентный 4 3 76" xfId="3048"/>
    <cellStyle name="Процентный 4 3 76 2" xfId="8390"/>
    <cellStyle name="Процентный 4 3 76 2 2" xfId="19070"/>
    <cellStyle name="Процентный 4 3 76 2 2 2" xfId="51114"/>
    <cellStyle name="Процентный 4 3 76 2 3" xfId="29751"/>
    <cellStyle name="Процентный 4 3 76 2 3 2" xfId="61794"/>
    <cellStyle name="Процентный 4 3 76 2 4" xfId="40434"/>
    <cellStyle name="Процентный 4 3 76 3" xfId="13730"/>
    <cellStyle name="Процентный 4 3 76 3 2" xfId="45774"/>
    <cellStyle name="Процентный 4 3 76 4" xfId="24411"/>
    <cellStyle name="Процентный 4 3 76 4 2" xfId="56454"/>
    <cellStyle name="Процентный 4 3 76 5" xfId="35094"/>
    <cellStyle name="Процентный 4 3 77" xfId="3080"/>
    <cellStyle name="Процентный 4 3 77 2" xfId="8422"/>
    <cellStyle name="Процентный 4 3 77 2 2" xfId="19102"/>
    <cellStyle name="Процентный 4 3 77 2 2 2" xfId="51146"/>
    <cellStyle name="Процентный 4 3 77 2 3" xfId="29783"/>
    <cellStyle name="Процентный 4 3 77 2 3 2" xfId="61826"/>
    <cellStyle name="Процентный 4 3 77 2 4" xfId="40466"/>
    <cellStyle name="Процентный 4 3 77 3" xfId="13762"/>
    <cellStyle name="Процентный 4 3 77 3 2" xfId="45806"/>
    <cellStyle name="Процентный 4 3 77 4" xfId="24443"/>
    <cellStyle name="Процентный 4 3 77 4 2" xfId="56486"/>
    <cellStyle name="Процентный 4 3 77 5" xfId="35126"/>
    <cellStyle name="Процентный 4 3 78" xfId="3113"/>
    <cellStyle name="Процентный 4 3 78 2" xfId="8454"/>
    <cellStyle name="Процентный 4 3 78 2 2" xfId="19134"/>
    <cellStyle name="Процентный 4 3 78 2 2 2" xfId="51178"/>
    <cellStyle name="Процентный 4 3 78 2 3" xfId="29815"/>
    <cellStyle name="Процентный 4 3 78 2 3 2" xfId="61858"/>
    <cellStyle name="Процентный 4 3 78 2 4" xfId="40498"/>
    <cellStyle name="Процентный 4 3 78 3" xfId="13794"/>
    <cellStyle name="Процентный 4 3 78 3 2" xfId="45838"/>
    <cellStyle name="Процентный 4 3 78 4" xfId="24475"/>
    <cellStyle name="Процентный 4 3 78 4 2" xfId="56518"/>
    <cellStyle name="Процентный 4 3 78 5" xfId="35158"/>
    <cellStyle name="Процентный 4 3 79" xfId="3145"/>
    <cellStyle name="Процентный 4 3 79 2" xfId="8486"/>
    <cellStyle name="Процентный 4 3 79 2 2" xfId="19166"/>
    <cellStyle name="Процентный 4 3 79 2 2 2" xfId="51210"/>
    <cellStyle name="Процентный 4 3 79 2 3" xfId="29847"/>
    <cellStyle name="Процентный 4 3 79 2 3 2" xfId="61890"/>
    <cellStyle name="Процентный 4 3 79 2 4" xfId="40530"/>
    <cellStyle name="Процентный 4 3 79 3" xfId="13826"/>
    <cellStyle name="Процентный 4 3 79 3 2" xfId="45870"/>
    <cellStyle name="Процентный 4 3 79 4" xfId="24507"/>
    <cellStyle name="Процентный 4 3 79 4 2" xfId="56550"/>
    <cellStyle name="Процентный 4 3 79 5" xfId="35190"/>
    <cellStyle name="Процентный 4 3 8" xfId="1105"/>
    <cellStyle name="Процентный 4 3 8 2" xfId="6448"/>
    <cellStyle name="Процентный 4 3 8 2 2" xfId="17128"/>
    <cellStyle name="Процентный 4 3 8 2 2 2" xfId="49172"/>
    <cellStyle name="Процентный 4 3 8 2 3" xfId="27809"/>
    <cellStyle name="Процентный 4 3 8 2 3 2" xfId="59852"/>
    <cellStyle name="Процентный 4 3 8 2 4" xfId="38492"/>
    <cellStyle name="Процентный 4 3 8 3" xfId="11788"/>
    <cellStyle name="Процентный 4 3 8 3 2" xfId="43832"/>
    <cellStyle name="Процентный 4 3 8 4" xfId="22469"/>
    <cellStyle name="Процентный 4 3 8 4 2" xfId="54512"/>
    <cellStyle name="Процентный 4 3 8 5" xfId="33152"/>
    <cellStyle name="Процентный 4 3 80" xfId="3177"/>
    <cellStyle name="Процентный 4 3 80 2" xfId="8518"/>
    <cellStyle name="Процентный 4 3 80 2 2" xfId="19198"/>
    <cellStyle name="Процентный 4 3 80 2 2 2" xfId="51242"/>
    <cellStyle name="Процентный 4 3 80 2 3" xfId="29879"/>
    <cellStyle name="Процентный 4 3 80 2 3 2" xfId="61922"/>
    <cellStyle name="Процентный 4 3 80 2 4" xfId="40562"/>
    <cellStyle name="Процентный 4 3 80 3" xfId="13858"/>
    <cellStyle name="Процентный 4 3 80 3 2" xfId="45902"/>
    <cellStyle name="Процентный 4 3 80 4" xfId="24539"/>
    <cellStyle name="Процентный 4 3 80 4 2" xfId="56582"/>
    <cellStyle name="Процентный 4 3 80 5" xfId="35222"/>
    <cellStyle name="Процентный 4 3 81" xfId="3209"/>
    <cellStyle name="Процентный 4 3 81 2" xfId="8550"/>
    <cellStyle name="Процентный 4 3 81 2 2" xfId="19230"/>
    <cellStyle name="Процентный 4 3 81 2 2 2" xfId="51274"/>
    <cellStyle name="Процентный 4 3 81 2 3" xfId="29911"/>
    <cellStyle name="Процентный 4 3 81 2 3 2" xfId="61954"/>
    <cellStyle name="Процентный 4 3 81 2 4" xfId="40594"/>
    <cellStyle name="Процентный 4 3 81 3" xfId="13890"/>
    <cellStyle name="Процентный 4 3 81 3 2" xfId="45934"/>
    <cellStyle name="Процентный 4 3 81 4" xfId="24571"/>
    <cellStyle name="Процентный 4 3 81 4 2" xfId="56614"/>
    <cellStyle name="Процентный 4 3 81 5" xfId="35254"/>
    <cellStyle name="Процентный 4 3 82" xfId="3241"/>
    <cellStyle name="Процентный 4 3 82 2" xfId="8582"/>
    <cellStyle name="Процентный 4 3 82 2 2" xfId="19262"/>
    <cellStyle name="Процентный 4 3 82 2 2 2" xfId="51306"/>
    <cellStyle name="Процентный 4 3 82 2 3" xfId="29943"/>
    <cellStyle name="Процентный 4 3 82 2 3 2" xfId="61986"/>
    <cellStyle name="Процентный 4 3 82 2 4" xfId="40626"/>
    <cellStyle name="Процентный 4 3 82 3" xfId="13922"/>
    <cellStyle name="Процентный 4 3 82 3 2" xfId="45966"/>
    <cellStyle name="Процентный 4 3 82 4" xfId="24603"/>
    <cellStyle name="Процентный 4 3 82 4 2" xfId="56646"/>
    <cellStyle name="Процентный 4 3 82 5" xfId="35286"/>
    <cellStyle name="Процентный 4 3 83" xfId="3273"/>
    <cellStyle name="Процентный 4 3 83 2" xfId="8614"/>
    <cellStyle name="Процентный 4 3 83 2 2" xfId="19294"/>
    <cellStyle name="Процентный 4 3 83 2 2 2" xfId="51338"/>
    <cellStyle name="Процентный 4 3 83 2 3" xfId="29975"/>
    <cellStyle name="Процентный 4 3 83 2 3 2" xfId="62018"/>
    <cellStyle name="Процентный 4 3 83 2 4" xfId="40658"/>
    <cellStyle name="Процентный 4 3 83 3" xfId="13954"/>
    <cellStyle name="Процентный 4 3 83 3 2" xfId="45998"/>
    <cellStyle name="Процентный 4 3 83 4" xfId="24635"/>
    <cellStyle name="Процентный 4 3 83 4 2" xfId="56678"/>
    <cellStyle name="Процентный 4 3 83 5" xfId="35318"/>
    <cellStyle name="Процентный 4 3 84" xfId="3305"/>
    <cellStyle name="Процентный 4 3 84 2" xfId="8646"/>
    <cellStyle name="Процентный 4 3 84 2 2" xfId="19326"/>
    <cellStyle name="Процентный 4 3 84 2 2 2" xfId="51370"/>
    <cellStyle name="Процентный 4 3 84 2 3" xfId="30007"/>
    <cellStyle name="Процентный 4 3 84 2 3 2" xfId="62050"/>
    <cellStyle name="Процентный 4 3 84 2 4" xfId="40690"/>
    <cellStyle name="Процентный 4 3 84 3" xfId="13986"/>
    <cellStyle name="Процентный 4 3 84 3 2" xfId="46030"/>
    <cellStyle name="Процентный 4 3 84 4" xfId="24667"/>
    <cellStyle name="Процентный 4 3 84 4 2" xfId="56710"/>
    <cellStyle name="Процентный 4 3 84 5" xfId="35350"/>
    <cellStyle name="Процентный 4 3 85" xfId="3337"/>
    <cellStyle name="Процентный 4 3 85 2" xfId="8678"/>
    <cellStyle name="Процентный 4 3 85 2 2" xfId="19358"/>
    <cellStyle name="Процентный 4 3 85 2 2 2" xfId="51402"/>
    <cellStyle name="Процентный 4 3 85 2 3" xfId="30039"/>
    <cellStyle name="Процентный 4 3 85 2 3 2" xfId="62082"/>
    <cellStyle name="Процентный 4 3 85 2 4" xfId="40722"/>
    <cellStyle name="Процентный 4 3 85 3" xfId="14018"/>
    <cellStyle name="Процентный 4 3 85 3 2" xfId="46062"/>
    <cellStyle name="Процентный 4 3 85 4" xfId="24699"/>
    <cellStyle name="Процентный 4 3 85 4 2" xfId="56742"/>
    <cellStyle name="Процентный 4 3 85 5" xfId="35382"/>
    <cellStyle name="Процентный 4 3 86" xfId="3369"/>
    <cellStyle name="Процентный 4 3 86 2" xfId="8710"/>
    <cellStyle name="Процентный 4 3 86 2 2" xfId="19390"/>
    <cellStyle name="Процентный 4 3 86 2 2 2" xfId="51434"/>
    <cellStyle name="Процентный 4 3 86 2 3" xfId="30071"/>
    <cellStyle name="Процентный 4 3 86 2 3 2" xfId="62114"/>
    <cellStyle name="Процентный 4 3 86 2 4" xfId="40754"/>
    <cellStyle name="Процентный 4 3 86 3" xfId="14050"/>
    <cellStyle name="Процентный 4 3 86 3 2" xfId="46094"/>
    <cellStyle name="Процентный 4 3 86 4" xfId="24731"/>
    <cellStyle name="Процентный 4 3 86 4 2" xfId="56774"/>
    <cellStyle name="Процентный 4 3 86 5" xfId="35414"/>
    <cellStyle name="Процентный 4 3 87" xfId="3401"/>
    <cellStyle name="Процентный 4 3 87 2" xfId="8742"/>
    <cellStyle name="Процентный 4 3 87 2 2" xfId="19422"/>
    <cellStyle name="Процентный 4 3 87 2 2 2" xfId="51466"/>
    <cellStyle name="Процентный 4 3 87 2 3" xfId="30103"/>
    <cellStyle name="Процентный 4 3 87 2 3 2" xfId="62146"/>
    <cellStyle name="Процентный 4 3 87 2 4" xfId="40786"/>
    <cellStyle name="Процентный 4 3 87 3" xfId="14082"/>
    <cellStyle name="Процентный 4 3 87 3 2" xfId="46126"/>
    <cellStyle name="Процентный 4 3 87 4" xfId="24763"/>
    <cellStyle name="Процентный 4 3 87 4 2" xfId="56806"/>
    <cellStyle name="Процентный 4 3 87 5" xfId="35446"/>
    <cellStyle name="Процентный 4 3 88" xfId="3433"/>
    <cellStyle name="Процентный 4 3 88 2" xfId="8774"/>
    <cellStyle name="Процентный 4 3 88 2 2" xfId="19454"/>
    <cellStyle name="Процентный 4 3 88 2 2 2" xfId="51498"/>
    <cellStyle name="Процентный 4 3 88 2 3" xfId="30135"/>
    <cellStyle name="Процентный 4 3 88 2 3 2" xfId="62178"/>
    <cellStyle name="Процентный 4 3 88 2 4" xfId="40818"/>
    <cellStyle name="Процентный 4 3 88 3" xfId="14114"/>
    <cellStyle name="Процентный 4 3 88 3 2" xfId="46158"/>
    <cellStyle name="Процентный 4 3 88 4" xfId="24795"/>
    <cellStyle name="Процентный 4 3 88 4 2" xfId="56838"/>
    <cellStyle name="Процентный 4 3 88 5" xfId="35478"/>
    <cellStyle name="Процентный 4 3 89" xfId="3465"/>
    <cellStyle name="Процентный 4 3 89 2" xfId="8806"/>
    <cellStyle name="Процентный 4 3 89 2 2" xfId="19486"/>
    <cellStyle name="Процентный 4 3 89 2 2 2" xfId="51530"/>
    <cellStyle name="Процентный 4 3 89 2 3" xfId="30167"/>
    <cellStyle name="Процентный 4 3 89 2 3 2" xfId="62210"/>
    <cellStyle name="Процентный 4 3 89 2 4" xfId="40850"/>
    <cellStyle name="Процентный 4 3 89 3" xfId="14146"/>
    <cellStyle name="Процентный 4 3 89 3 2" xfId="46190"/>
    <cellStyle name="Процентный 4 3 89 4" xfId="24827"/>
    <cellStyle name="Процентный 4 3 89 4 2" xfId="56870"/>
    <cellStyle name="Процентный 4 3 89 5" xfId="35510"/>
    <cellStyle name="Процентный 4 3 9" xfId="1131"/>
    <cellStyle name="Процентный 4 3 9 2" xfId="6474"/>
    <cellStyle name="Процентный 4 3 9 2 2" xfId="17154"/>
    <cellStyle name="Процентный 4 3 9 2 2 2" xfId="49198"/>
    <cellStyle name="Процентный 4 3 9 2 3" xfId="27835"/>
    <cellStyle name="Процентный 4 3 9 2 3 2" xfId="59878"/>
    <cellStyle name="Процентный 4 3 9 2 4" xfId="38518"/>
    <cellStyle name="Процентный 4 3 9 3" xfId="11814"/>
    <cellStyle name="Процентный 4 3 9 3 2" xfId="43858"/>
    <cellStyle name="Процентный 4 3 9 4" xfId="22495"/>
    <cellStyle name="Процентный 4 3 9 4 2" xfId="54538"/>
    <cellStyle name="Процентный 4 3 9 5" xfId="33178"/>
    <cellStyle name="Процентный 4 3 90" xfId="3497"/>
    <cellStyle name="Процентный 4 3 90 2" xfId="8838"/>
    <cellStyle name="Процентный 4 3 90 2 2" xfId="19518"/>
    <cellStyle name="Процентный 4 3 90 2 2 2" xfId="51562"/>
    <cellStyle name="Процентный 4 3 90 2 3" xfId="30199"/>
    <cellStyle name="Процентный 4 3 90 2 3 2" xfId="62242"/>
    <cellStyle name="Процентный 4 3 90 2 4" xfId="40882"/>
    <cellStyle name="Процентный 4 3 90 3" xfId="14178"/>
    <cellStyle name="Процентный 4 3 90 3 2" xfId="46222"/>
    <cellStyle name="Процентный 4 3 90 4" xfId="24859"/>
    <cellStyle name="Процентный 4 3 90 4 2" xfId="56902"/>
    <cellStyle name="Процентный 4 3 90 5" xfId="35542"/>
    <cellStyle name="Процентный 4 3 91" xfId="3529"/>
    <cellStyle name="Процентный 4 3 91 2" xfId="8870"/>
    <cellStyle name="Процентный 4 3 91 2 2" xfId="19550"/>
    <cellStyle name="Процентный 4 3 91 2 2 2" xfId="51594"/>
    <cellStyle name="Процентный 4 3 91 2 3" xfId="30231"/>
    <cellStyle name="Процентный 4 3 91 2 3 2" xfId="62274"/>
    <cellStyle name="Процентный 4 3 91 2 4" xfId="40914"/>
    <cellStyle name="Процентный 4 3 91 3" xfId="14210"/>
    <cellStyle name="Процентный 4 3 91 3 2" xfId="46254"/>
    <cellStyle name="Процентный 4 3 91 4" xfId="24891"/>
    <cellStyle name="Процентный 4 3 91 4 2" xfId="56934"/>
    <cellStyle name="Процентный 4 3 91 5" xfId="35574"/>
    <cellStyle name="Процентный 4 3 92" xfId="3561"/>
    <cellStyle name="Процентный 4 3 92 2" xfId="8902"/>
    <cellStyle name="Процентный 4 3 92 2 2" xfId="19582"/>
    <cellStyle name="Процентный 4 3 92 2 2 2" xfId="51626"/>
    <cellStyle name="Процентный 4 3 92 2 3" xfId="30263"/>
    <cellStyle name="Процентный 4 3 92 2 3 2" xfId="62306"/>
    <cellStyle name="Процентный 4 3 92 2 4" xfId="40946"/>
    <cellStyle name="Процентный 4 3 92 3" xfId="14242"/>
    <cellStyle name="Процентный 4 3 92 3 2" xfId="46286"/>
    <cellStyle name="Процентный 4 3 92 4" xfId="24923"/>
    <cellStyle name="Процентный 4 3 92 4 2" xfId="56966"/>
    <cellStyle name="Процентный 4 3 92 5" xfId="35606"/>
    <cellStyle name="Процентный 4 3 93" xfId="3593"/>
    <cellStyle name="Процентный 4 3 93 2" xfId="8934"/>
    <cellStyle name="Процентный 4 3 93 2 2" xfId="19614"/>
    <cellStyle name="Процентный 4 3 93 2 2 2" xfId="51658"/>
    <cellStyle name="Процентный 4 3 93 2 3" xfId="30295"/>
    <cellStyle name="Процентный 4 3 93 2 3 2" xfId="62338"/>
    <cellStyle name="Процентный 4 3 93 2 4" xfId="40978"/>
    <cellStyle name="Процентный 4 3 93 3" xfId="14274"/>
    <cellStyle name="Процентный 4 3 93 3 2" xfId="46318"/>
    <cellStyle name="Процентный 4 3 93 4" xfId="24955"/>
    <cellStyle name="Процентный 4 3 93 4 2" xfId="56998"/>
    <cellStyle name="Процентный 4 3 93 5" xfId="35638"/>
    <cellStyle name="Процентный 4 3 94" xfId="3625"/>
    <cellStyle name="Процентный 4 3 94 2" xfId="8966"/>
    <cellStyle name="Процентный 4 3 94 2 2" xfId="19646"/>
    <cellStyle name="Процентный 4 3 94 2 2 2" xfId="51690"/>
    <cellStyle name="Процентный 4 3 94 2 3" xfId="30327"/>
    <cellStyle name="Процентный 4 3 94 2 3 2" xfId="62370"/>
    <cellStyle name="Процентный 4 3 94 2 4" xfId="41010"/>
    <cellStyle name="Процентный 4 3 94 3" xfId="14306"/>
    <cellStyle name="Процентный 4 3 94 3 2" xfId="46350"/>
    <cellStyle name="Процентный 4 3 94 4" xfId="24987"/>
    <cellStyle name="Процентный 4 3 94 4 2" xfId="57030"/>
    <cellStyle name="Процентный 4 3 94 5" xfId="35670"/>
    <cellStyle name="Процентный 4 3 95" xfId="3657"/>
    <cellStyle name="Процентный 4 3 95 2" xfId="8998"/>
    <cellStyle name="Процентный 4 3 95 2 2" xfId="19678"/>
    <cellStyle name="Процентный 4 3 95 2 2 2" xfId="51722"/>
    <cellStyle name="Процентный 4 3 95 2 3" xfId="30359"/>
    <cellStyle name="Процентный 4 3 95 2 3 2" xfId="62402"/>
    <cellStyle name="Процентный 4 3 95 2 4" xfId="41042"/>
    <cellStyle name="Процентный 4 3 95 3" xfId="14338"/>
    <cellStyle name="Процентный 4 3 95 3 2" xfId="46382"/>
    <cellStyle name="Процентный 4 3 95 4" xfId="25019"/>
    <cellStyle name="Процентный 4 3 95 4 2" xfId="57062"/>
    <cellStyle name="Процентный 4 3 95 5" xfId="35702"/>
    <cellStyle name="Процентный 4 3 96" xfId="3689"/>
    <cellStyle name="Процентный 4 3 96 2" xfId="9030"/>
    <cellStyle name="Процентный 4 3 96 2 2" xfId="19710"/>
    <cellStyle name="Процентный 4 3 96 2 2 2" xfId="51754"/>
    <cellStyle name="Процентный 4 3 96 2 3" xfId="30391"/>
    <cellStyle name="Процентный 4 3 96 2 3 2" xfId="62434"/>
    <cellStyle name="Процентный 4 3 96 2 4" xfId="41074"/>
    <cellStyle name="Процентный 4 3 96 3" xfId="14370"/>
    <cellStyle name="Процентный 4 3 96 3 2" xfId="46414"/>
    <cellStyle name="Процентный 4 3 96 4" xfId="25051"/>
    <cellStyle name="Процентный 4 3 96 4 2" xfId="57094"/>
    <cellStyle name="Процентный 4 3 96 5" xfId="35734"/>
    <cellStyle name="Процентный 4 3 97" xfId="3721"/>
    <cellStyle name="Процентный 4 3 97 2" xfId="9062"/>
    <cellStyle name="Процентный 4 3 97 2 2" xfId="19742"/>
    <cellStyle name="Процентный 4 3 97 2 2 2" xfId="51786"/>
    <cellStyle name="Процентный 4 3 97 2 3" xfId="30423"/>
    <cellStyle name="Процентный 4 3 97 2 3 2" xfId="62466"/>
    <cellStyle name="Процентный 4 3 97 2 4" xfId="41106"/>
    <cellStyle name="Процентный 4 3 97 3" xfId="14402"/>
    <cellStyle name="Процентный 4 3 97 3 2" xfId="46446"/>
    <cellStyle name="Процентный 4 3 97 4" xfId="25083"/>
    <cellStyle name="Процентный 4 3 97 4 2" xfId="57126"/>
    <cellStyle name="Процентный 4 3 97 5" xfId="35766"/>
    <cellStyle name="Процентный 4 3 98" xfId="3753"/>
    <cellStyle name="Процентный 4 3 98 2" xfId="9094"/>
    <cellStyle name="Процентный 4 3 98 2 2" xfId="19774"/>
    <cellStyle name="Процентный 4 3 98 2 2 2" xfId="51818"/>
    <cellStyle name="Процентный 4 3 98 2 3" xfId="30455"/>
    <cellStyle name="Процентный 4 3 98 2 3 2" xfId="62498"/>
    <cellStyle name="Процентный 4 3 98 2 4" xfId="41138"/>
    <cellStyle name="Процентный 4 3 98 3" xfId="14434"/>
    <cellStyle name="Процентный 4 3 98 3 2" xfId="46478"/>
    <cellStyle name="Процентный 4 3 98 4" xfId="25115"/>
    <cellStyle name="Процентный 4 3 98 4 2" xfId="57158"/>
    <cellStyle name="Процентный 4 3 98 5" xfId="35798"/>
    <cellStyle name="Процентный 4 3 99" xfId="3785"/>
    <cellStyle name="Процентный 4 3 99 2" xfId="9126"/>
    <cellStyle name="Процентный 4 3 99 2 2" xfId="19806"/>
    <cellStyle name="Процентный 4 3 99 2 2 2" xfId="51850"/>
    <cellStyle name="Процентный 4 3 99 2 3" xfId="30487"/>
    <cellStyle name="Процентный 4 3 99 2 3 2" xfId="62530"/>
    <cellStyle name="Процентный 4 3 99 2 4" xfId="41170"/>
    <cellStyle name="Процентный 4 3 99 3" xfId="14466"/>
    <cellStyle name="Процентный 4 3 99 3 2" xfId="46510"/>
    <cellStyle name="Процентный 4 3 99 4" xfId="25147"/>
    <cellStyle name="Процентный 4 3 99 4 2" xfId="57190"/>
    <cellStyle name="Процентный 4 3 99 5" xfId="35830"/>
    <cellStyle name="Процентный 4 30" xfId="221"/>
    <cellStyle name="Процентный 4 30 2" xfId="689"/>
    <cellStyle name="Процентный 4 30 2 2" xfId="6032"/>
    <cellStyle name="Процентный 4 30 2 2 2" xfId="16712"/>
    <cellStyle name="Процентный 4 30 2 2 2 2" xfId="48756"/>
    <cellStyle name="Процентный 4 30 2 2 3" xfId="27393"/>
    <cellStyle name="Процентный 4 30 2 2 3 2" xfId="59436"/>
    <cellStyle name="Процентный 4 30 2 2 4" xfId="38076"/>
    <cellStyle name="Процентный 4 30 2 3" xfId="11372"/>
    <cellStyle name="Процентный 4 30 2 3 2" xfId="43416"/>
    <cellStyle name="Процентный 4 30 2 4" xfId="22053"/>
    <cellStyle name="Процентный 4 30 2 4 2" xfId="54096"/>
    <cellStyle name="Процентный 4 30 2 5" xfId="32736"/>
    <cellStyle name="Процентный 4 30 3" xfId="5565"/>
    <cellStyle name="Процентный 4 30 3 2" xfId="16245"/>
    <cellStyle name="Процентный 4 30 3 2 2" xfId="48289"/>
    <cellStyle name="Процентный 4 30 3 3" xfId="26926"/>
    <cellStyle name="Процентный 4 30 3 3 2" xfId="58969"/>
    <cellStyle name="Процентный 4 30 3 4" xfId="37609"/>
    <cellStyle name="Процентный 4 30 4" xfId="10905"/>
    <cellStyle name="Процентный 4 30 4 2" xfId="42949"/>
    <cellStyle name="Процентный 4 30 5" xfId="21586"/>
    <cellStyle name="Процентный 4 30 5 2" xfId="53629"/>
    <cellStyle name="Процентный 4 30 6" xfId="32269"/>
    <cellStyle name="Процентный 4 31" xfId="231"/>
    <cellStyle name="Процентный 4 31 2" xfId="699"/>
    <cellStyle name="Процентный 4 31 2 2" xfId="6042"/>
    <cellStyle name="Процентный 4 31 2 2 2" xfId="16722"/>
    <cellStyle name="Процентный 4 31 2 2 2 2" xfId="48766"/>
    <cellStyle name="Процентный 4 31 2 2 3" xfId="27403"/>
    <cellStyle name="Процентный 4 31 2 2 3 2" xfId="59446"/>
    <cellStyle name="Процентный 4 31 2 2 4" xfId="38086"/>
    <cellStyle name="Процентный 4 31 2 3" xfId="11382"/>
    <cellStyle name="Процентный 4 31 2 3 2" xfId="43426"/>
    <cellStyle name="Процентный 4 31 2 4" xfId="22063"/>
    <cellStyle name="Процентный 4 31 2 4 2" xfId="54106"/>
    <cellStyle name="Процентный 4 31 2 5" xfId="32746"/>
    <cellStyle name="Процентный 4 31 3" xfId="5575"/>
    <cellStyle name="Процентный 4 31 3 2" xfId="16255"/>
    <cellStyle name="Процентный 4 31 3 2 2" xfId="48299"/>
    <cellStyle name="Процентный 4 31 3 3" xfId="26936"/>
    <cellStyle name="Процентный 4 31 3 3 2" xfId="58979"/>
    <cellStyle name="Процентный 4 31 3 4" xfId="37619"/>
    <cellStyle name="Процентный 4 31 4" xfId="10915"/>
    <cellStyle name="Процентный 4 31 4 2" xfId="42959"/>
    <cellStyle name="Процентный 4 31 5" xfId="21596"/>
    <cellStyle name="Процентный 4 31 5 2" xfId="53639"/>
    <cellStyle name="Процентный 4 31 6" xfId="32279"/>
    <cellStyle name="Процентный 4 32" xfId="241"/>
    <cellStyle name="Процентный 4 32 2" xfId="709"/>
    <cellStyle name="Процентный 4 32 2 2" xfId="6052"/>
    <cellStyle name="Процентный 4 32 2 2 2" xfId="16732"/>
    <cellStyle name="Процентный 4 32 2 2 2 2" xfId="48776"/>
    <cellStyle name="Процентный 4 32 2 2 3" xfId="27413"/>
    <cellStyle name="Процентный 4 32 2 2 3 2" xfId="59456"/>
    <cellStyle name="Процентный 4 32 2 2 4" xfId="38096"/>
    <cellStyle name="Процентный 4 32 2 3" xfId="11392"/>
    <cellStyle name="Процентный 4 32 2 3 2" xfId="43436"/>
    <cellStyle name="Процентный 4 32 2 4" xfId="22073"/>
    <cellStyle name="Процентный 4 32 2 4 2" xfId="54116"/>
    <cellStyle name="Процентный 4 32 2 5" xfId="32756"/>
    <cellStyle name="Процентный 4 32 3" xfId="5585"/>
    <cellStyle name="Процентный 4 32 3 2" xfId="16265"/>
    <cellStyle name="Процентный 4 32 3 2 2" xfId="48309"/>
    <cellStyle name="Процентный 4 32 3 3" xfId="26946"/>
    <cellStyle name="Процентный 4 32 3 3 2" xfId="58989"/>
    <cellStyle name="Процентный 4 32 3 4" xfId="37629"/>
    <cellStyle name="Процентный 4 32 4" xfId="10925"/>
    <cellStyle name="Процентный 4 32 4 2" xfId="42969"/>
    <cellStyle name="Процентный 4 32 5" xfId="21606"/>
    <cellStyle name="Процентный 4 32 5 2" xfId="53649"/>
    <cellStyle name="Процентный 4 32 6" xfId="32289"/>
    <cellStyle name="Процентный 4 33" xfId="251"/>
    <cellStyle name="Процентный 4 33 2" xfId="719"/>
    <cellStyle name="Процентный 4 33 2 2" xfId="6062"/>
    <cellStyle name="Процентный 4 33 2 2 2" xfId="16742"/>
    <cellStyle name="Процентный 4 33 2 2 2 2" xfId="48786"/>
    <cellStyle name="Процентный 4 33 2 2 3" xfId="27423"/>
    <cellStyle name="Процентный 4 33 2 2 3 2" xfId="59466"/>
    <cellStyle name="Процентный 4 33 2 2 4" xfId="38106"/>
    <cellStyle name="Процентный 4 33 2 3" xfId="11402"/>
    <cellStyle name="Процентный 4 33 2 3 2" xfId="43446"/>
    <cellStyle name="Процентный 4 33 2 4" xfId="22083"/>
    <cellStyle name="Процентный 4 33 2 4 2" xfId="54126"/>
    <cellStyle name="Процентный 4 33 2 5" xfId="32766"/>
    <cellStyle name="Процентный 4 33 3" xfId="5595"/>
    <cellStyle name="Процентный 4 33 3 2" xfId="16275"/>
    <cellStyle name="Процентный 4 33 3 2 2" xfId="48319"/>
    <cellStyle name="Процентный 4 33 3 3" xfId="26956"/>
    <cellStyle name="Процентный 4 33 3 3 2" xfId="58999"/>
    <cellStyle name="Процентный 4 33 3 4" xfId="37639"/>
    <cellStyle name="Процентный 4 33 4" xfId="10935"/>
    <cellStyle name="Процентный 4 33 4 2" xfId="42979"/>
    <cellStyle name="Процентный 4 33 5" xfId="21616"/>
    <cellStyle name="Процентный 4 33 5 2" xfId="53659"/>
    <cellStyle name="Процентный 4 33 6" xfId="32299"/>
    <cellStyle name="Процентный 4 34" xfId="261"/>
    <cellStyle name="Процентный 4 34 2" xfId="729"/>
    <cellStyle name="Процентный 4 34 2 2" xfId="6072"/>
    <cellStyle name="Процентный 4 34 2 2 2" xfId="16752"/>
    <cellStyle name="Процентный 4 34 2 2 2 2" xfId="48796"/>
    <cellStyle name="Процентный 4 34 2 2 3" xfId="27433"/>
    <cellStyle name="Процентный 4 34 2 2 3 2" xfId="59476"/>
    <cellStyle name="Процентный 4 34 2 2 4" xfId="38116"/>
    <cellStyle name="Процентный 4 34 2 3" xfId="11412"/>
    <cellStyle name="Процентный 4 34 2 3 2" xfId="43456"/>
    <cellStyle name="Процентный 4 34 2 4" xfId="22093"/>
    <cellStyle name="Процентный 4 34 2 4 2" xfId="54136"/>
    <cellStyle name="Процентный 4 34 2 5" xfId="32776"/>
    <cellStyle name="Процентный 4 34 3" xfId="5605"/>
    <cellStyle name="Процентный 4 34 3 2" xfId="16285"/>
    <cellStyle name="Процентный 4 34 3 2 2" xfId="48329"/>
    <cellStyle name="Процентный 4 34 3 3" xfId="26966"/>
    <cellStyle name="Процентный 4 34 3 3 2" xfId="59009"/>
    <cellStyle name="Процентный 4 34 3 4" xfId="37649"/>
    <cellStyle name="Процентный 4 34 4" xfId="10945"/>
    <cellStyle name="Процентный 4 34 4 2" xfId="42989"/>
    <cellStyle name="Процентный 4 34 5" xfId="21626"/>
    <cellStyle name="Процентный 4 34 5 2" xfId="53669"/>
    <cellStyle name="Процентный 4 34 6" xfId="32309"/>
    <cellStyle name="Процентный 4 35" xfId="271"/>
    <cellStyle name="Процентный 4 35 2" xfId="739"/>
    <cellStyle name="Процентный 4 35 2 2" xfId="6082"/>
    <cellStyle name="Процентный 4 35 2 2 2" xfId="16762"/>
    <cellStyle name="Процентный 4 35 2 2 2 2" xfId="48806"/>
    <cellStyle name="Процентный 4 35 2 2 3" xfId="27443"/>
    <cellStyle name="Процентный 4 35 2 2 3 2" xfId="59486"/>
    <cellStyle name="Процентный 4 35 2 2 4" xfId="38126"/>
    <cellStyle name="Процентный 4 35 2 3" xfId="11422"/>
    <cellStyle name="Процентный 4 35 2 3 2" xfId="43466"/>
    <cellStyle name="Процентный 4 35 2 4" xfId="22103"/>
    <cellStyle name="Процентный 4 35 2 4 2" xfId="54146"/>
    <cellStyle name="Процентный 4 35 2 5" xfId="32786"/>
    <cellStyle name="Процентный 4 35 3" xfId="5615"/>
    <cellStyle name="Процентный 4 35 3 2" xfId="16295"/>
    <cellStyle name="Процентный 4 35 3 2 2" xfId="48339"/>
    <cellStyle name="Процентный 4 35 3 3" xfId="26976"/>
    <cellStyle name="Процентный 4 35 3 3 2" xfId="59019"/>
    <cellStyle name="Процентный 4 35 3 4" xfId="37659"/>
    <cellStyle name="Процентный 4 35 4" xfId="10955"/>
    <cellStyle name="Процентный 4 35 4 2" xfId="42999"/>
    <cellStyle name="Процентный 4 35 5" xfId="21636"/>
    <cellStyle name="Процентный 4 35 5 2" xfId="53679"/>
    <cellStyle name="Процентный 4 35 6" xfId="32319"/>
    <cellStyle name="Процентный 4 36" xfId="281"/>
    <cellStyle name="Процентный 4 36 2" xfId="749"/>
    <cellStyle name="Процентный 4 36 2 2" xfId="6092"/>
    <cellStyle name="Процентный 4 36 2 2 2" xfId="16772"/>
    <cellStyle name="Процентный 4 36 2 2 2 2" xfId="48816"/>
    <cellStyle name="Процентный 4 36 2 2 3" xfId="27453"/>
    <cellStyle name="Процентный 4 36 2 2 3 2" xfId="59496"/>
    <cellStyle name="Процентный 4 36 2 2 4" xfId="38136"/>
    <cellStyle name="Процентный 4 36 2 3" xfId="11432"/>
    <cellStyle name="Процентный 4 36 2 3 2" xfId="43476"/>
    <cellStyle name="Процентный 4 36 2 4" xfId="22113"/>
    <cellStyle name="Процентный 4 36 2 4 2" xfId="54156"/>
    <cellStyle name="Процентный 4 36 2 5" xfId="32796"/>
    <cellStyle name="Процентный 4 36 3" xfId="5625"/>
    <cellStyle name="Процентный 4 36 3 2" xfId="16305"/>
    <cellStyle name="Процентный 4 36 3 2 2" xfId="48349"/>
    <cellStyle name="Процентный 4 36 3 3" xfId="26986"/>
    <cellStyle name="Процентный 4 36 3 3 2" xfId="59029"/>
    <cellStyle name="Процентный 4 36 3 4" xfId="37669"/>
    <cellStyle name="Процентный 4 36 4" xfId="10965"/>
    <cellStyle name="Процентный 4 36 4 2" xfId="43009"/>
    <cellStyle name="Процентный 4 36 5" xfId="21646"/>
    <cellStyle name="Процентный 4 36 5 2" xfId="53689"/>
    <cellStyle name="Процентный 4 36 6" xfId="32329"/>
    <cellStyle name="Процентный 4 37" xfId="291"/>
    <cellStyle name="Процентный 4 37 2" xfId="759"/>
    <cellStyle name="Процентный 4 37 2 2" xfId="6102"/>
    <cellStyle name="Процентный 4 37 2 2 2" xfId="16782"/>
    <cellStyle name="Процентный 4 37 2 2 2 2" xfId="48826"/>
    <cellStyle name="Процентный 4 37 2 2 3" xfId="27463"/>
    <cellStyle name="Процентный 4 37 2 2 3 2" xfId="59506"/>
    <cellStyle name="Процентный 4 37 2 2 4" xfId="38146"/>
    <cellStyle name="Процентный 4 37 2 3" xfId="11442"/>
    <cellStyle name="Процентный 4 37 2 3 2" xfId="43486"/>
    <cellStyle name="Процентный 4 37 2 4" xfId="22123"/>
    <cellStyle name="Процентный 4 37 2 4 2" xfId="54166"/>
    <cellStyle name="Процентный 4 37 2 5" xfId="32806"/>
    <cellStyle name="Процентный 4 37 3" xfId="5635"/>
    <cellStyle name="Процентный 4 37 3 2" xfId="16315"/>
    <cellStyle name="Процентный 4 37 3 2 2" xfId="48359"/>
    <cellStyle name="Процентный 4 37 3 3" xfId="26996"/>
    <cellStyle name="Процентный 4 37 3 3 2" xfId="59039"/>
    <cellStyle name="Процентный 4 37 3 4" xfId="37679"/>
    <cellStyle name="Процентный 4 37 4" xfId="10975"/>
    <cellStyle name="Процентный 4 37 4 2" xfId="43019"/>
    <cellStyle name="Процентный 4 37 5" xfId="21656"/>
    <cellStyle name="Процентный 4 37 5 2" xfId="53699"/>
    <cellStyle name="Процентный 4 37 6" xfId="32339"/>
    <cellStyle name="Процентный 4 38" xfId="301"/>
    <cellStyle name="Процентный 4 38 2" xfId="769"/>
    <cellStyle name="Процентный 4 38 2 2" xfId="6112"/>
    <cellStyle name="Процентный 4 38 2 2 2" xfId="16792"/>
    <cellStyle name="Процентный 4 38 2 2 2 2" xfId="48836"/>
    <cellStyle name="Процентный 4 38 2 2 3" xfId="27473"/>
    <cellStyle name="Процентный 4 38 2 2 3 2" xfId="59516"/>
    <cellStyle name="Процентный 4 38 2 2 4" xfId="38156"/>
    <cellStyle name="Процентный 4 38 2 3" xfId="11452"/>
    <cellStyle name="Процентный 4 38 2 3 2" xfId="43496"/>
    <cellStyle name="Процентный 4 38 2 4" xfId="22133"/>
    <cellStyle name="Процентный 4 38 2 4 2" xfId="54176"/>
    <cellStyle name="Процентный 4 38 2 5" xfId="32816"/>
    <cellStyle name="Процентный 4 38 3" xfId="5645"/>
    <cellStyle name="Процентный 4 38 3 2" xfId="16325"/>
    <cellStyle name="Процентный 4 38 3 2 2" xfId="48369"/>
    <cellStyle name="Процентный 4 38 3 3" xfId="27006"/>
    <cellStyle name="Процентный 4 38 3 3 2" xfId="59049"/>
    <cellStyle name="Процентный 4 38 3 4" xfId="37689"/>
    <cellStyle name="Процентный 4 38 4" xfId="10985"/>
    <cellStyle name="Процентный 4 38 4 2" xfId="43029"/>
    <cellStyle name="Процентный 4 38 5" xfId="21666"/>
    <cellStyle name="Процентный 4 38 5 2" xfId="53709"/>
    <cellStyle name="Процентный 4 38 6" xfId="32349"/>
    <cellStyle name="Процентный 4 39" xfId="311"/>
    <cellStyle name="Процентный 4 39 2" xfId="779"/>
    <cellStyle name="Процентный 4 39 2 2" xfId="6122"/>
    <cellStyle name="Процентный 4 39 2 2 2" xfId="16802"/>
    <cellStyle name="Процентный 4 39 2 2 2 2" xfId="48846"/>
    <cellStyle name="Процентный 4 39 2 2 3" xfId="27483"/>
    <cellStyle name="Процентный 4 39 2 2 3 2" xfId="59526"/>
    <cellStyle name="Процентный 4 39 2 2 4" xfId="38166"/>
    <cellStyle name="Процентный 4 39 2 3" xfId="11462"/>
    <cellStyle name="Процентный 4 39 2 3 2" xfId="43506"/>
    <cellStyle name="Процентный 4 39 2 4" xfId="22143"/>
    <cellStyle name="Процентный 4 39 2 4 2" xfId="54186"/>
    <cellStyle name="Процентный 4 39 2 5" xfId="32826"/>
    <cellStyle name="Процентный 4 39 3" xfId="5655"/>
    <cellStyle name="Процентный 4 39 3 2" xfId="16335"/>
    <cellStyle name="Процентный 4 39 3 2 2" xfId="48379"/>
    <cellStyle name="Процентный 4 39 3 3" xfId="27016"/>
    <cellStyle name="Процентный 4 39 3 3 2" xfId="59059"/>
    <cellStyle name="Процентный 4 39 3 4" xfId="37699"/>
    <cellStyle name="Процентный 4 39 4" xfId="10995"/>
    <cellStyle name="Процентный 4 39 4 2" xfId="43039"/>
    <cellStyle name="Процентный 4 39 5" xfId="21676"/>
    <cellStyle name="Процентный 4 39 5 2" xfId="53719"/>
    <cellStyle name="Процентный 4 39 6" xfId="32359"/>
    <cellStyle name="Процентный 4 4" xfId="41"/>
    <cellStyle name="Процентный 4 4 2" xfId="509"/>
    <cellStyle name="Процентный 4 4 2 2" xfId="5852"/>
    <cellStyle name="Процентный 4 4 2 2 2" xfId="16532"/>
    <cellStyle name="Процентный 4 4 2 2 2 2" xfId="48576"/>
    <cellStyle name="Процентный 4 4 2 2 3" xfId="27213"/>
    <cellStyle name="Процентный 4 4 2 2 3 2" xfId="59256"/>
    <cellStyle name="Процентный 4 4 2 2 4" xfId="37896"/>
    <cellStyle name="Процентный 4 4 2 3" xfId="11192"/>
    <cellStyle name="Процентный 4 4 2 3 2" xfId="43236"/>
    <cellStyle name="Процентный 4 4 2 4" xfId="21873"/>
    <cellStyle name="Процентный 4 4 2 4 2" xfId="53916"/>
    <cellStyle name="Процентный 4 4 2 5" xfId="32556"/>
    <cellStyle name="Процентный 4 4 3" xfId="5385"/>
    <cellStyle name="Процентный 4 4 3 2" xfId="16065"/>
    <cellStyle name="Процентный 4 4 3 2 2" xfId="48109"/>
    <cellStyle name="Процентный 4 4 3 3" xfId="26746"/>
    <cellStyle name="Процентный 4 4 3 3 2" xfId="58789"/>
    <cellStyle name="Процентный 4 4 3 4" xfId="37429"/>
    <cellStyle name="Процентный 4 4 4" xfId="10725"/>
    <cellStyle name="Процентный 4 4 4 2" xfId="42769"/>
    <cellStyle name="Процентный 4 4 5" xfId="21406"/>
    <cellStyle name="Процентный 4 4 5 2" xfId="53449"/>
    <cellStyle name="Процентный 4 4 6" xfId="32089"/>
    <cellStyle name="Процентный 4 40" xfId="321"/>
    <cellStyle name="Процентный 4 40 2" xfId="789"/>
    <cellStyle name="Процентный 4 40 2 2" xfId="6132"/>
    <cellStyle name="Процентный 4 40 2 2 2" xfId="16812"/>
    <cellStyle name="Процентный 4 40 2 2 2 2" xfId="48856"/>
    <cellStyle name="Процентный 4 40 2 2 3" xfId="27493"/>
    <cellStyle name="Процентный 4 40 2 2 3 2" xfId="59536"/>
    <cellStyle name="Процентный 4 40 2 2 4" xfId="38176"/>
    <cellStyle name="Процентный 4 40 2 3" xfId="11472"/>
    <cellStyle name="Процентный 4 40 2 3 2" xfId="43516"/>
    <cellStyle name="Процентный 4 40 2 4" xfId="22153"/>
    <cellStyle name="Процентный 4 40 2 4 2" xfId="54196"/>
    <cellStyle name="Процентный 4 40 2 5" xfId="32836"/>
    <cellStyle name="Процентный 4 40 3" xfId="5665"/>
    <cellStyle name="Процентный 4 40 3 2" xfId="16345"/>
    <cellStyle name="Процентный 4 40 3 2 2" xfId="48389"/>
    <cellStyle name="Процентный 4 40 3 3" xfId="27026"/>
    <cellStyle name="Процентный 4 40 3 3 2" xfId="59069"/>
    <cellStyle name="Процентный 4 40 3 4" xfId="37709"/>
    <cellStyle name="Процентный 4 40 4" xfId="11005"/>
    <cellStyle name="Процентный 4 40 4 2" xfId="43049"/>
    <cellStyle name="Процентный 4 40 5" xfId="21686"/>
    <cellStyle name="Процентный 4 40 5 2" xfId="53729"/>
    <cellStyle name="Процентный 4 40 6" xfId="32369"/>
    <cellStyle name="Процентный 4 41" xfId="331"/>
    <cellStyle name="Процентный 4 41 2" xfId="799"/>
    <cellStyle name="Процентный 4 41 2 2" xfId="6142"/>
    <cellStyle name="Процентный 4 41 2 2 2" xfId="16822"/>
    <cellStyle name="Процентный 4 41 2 2 2 2" xfId="48866"/>
    <cellStyle name="Процентный 4 41 2 2 3" xfId="27503"/>
    <cellStyle name="Процентный 4 41 2 2 3 2" xfId="59546"/>
    <cellStyle name="Процентный 4 41 2 2 4" xfId="38186"/>
    <cellStyle name="Процентный 4 41 2 3" xfId="11482"/>
    <cellStyle name="Процентный 4 41 2 3 2" xfId="43526"/>
    <cellStyle name="Процентный 4 41 2 4" xfId="22163"/>
    <cellStyle name="Процентный 4 41 2 4 2" xfId="54206"/>
    <cellStyle name="Процентный 4 41 2 5" xfId="32846"/>
    <cellStyle name="Процентный 4 41 3" xfId="5675"/>
    <cellStyle name="Процентный 4 41 3 2" xfId="16355"/>
    <cellStyle name="Процентный 4 41 3 2 2" xfId="48399"/>
    <cellStyle name="Процентный 4 41 3 3" xfId="27036"/>
    <cellStyle name="Процентный 4 41 3 3 2" xfId="59079"/>
    <cellStyle name="Процентный 4 41 3 4" xfId="37719"/>
    <cellStyle name="Процентный 4 41 4" xfId="11015"/>
    <cellStyle name="Процентный 4 41 4 2" xfId="43059"/>
    <cellStyle name="Процентный 4 41 5" xfId="21696"/>
    <cellStyle name="Процентный 4 41 5 2" xfId="53739"/>
    <cellStyle name="Процентный 4 41 6" xfId="32379"/>
    <cellStyle name="Процентный 4 42" xfId="341"/>
    <cellStyle name="Процентный 4 42 2" xfId="809"/>
    <cellStyle name="Процентный 4 42 2 2" xfId="6152"/>
    <cellStyle name="Процентный 4 42 2 2 2" xfId="16832"/>
    <cellStyle name="Процентный 4 42 2 2 2 2" xfId="48876"/>
    <cellStyle name="Процентный 4 42 2 2 3" xfId="27513"/>
    <cellStyle name="Процентный 4 42 2 2 3 2" xfId="59556"/>
    <cellStyle name="Процентный 4 42 2 2 4" xfId="38196"/>
    <cellStyle name="Процентный 4 42 2 3" xfId="11492"/>
    <cellStyle name="Процентный 4 42 2 3 2" xfId="43536"/>
    <cellStyle name="Процентный 4 42 2 4" xfId="22173"/>
    <cellStyle name="Процентный 4 42 2 4 2" xfId="54216"/>
    <cellStyle name="Процентный 4 42 2 5" xfId="32856"/>
    <cellStyle name="Процентный 4 42 3" xfId="5685"/>
    <cellStyle name="Процентный 4 42 3 2" xfId="16365"/>
    <cellStyle name="Процентный 4 42 3 2 2" xfId="48409"/>
    <cellStyle name="Процентный 4 42 3 3" xfId="27046"/>
    <cellStyle name="Процентный 4 42 3 3 2" xfId="59089"/>
    <cellStyle name="Процентный 4 42 3 4" xfId="37729"/>
    <cellStyle name="Процентный 4 42 4" xfId="11025"/>
    <cellStyle name="Процентный 4 42 4 2" xfId="43069"/>
    <cellStyle name="Процентный 4 42 5" xfId="21706"/>
    <cellStyle name="Процентный 4 42 5 2" xfId="53749"/>
    <cellStyle name="Процентный 4 42 6" xfId="32389"/>
    <cellStyle name="Процентный 4 43" xfId="351"/>
    <cellStyle name="Процентный 4 43 2" xfId="819"/>
    <cellStyle name="Процентный 4 43 2 2" xfId="6162"/>
    <cellStyle name="Процентный 4 43 2 2 2" xfId="16842"/>
    <cellStyle name="Процентный 4 43 2 2 2 2" xfId="48886"/>
    <cellStyle name="Процентный 4 43 2 2 3" xfId="27523"/>
    <cellStyle name="Процентный 4 43 2 2 3 2" xfId="59566"/>
    <cellStyle name="Процентный 4 43 2 2 4" xfId="38206"/>
    <cellStyle name="Процентный 4 43 2 3" xfId="11502"/>
    <cellStyle name="Процентный 4 43 2 3 2" xfId="43546"/>
    <cellStyle name="Процентный 4 43 2 4" xfId="22183"/>
    <cellStyle name="Процентный 4 43 2 4 2" xfId="54226"/>
    <cellStyle name="Процентный 4 43 2 5" xfId="32866"/>
    <cellStyle name="Процентный 4 43 3" xfId="5695"/>
    <cellStyle name="Процентный 4 43 3 2" xfId="16375"/>
    <cellStyle name="Процентный 4 43 3 2 2" xfId="48419"/>
    <cellStyle name="Процентный 4 43 3 3" xfId="27056"/>
    <cellStyle name="Процентный 4 43 3 3 2" xfId="59099"/>
    <cellStyle name="Процентный 4 43 3 4" xfId="37739"/>
    <cellStyle name="Процентный 4 43 4" xfId="11035"/>
    <cellStyle name="Процентный 4 43 4 2" xfId="43079"/>
    <cellStyle name="Процентный 4 43 5" xfId="21716"/>
    <cellStyle name="Процентный 4 43 5 2" xfId="53759"/>
    <cellStyle name="Процентный 4 43 6" xfId="32399"/>
    <cellStyle name="Процентный 4 44" xfId="361"/>
    <cellStyle name="Процентный 4 44 2" xfId="829"/>
    <cellStyle name="Процентный 4 44 2 2" xfId="6172"/>
    <cellStyle name="Процентный 4 44 2 2 2" xfId="16852"/>
    <cellStyle name="Процентный 4 44 2 2 2 2" xfId="48896"/>
    <cellStyle name="Процентный 4 44 2 2 3" xfId="27533"/>
    <cellStyle name="Процентный 4 44 2 2 3 2" xfId="59576"/>
    <cellStyle name="Процентный 4 44 2 2 4" xfId="38216"/>
    <cellStyle name="Процентный 4 44 2 3" xfId="11512"/>
    <cellStyle name="Процентный 4 44 2 3 2" xfId="43556"/>
    <cellStyle name="Процентный 4 44 2 4" xfId="22193"/>
    <cellStyle name="Процентный 4 44 2 4 2" xfId="54236"/>
    <cellStyle name="Процентный 4 44 2 5" xfId="32876"/>
    <cellStyle name="Процентный 4 44 3" xfId="5705"/>
    <cellStyle name="Процентный 4 44 3 2" xfId="16385"/>
    <cellStyle name="Процентный 4 44 3 2 2" xfId="48429"/>
    <cellStyle name="Процентный 4 44 3 3" xfId="27066"/>
    <cellStyle name="Процентный 4 44 3 3 2" xfId="59109"/>
    <cellStyle name="Процентный 4 44 3 4" xfId="37749"/>
    <cellStyle name="Процентный 4 44 4" xfId="11045"/>
    <cellStyle name="Процентный 4 44 4 2" xfId="43089"/>
    <cellStyle name="Процентный 4 44 5" xfId="21726"/>
    <cellStyle name="Процентный 4 44 5 2" xfId="53769"/>
    <cellStyle name="Процентный 4 44 6" xfId="32409"/>
    <cellStyle name="Процентный 4 45" xfId="371"/>
    <cellStyle name="Процентный 4 45 2" xfId="839"/>
    <cellStyle name="Процентный 4 45 2 2" xfId="6182"/>
    <cellStyle name="Процентный 4 45 2 2 2" xfId="16862"/>
    <cellStyle name="Процентный 4 45 2 2 2 2" xfId="48906"/>
    <cellStyle name="Процентный 4 45 2 2 3" xfId="27543"/>
    <cellStyle name="Процентный 4 45 2 2 3 2" xfId="59586"/>
    <cellStyle name="Процентный 4 45 2 2 4" xfId="38226"/>
    <cellStyle name="Процентный 4 45 2 3" xfId="11522"/>
    <cellStyle name="Процентный 4 45 2 3 2" xfId="43566"/>
    <cellStyle name="Процентный 4 45 2 4" xfId="22203"/>
    <cellStyle name="Процентный 4 45 2 4 2" xfId="54246"/>
    <cellStyle name="Процентный 4 45 2 5" xfId="32886"/>
    <cellStyle name="Процентный 4 45 3" xfId="5715"/>
    <cellStyle name="Процентный 4 45 3 2" xfId="16395"/>
    <cellStyle name="Процентный 4 45 3 2 2" xfId="48439"/>
    <cellStyle name="Процентный 4 45 3 3" xfId="27076"/>
    <cellStyle name="Процентный 4 45 3 3 2" xfId="59119"/>
    <cellStyle name="Процентный 4 45 3 4" xfId="37759"/>
    <cellStyle name="Процентный 4 45 4" xfId="11055"/>
    <cellStyle name="Процентный 4 45 4 2" xfId="43099"/>
    <cellStyle name="Процентный 4 45 5" xfId="21736"/>
    <cellStyle name="Процентный 4 45 5 2" xfId="53779"/>
    <cellStyle name="Процентный 4 45 6" xfId="32419"/>
    <cellStyle name="Процентный 4 46" xfId="381"/>
    <cellStyle name="Процентный 4 46 2" xfId="849"/>
    <cellStyle name="Процентный 4 46 2 2" xfId="6192"/>
    <cellStyle name="Процентный 4 46 2 2 2" xfId="16872"/>
    <cellStyle name="Процентный 4 46 2 2 2 2" xfId="48916"/>
    <cellStyle name="Процентный 4 46 2 2 3" xfId="27553"/>
    <cellStyle name="Процентный 4 46 2 2 3 2" xfId="59596"/>
    <cellStyle name="Процентный 4 46 2 2 4" xfId="38236"/>
    <cellStyle name="Процентный 4 46 2 3" xfId="11532"/>
    <cellStyle name="Процентный 4 46 2 3 2" xfId="43576"/>
    <cellStyle name="Процентный 4 46 2 4" xfId="22213"/>
    <cellStyle name="Процентный 4 46 2 4 2" xfId="54256"/>
    <cellStyle name="Процентный 4 46 2 5" xfId="32896"/>
    <cellStyle name="Процентный 4 46 3" xfId="5725"/>
    <cellStyle name="Процентный 4 46 3 2" xfId="16405"/>
    <cellStyle name="Процентный 4 46 3 2 2" xfId="48449"/>
    <cellStyle name="Процентный 4 46 3 3" xfId="27086"/>
    <cellStyle name="Процентный 4 46 3 3 2" xfId="59129"/>
    <cellStyle name="Процентный 4 46 3 4" xfId="37769"/>
    <cellStyle name="Процентный 4 46 4" xfId="11065"/>
    <cellStyle name="Процентный 4 46 4 2" xfId="43109"/>
    <cellStyle name="Процентный 4 46 5" xfId="21746"/>
    <cellStyle name="Процентный 4 46 5 2" xfId="53789"/>
    <cellStyle name="Процентный 4 46 6" xfId="32429"/>
    <cellStyle name="Процентный 4 47" xfId="391"/>
    <cellStyle name="Процентный 4 47 2" xfId="859"/>
    <cellStyle name="Процентный 4 47 2 2" xfId="6202"/>
    <cellStyle name="Процентный 4 47 2 2 2" xfId="16882"/>
    <cellStyle name="Процентный 4 47 2 2 2 2" xfId="48926"/>
    <cellStyle name="Процентный 4 47 2 2 3" xfId="27563"/>
    <cellStyle name="Процентный 4 47 2 2 3 2" xfId="59606"/>
    <cellStyle name="Процентный 4 47 2 2 4" xfId="38246"/>
    <cellStyle name="Процентный 4 47 2 3" xfId="11542"/>
    <cellStyle name="Процентный 4 47 2 3 2" xfId="43586"/>
    <cellStyle name="Процентный 4 47 2 4" xfId="22223"/>
    <cellStyle name="Процентный 4 47 2 4 2" xfId="54266"/>
    <cellStyle name="Процентный 4 47 2 5" xfId="32906"/>
    <cellStyle name="Процентный 4 47 3" xfId="5735"/>
    <cellStyle name="Процентный 4 47 3 2" xfId="16415"/>
    <cellStyle name="Процентный 4 47 3 2 2" xfId="48459"/>
    <cellStyle name="Процентный 4 47 3 3" xfId="27096"/>
    <cellStyle name="Процентный 4 47 3 3 2" xfId="59139"/>
    <cellStyle name="Процентный 4 47 3 4" xfId="37779"/>
    <cellStyle name="Процентный 4 47 4" xfId="11075"/>
    <cellStyle name="Процентный 4 47 4 2" xfId="43119"/>
    <cellStyle name="Процентный 4 47 5" xfId="21756"/>
    <cellStyle name="Процентный 4 47 5 2" xfId="53799"/>
    <cellStyle name="Процентный 4 47 6" xfId="32439"/>
    <cellStyle name="Процентный 4 48" xfId="403"/>
    <cellStyle name="Процентный 4 48 2" xfId="871"/>
    <cellStyle name="Процентный 4 48 2 2" xfId="6214"/>
    <cellStyle name="Процентный 4 48 2 2 2" xfId="16894"/>
    <cellStyle name="Процентный 4 48 2 2 2 2" xfId="48938"/>
    <cellStyle name="Процентный 4 48 2 2 3" xfId="27575"/>
    <cellStyle name="Процентный 4 48 2 2 3 2" xfId="59618"/>
    <cellStyle name="Процентный 4 48 2 2 4" xfId="38258"/>
    <cellStyle name="Процентный 4 48 2 3" xfId="11554"/>
    <cellStyle name="Процентный 4 48 2 3 2" xfId="43598"/>
    <cellStyle name="Процентный 4 48 2 4" xfId="22235"/>
    <cellStyle name="Процентный 4 48 2 4 2" xfId="54278"/>
    <cellStyle name="Процентный 4 48 2 5" xfId="32918"/>
    <cellStyle name="Процентный 4 48 3" xfId="5747"/>
    <cellStyle name="Процентный 4 48 3 2" xfId="16427"/>
    <cellStyle name="Процентный 4 48 3 2 2" xfId="48471"/>
    <cellStyle name="Процентный 4 48 3 3" xfId="27108"/>
    <cellStyle name="Процентный 4 48 3 3 2" xfId="59151"/>
    <cellStyle name="Процентный 4 48 3 4" xfId="37791"/>
    <cellStyle name="Процентный 4 48 4" xfId="11087"/>
    <cellStyle name="Процентный 4 48 4 2" xfId="43131"/>
    <cellStyle name="Процентный 4 48 5" xfId="21768"/>
    <cellStyle name="Процентный 4 48 5 2" xfId="53811"/>
    <cellStyle name="Процентный 4 48 6" xfId="32451"/>
    <cellStyle name="Процентный 4 49" xfId="415"/>
    <cellStyle name="Процентный 4 49 2" xfId="883"/>
    <cellStyle name="Процентный 4 49 2 2" xfId="6226"/>
    <cellStyle name="Процентный 4 49 2 2 2" xfId="16906"/>
    <cellStyle name="Процентный 4 49 2 2 2 2" xfId="48950"/>
    <cellStyle name="Процентный 4 49 2 2 3" xfId="27587"/>
    <cellStyle name="Процентный 4 49 2 2 3 2" xfId="59630"/>
    <cellStyle name="Процентный 4 49 2 2 4" xfId="38270"/>
    <cellStyle name="Процентный 4 49 2 3" xfId="11566"/>
    <cellStyle name="Процентный 4 49 2 3 2" xfId="43610"/>
    <cellStyle name="Процентный 4 49 2 4" xfId="22247"/>
    <cellStyle name="Процентный 4 49 2 4 2" xfId="54290"/>
    <cellStyle name="Процентный 4 49 2 5" xfId="32930"/>
    <cellStyle name="Процентный 4 49 3" xfId="5759"/>
    <cellStyle name="Процентный 4 49 3 2" xfId="16439"/>
    <cellStyle name="Процентный 4 49 3 2 2" xfId="48483"/>
    <cellStyle name="Процентный 4 49 3 3" xfId="27120"/>
    <cellStyle name="Процентный 4 49 3 3 2" xfId="59163"/>
    <cellStyle name="Процентный 4 49 3 4" xfId="37803"/>
    <cellStyle name="Процентный 4 49 4" xfId="11099"/>
    <cellStyle name="Процентный 4 49 4 2" xfId="43143"/>
    <cellStyle name="Процентный 4 49 5" xfId="21780"/>
    <cellStyle name="Процентный 4 49 5 2" xfId="53823"/>
    <cellStyle name="Процентный 4 49 6" xfId="32463"/>
    <cellStyle name="Процентный 4 5" xfId="43"/>
    <cellStyle name="Процентный 4 5 2" xfId="511"/>
    <cellStyle name="Процентный 4 5 2 2" xfId="5854"/>
    <cellStyle name="Процентный 4 5 2 2 2" xfId="16534"/>
    <cellStyle name="Процентный 4 5 2 2 2 2" xfId="48578"/>
    <cellStyle name="Процентный 4 5 2 2 3" xfId="27215"/>
    <cellStyle name="Процентный 4 5 2 2 3 2" xfId="59258"/>
    <cellStyle name="Процентный 4 5 2 2 4" xfId="37898"/>
    <cellStyle name="Процентный 4 5 2 3" xfId="11194"/>
    <cellStyle name="Процентный 4 5 2 3 2" xfId="43238"/>
    <cellStyle name="Процентный 4 5 2 4" xfId="21875"/>
    <cellStyle name="Процентный 4 5 2 4 2" xfId="53918"/>
    <cellStyle name="Процентный 4 5 2 5" xfId="32558"/>
    <cellStyle name="Процентный 4 5 3" xfId="5387"/>
    <cellStyle name="Процентный 4 5 3 2" xfId="16067"/>
    <cellStyle name="Процентный 4 5 3 2 2" xfId="48111"/>
    <cellStyle name="Процентный 4 5 3 3" xfId="26748"/>
    <cellStyle name="Процентный 4 5 3 3 2" xfId="58791"/>
    <cellStyle name="Процентный 4 5 3 4" xfId="37431"/>
    <cellStyle name="Процентный 4 5 4" xfId="10727"/>
    <cellStyle name="Процентный 4 5 4 2" xfId="42771"/>
    <cellStyle name="Процентный 4 5 5" xfId="21408"/>
    <cellStyle name="Процентный 4 5 5 2" xfId="53451"/>
    <cellStyle name="Процентный 4 5 6" xfId="32091"/>
    <cellStyle name="Процентный 4 50" xfId="427"/>
    <cellStyle name="Процентный 4 50 2" xfId="895"/>
    <cellStyle name="Процентный 4 50 2 2" xfId="6238"/>
    <cellStyle name="Процентный 4 50 2 2 2" xfId="16918"/>
    <cellStyle name="Процентный 4 50 2 2 2 2" xfId="48962"/>
    <cellStyle name="Процентный 4 50 2 2 3" xfId="27599"/>
    <cellStyle name="Процентный 4 50 2 2 3 2" xfId="59642"/>
    <cellStyle name="Процентный 4 50 2 2 4" xfId="38282"/>
    <cellStyle name="Процентный 4 50 2 3" xfId="11578"/>
    <cellStyle name="Процентный 4 50 2 3 2" xfId="43622"/>
    <cellStyle name="Процентный 4 50 2 4" xfId="22259"/>
    <cellStyle name="Процентный 4 50 2 4 2" xfId="54302"/>
    <cellStyle name="Процентный 4 50 2 5" xfId="32942"/>
    <cellStyle name="Процентный 4 50 3" xfId="5771"/>
    <cellStyle name="Процентный 4 50 3 2" xfId="16451"/>
    <cellStyle name="Процентный 4 50 3 2 2" xfId="48495"/>
    <cellStyle name="Процентный 4 50 3 3" xfId="27132"/>
    <cellStyle name="Процентный 4 50 3 3 2" xfId="59175"/>
    <cellStyle name="Процентный 4 50 3 4" xfId="37815"/>
    <cellStyle name="Процентный 4 50 4" xfId="11111"/>
    <cellStyle name="Процентный 4 50 4 2" xfId="43155"/>
    <cellStyle name="Процентный 4 50 5" xfId="21792"/>
    <cellStyle name="Процентный 4 50 5 2" xfId="53835"/>
    <cellStyle name="Процентный 4 50 6" xfId="32475"/>
    <cellStyle name="Процентный 4 51" xfId="439"/>
    <cellStyle name="Процентный 4 51 2" xfId="907"/>
    <cellStyle name="Процентный 4 51 2 2" xfId="6250"/>
    <cellStyle name="Процентный 4 51 2 2 2" xfId="16930"/>
    <cellStyle name="Процентный 4 51 2 2 2 2" xfId="48974"/>
    <cellStyle name="Процентный 4 51 2 2 3" xfId="27611"/>
    <cellStyle name="Процентный 4 51 2 2 3 2" xfId="59654"/>
    <cellStyle name="Процентный 4 51 2 2 4" xfId="38294"/>
    <cellStyle name="Процентный 4 51 2 3" xfId="11590"/>
    <cellStyle name="Процентный 4 51 2 3 2" xfId="43634"/>
    <cellStyle name="Процентный 4 51 2 4" xfId="22271"/>
    <cellStyle name="Процентный 4 51 2 4 2" xfId="54314"/>
    <cellStyle name="Процентный 4 51 2 5" xfId="32954"/>
    <cellStyle name="Процентный 4 51 3" xfId="5783"/>
    <cellStyle name="Процентный 4 51 3 2" xfId="16463"/>
    <cellStyle name="Процентный 4 51 3 2 2" xfId="48507"/>
    <cellStyle name="Процентный 4 51 3 3" xfId="27144"/>
    <cellStyle name="Процентный 4 51 3 3 2" xfId="59187"/>
    <cellStyle name="Процентный 4 51 3 4" xfId="37827"/>
    <cellStyle name="Процентный 4 51 4" xfId="11123"/>
    <cellStyle name="Процентный 4 51 4 2" xfId="43167"/>
    <cellStyle name="Процентный 4 51 5" xfId="21804"/>
    <cellStyle name="Процентный 4 51 5 2" xfId="53847"/>
    <cellStyle name="Процентный 4 51 6" xfId="32487"/>
    <cellStyle name="Процентный 4 52" xfId="451"/>
    <cellStyle name="Процентный 4 52 2" xfId="919"/>
    <cellStyle name="Процентный 4 52 2 2" xfId="6262"/>
    <cellStyle name="Процентный 4 52 2 2 2" xfId="16942"/>
    <cellStyle name="Процентный 4 52 2 2 2 2" xfId="48986"/>
    <cellStyle name="Процентный 4 52 2 2 3" xfId="27623"/>
    <cellStyle name="Процентный 4 52 2 2 3 2" xfId="59666"/>
    <cellStyle name="Процентный 4 52 2 2 4" xfId="38306"/>
    <cellStyle name="Процентный 4 52 2 3" xfId="11602"/>
    <cellStyle name="Процентный 4 52 2 3 2" xfId="43646"/>
    <cellStyle name="Процентный 4 52 2 4" xfId="22283"/>
    <cellStyle name="Процентный 4 52 2 4 2" xfId="54326"/>
    <cellStyle name="Процентный 4 52 2 5" xfId="32966"/>
    <cellStyle name="Процентный 4 52 3" xfId="5795"/>
    <cellStyle name="Процентный 4 52 3 2" xfId="16475"/>
    <cellStyle name="Процентный 4 52 3 2 2" xfId="48519"/>
    <cellStyle name="Процентный 4 52 3 3" xfId="27156"/>
    <cellStyle name="Процентный 4 52 3 3 2" xfId="59199"/>
    <cellStyle name="Процентный 4 52 3 4" xfId="37839"/>
    <cellStyle name="Процентный 4 52 4" xfId="11135"/>
    <cellStyle name="Процентный 4 52 4 2" xfId="43179"/>
    <cellStyle name="Процентный 4 52 5" xfId="21816"/>
    <cellStyle name="Процентный 4 52 5 2" xfId="53859"/>
    <cellStyle name="Процентный 4 52 6" xfId="32499"/>
    <cellStyle name="Процентный 4 53" xfId="463"/>
    <cellStyle name="Процентный 4 53 2" xfId="931"/>
    <cellStyle name="Процентный 4 53 2 2" xfId="6274"/>
    <cellStyle name="Процентный 4 53 2 2 2" xfId="16954"/>
    <cellStyle name="Процентный 4 53 2 2 2 2" xfId="48998"/>
    <cellStyle name="Процентный 4 53 2 2 3" xfId="27635"/>
    <cellStyle name="Процентный 4 53 2 2 3 2" xfId="59678"/>
    <cellStyle name="Процентный 4 53 2 2 4" xfId="38318"/>
    <cellStyle name="Процентный 4 53 2 3" xfId="11614"/>
    <cellStyle name="Процентный 4 53 2 3 2" xfId="43658"/>
    <cellStyle name="Процентный 4 53 2 4" xfId="22295"/>
    <cellStyle name="Процентный 4 53 2 4 2" xfId="54338"/>
    <cellStyle name="Процентный 4 53 2 5" xfId="32978"/>
    <cellStyle name="Процентный 4 53 3" xfId="5807"/>
    <cellStyle name="Процентный 4 53 3 2" xfId="16487"/>
    <cellStyle name="Процентный 4 53 3 2 2" xfId="48531"/>
    <cellStyle name="Процентный 4 53 3 3" xfId="27168"/>
    <cellStyle name="Процентный 4 53 3 3 2" xfId="59211"/>
    <cellStyle name="Процентный 4 53 3 4" xfId="37851"/>
    <cellStyle name="Процентный 4 53 4" xfId="11147"/>
    <cellStyle name="Процентный 4 53 4 2" xfId="43191"/>
    <cellStyle name="Процентный 4 53 5" xfId="21828"/>
    <cellStyle name="Процентный 4 53 5 2" xfId="53871"/>
    <cellStyle name="Процентный 4 53 6" xfId="32511"/>
    <cellStyle name="Процентный 4 54" xfId="475"/>
    <cellStyle name="Процентный 4 54 2" xfId="943"/>
    <cellStyle name="Процентный 4 54 2 2" xfId="6286"/>
    <cellStyle name="Процентный 4 54 2 2 2" xfId="16966"/>
    <cellStyle name="Процентный 4 54 2 2 2 2" xfId="49010"/>
    <cellStyle name="Процентный 4 54 2 2 3" xfId="27647"/>
    <cellStyle name="Процентный 4 54 2 2 3 2" xfId="59690"/>
    <cellStyle name="Процентный 4 54 2 2 4" xfId="38330"/>
    <cellStyle name="Процентный 4 54 2 3" xfId="11626"/>
    <cellStyle name="Процентный 4 54 2 3 2" xfId="43670"/>
    <cellStyle name="Процентный 4 54 2 4" xfId="22307"/>
    <cellStyle name="Процентный 4 54 2 4 2" xfId="54350"/>
    <cellStyle name="Процентный 4 54 2 5" xfId="32990"/>
    <cellStyle name="Процентный 4 54 3" xfId="5819"/>
    <cellStyle name="Процентный 4 54 3 2" xfId="16499"/>
    <cellStyle name="Процентный 4 54 3 2 2" xfId="48543"/>
    <cellStyle name="Процентный 4 54 3 3" xfId="27180"/>
    <cellStyle name="Процентный 4 54 3 3 2" xfId="59223"/>
    <cellStyle name="Процентный 4 54 3 4" xfId="37863"/>
    <cellStyle name="Процентный 4 54 4" xfId="11159"/>
    <cellStyle name="Процентный 4 54 4 2" xfId="43203"/>
    <cellStyle name="Процентный 4 54 5" xfId="21840"/>
    <cellStyle name="Процентный 4 54 5 2" xfId="53883"/>
    <cellStyle name="Процентный 4 54 6" xfId="32523"/>
    <cellStyle name="Процентный 4 55" xfId="487"/>
    <cellStyle name="Процентный 4 55 2" xfId="955"/>
    <cellStyle name="Процентный 4 55 2 2" xfId="6298"/>
    <cellStyle name="Процентный 4 55 2 2 2" xfId="16978"/>
    <cellStyle name="Процентный 4 55 2 2 2 2" xfId="49022"/>
    <cellStyle name="Процентный 4 55 2 2 3" xfId="27659"/>
    <cellStyle name="Процентный 4 55 2 2 3 2" xfId="59702"/>
    <cellStyle name="Процентный 4 55 2 2 4" xfId="38342"/>
    <cellStyle name="Процентный 4 55 2 3" xfId="11638"/>
    <cellStyle name="Процентный 4 55 2 3 2" xfId="43682"/>
    <cellStyle name="Процентный 4 55 2 4" xfId="22319"/>
    <cellStyle name="Процентный 4 55 2 4 2" xfId="54362"/>
    <cellStyle name="Процентный 4 55 2 5" xfId="33002"/>
    <cellStyle name="Процентный 4 55 3" xfId="5831"/>
    <cellStyle name="Процентный 4 55 3 2" xfId="16511"/>
    <cellStyle name="Процентный 4 55 3 2 2" xfId="48555"/>
    <cellStyle name="Процентный 4 55 3 3" xfId="27192"/>
    <cellStyle name="Процентный 4 55 3 3 2" xfId="59235"/>
    <cellStyle name="Процентный 4 55 3 4" xfId="37875"/>
    <cellStyle name="Процентный 4 55 4" xfId="11171"/>
    <cellStyle name="Процентный 4 55 4 2" xfId="43215"/>
    <cellStyle name="Процентный 4 55 5" xfId="21852"/>
    <cellStyle name="Процентный 4 55 5 2" xfId="53895"/>
    <cellStyle name="Процентный 4 55 6" xfId="32535"/>
    <cellStyle name="Процентный 4 56" xfId="501"/>
    <cellStyle name="Процентный 4 56 2" xfId="5844"/>
    <cellStyle name="Процентный 4 56 2 2" xfId="16524"/>
    <cellStyle name="Процентный 4 56 2 2 2" xfId="48568"/>
    <cellStyle name="Процентный 4 56 2 3" xfId="27205"/>
    <cellStyle name="Процентный 4 56 2 3 2" xfId="59248"/>
    <cellStyle name="Процентный 4 56 2 4" xfId="37888"/>
    <cellStyle name="Процентный 4 56 3" xfId="11184"/>
    <cellStyle name="Процентный 4 56 3 2" xfId="43228"/>
    <cellStyle name="Процентный 4 56 4" xfId="21865"/>
    <cellStyle name="Процентный 4 56 4 2" xfId="53908"/>
    <cellStyle name="Процентный 4 56 5" xfId="32548"/>
    <cellStyle name="Процентный 4 57" xfId="967"/>
    <cellStyle name="Процентный 4 57 2" xfId="6310"/>
    <cellStyle name="Процентный 4 57 2 2" xfId="16990"/>
    <cellStyle name="Процентный 4 57 2 2 2" xfId="49034"/>
    <cellStyle name="Процентный 4 57 2 3" xfId="27671"/>
    <cellStyle name="Процентный 4 57 2 3 2" xfId="59714"/>
    <cellStyle name="Процентный 4 57 2 4" xfId="38354"/>
    <cellStyle name="Процентный 4 57 3" xfId="11650"/>
    <cellStyle name="Процентный 4 57 3 2" xfId="43694"/>
    <cellStyle name="Процентный 4 57 4" xfId="22331"/>
    <cellStyle name="Процентный 4 57 4 2" xfId="54374"/>
    <cellStyle name="Процентный 4 57 5" xfId="33014"/>
    <cellStyle name="Процентный 4 58" xfId="991"/>
    <cellStyle name="Процентный 4 58 2" xfId="6334"/>
    <cellStyle name="Процентный 4 58 2 2" xfId="17014"/>
    <cellStyle name="Процентный 4 58 2 2 2" xfId="49058"/>
    <cellStyle name="Процентный 4 58 2 3" xfId="27695"/>
    <cellStyle name="Процентный 4 58 2 3 2" xfId="59738"/>
    <cellStyle name="Процентный 4 58 2 4" xfId="38378"/>
    <cellStyle name="Процентный 4 58 3" xfId="11674"/>
    <cellStyle name="Процентный 4 58 3 2" xfId="43718"/>
    <cellStyle name="Процентный 4 58 4" xfId="22355"/>
    <cellStyle name="Процентный 4 58 4 2" xfId="54398"/>
    <cellStyle name="Процентный 4 58 5" xfId="33038"/>
    <cellStyle name="Процентный 4 59" xfId="1015"/>
    <cellStyle name="Процентный 4 59 2" xfId="6358"/>
    <cellStyle name="Процентный 4 59 2 2" xfId="17038"/>
    <cellStyle name="Процентный 4 59 2 2 2" xfId="49082"/>
    <cellStyle name="Процентный 4 59 2 3" xfId="27719"/>
    <cellStyle name="Процентный 4 59 2 3 2" xfId="59762"/>
    <cellStyle name="Процентный 4 59 2 4" xfId="38402"/>
    <cellStyle name="Процентный 4 59 3" xfId="11698"/>
    <cellStyle name="Процентный 4 59 3 2" xfId="43742"/>
    <cellStyle name="Процентный 4 59 4" xfId="22379"/>
    <cellStyle name="Процентный 4 59 4 2" xfId="54422"/>
    <cellStyle name="Процентный 4 59 5" xfId="33062"/>
    <cellStyle name="Процентный 4 6" xfId="45"/>
    <cellStyle name="Процентный 4 6 2" xfId="513"/>
    <cellStyle name="Процентный 4 6 2 2" xfId="5856"/>
    <cellStyle name="Процентный 4 6 2 2 2" xfId="16536"/>
    <cellStyle name="Процентный 4 6 2 2 2 2" xfId="48580"/>
    <cellStyle name="Процентный 4 6 2 2 3" xfId="27217"/>
    <cellStyle name="Процентный 4 6 2 2 3 2" xfId="59260"/>
    <cellStyle name="Процентный 4 6 2 2 4" xfId="37900"/>
    <cellStyle name="Процентный 4 6 2 3" xfId="11196"/>
    <cellStyle name="Процентный 4 6 2 3 2" xfId="43240"/>
    <cellStyle name="Процентный 4 6 2 4" xfId="21877"/>
    <cellStyle name="Процентный 4 6 2 4 2" xfId="53920"/>
    <cellStyle name="Процентный 4 6 2 5" xfId="32560"/>
    <cellStyle name="Процентный 4 6 3" xfId="5389"/>
    <cellStyle name="Процентный 4 6 3 2" xfId="16069"/>
    <cellStyle name="Процентный 4 6 3 2 2" xfId="48113"/>
    <cellStyle name="Процентный 4 6 3 3" xfId="26750"/>
    <cellStyle name="Процентный 4 6 3 3 2" xfId="58793"/>
    <cellStyle name="Процентный 4 6 3 4" xfId="37433"/>
    <cellStyle name="Процентный 4 6 4" xfId="10729"/>
    <cellStyle name="Процентный 4 6 4 2" xfId="42773"/>
    <cellStyle name="Процентный 4 6 5" xfId="21410"/>
    <cellStyle name="Процентный 4 6 5 2" xfId="53453"/>
    <cellStyle name="Процентный 4 6 6" xfId="32093"/>
    <cellStyle name="Процентный 4 60" xfId="1041"/>
    <cellStyle name="Процентный 4 60 2" xfId="6384"/>
    <cellStyle name="Процентный 4 60 2 2" xfId="17064"/>
    <cellStyle name="Процентный 4 60 2 2 2" xfId="49108"/>
    <cellStyle name="Процентный 4 60 2 3" xfId="27745"/>
    <cellStyle name="Процентный 4 60 2 3 2" xfId="59788"/>
    <cellStyle name="Процентный 4 60 2 4" xfId="38428"/>
    <cellStyle name="Процентный 4 60 3" xfId="11724"/>
    <cellStyle name="Процентный 4 60 3 2" xfId="43768"/>
    <cellStyle name="Процентный 4 60 4" xfId="22405"/>
    <cellStyle name="Процентный 4 60 4 2" xfId="54448"/>
    <cellStyle name="Процентный 4 60 5" xfId="33088"/>
    <cellStyle name="Процентный 4 61" xfId="1067"/>
    <cellStyle name="Процентный 4 61 2" xfId="6410"/>
    <cellStyle name="Процентный 4 61 2 2" xfId="17090"/>
    <cellStyle name="Процентный 4 61 2 2 2" xfId="49134"/>
    <cellStyle name="Процентный 4 61 2 3" xfId="27771"/>
    <cellStyle name="Процентный 4 61 2 3 2" xfId="59814"/>
    <cellStyle name="Процентный 4 61 2 4" xfId="38454"/>
    <cellStyle name="Процентный 4 61 3" xfId="11750"/>
    <cellStyle name="Процентный 4 61 3 2" xfId="43794"/>
    <cellStyle name="Процентный 4 61 4" xfId="22431"/>
    <cellStyle name="Процентный 4 61 4 2" xfId="54474"/>
    <cellStyle name="Процентный 4 61 5" xfId="33114"/>
    <cellStyle name="Процентный 4 62" xfId="1093"/>
    <cellStyle name="Процентный 4 62 2" xfId="6436"/>
    <cellStyle name="Процентный 4 62 2 2" xfId="17116"/>
    <cellStyle name="Процентный 4 62 2 2 2" xfId="49160"/>
    <cellStyle name="Процентный 4 62 2 3" xfId="27797"/>
    <cellStyle name="Процентный 4 62 2 3 2" xfId="59840"/>
    <cellStyle name="Процентный 4 62 2 4" xfId="38480"/>
    <cellStyle name="Процентный 4 62 3" xfId="11776"/>
    <cellStyle name="Процентный 4 62 3 2" xfId="43820"/>
    <cellStyle name="Процентный 4 62 4" xfId="22457"/>
    <cellStyle name="Процентный 4 62 4 2" xfId="54500"/>
    <cellStyle name="Процентный 4 62 5" xfId="33140"/>
    <cellStyle name="Процентный 4 63" xfId="1119"/>
    <cellStyle name="Процентный 4 63 2" xfId="6462"/>
    <cellStyle name="Процентный 4 63 2 2" xfId="17142"/>
    <cellStyle name="Процентный 4 63 2 2 2" xfId="49186"/>
    <cellStyle name="Процентный 4 63 2 3" xfId="27823"/>
    <cellStyle name="Процентный 4 63 2 3 2" xfId="59866"/>
    <cellStyle name="Процентный 4 63 2 4" xfId="38506"/>
    <cellStyle name="Процентный 4 63 3" xfId="11802"/>
    <cellStyle name="Процентный 4 63 3 2" xfId="43846"/>
    <cellStyle name="Процентный 4 63 4" xfId="22483"/>
    <cellStyle name="Процентный 4 63 4 2" xfId="54526"/>
    <cellStyle name="Процентный 4 63 5" xfId="33166"/>
    <cellStyle name="Процентный 4 64" xfId="1145"/>
    <cellStyle name="Процентный 4 64 2" xfId="6488"/>
    <cellStyle name="Процентный 4 64 2 2" xfId="17168"/>
    <cellStyle name="Процентный 4 64 2 2 2" xfId="49212"/>
    <cellStyle name="Процентный 4 64 2 3" xfId="27849"/>
    <cellStyle name="Процентный 4 64 2 3 2" xfId="59892"/>
    <cellStyle name="Процентный 4 64 2 4" xfId="38532"/>
    <cellStyle name="Процентный 4 64 3" xfId="11828"/>
    <cellStyle name="Процентный 4 64 3 2" xfId="43872"/>
    <cellStyle name="Процентный 4 64 4" xfId="22509"/>
    <cellStyle name="Процентный 4 64 4 2" xfId="54552"/>
    <cellStyle name="Процентный 4 64 5" xfId="33192"/>
    <cellStyle name="Процентный 4 65" xfId="1171"/>
    <cellStyle name="Процентный 4 65 2" xfId="6514"/>
    <cellStyle name="Процентный 4 65 2 2" xfId="17194"/>
    <cellStyle name="Процентный 4 65 2 2 2" xfId="49238"/>
    <cellStyle name="Процентный 4 65 2 3" xfId="27875"/>
    <cellStyle name="Процентный 4 65 2 3 2" xfId="59918"/>
    <cellStyle name="Процентный 4 65 2 4" xfId="38558"/>
    <cellStyle name="Процентный 4 65 3" xfId="11854"/>
    <cellStyle name="Процентный 4 65 3 2" xfId="43898"/>
    <cellStyle name="Процентный 4 65 4" xfId="22535"/>
    <cellStyle name="Процентный 4 65 4 2" xfId="54578"/>
    <cellStyle name="Процентный 4 65 5" xfId="33218"/>
    <cellStyle name="Процентный 4 66" xfId="1197"/>
    <cellStyle name="Процентный 4 66 2" xfId="6540"/>
    <cellStyle name="Процентный 4 66 2 2" xfId="17220"/>
    <cellStyle name="Процентный 4 66 2 2 2" xfId="49264"/>
    <cellStyle name="Процентный 4 66 2 3" xfId="27901"/>
    <cellStyle name="Процентный 4 66 2 3 2" xfId="59944"/>
    <cellStyle name="Процентный 4 66 2 4" xfId="38584"/>
    <cellStyle name="Процентный 4 66 3" xfId="11880"/>
    <cellStyle name="Процентный 4 66 3 2" xfId="43924"/>
    <cellStyle name="Процентный 4 66 4" xfId="22561"/>
    <cellStyle name="Процентный 4 66 4 2" xfId="54604"/>
    <cellStyle name="Процентный 4 66 5" xfId="33244"/>
    <cellStyle name="Процентный 4 67" xfId="1223"/>
    <cellStyle name="Процентный 4 67 2" xfId="6566"/>
    <cellStyle name="Процентный 4 67 2 2" xfId="17246"/>
    <cellStyle name="Процентный 4 67 2 2 2" xfId="49290"/>
    <cellStyle name="Процентный 4 67 2 3" xfId="27927"/>
    <cellStyle name="Процентный 4 67 2 3 2" xfId="59970"/>
    <cellStyle name="Процентный 4 67 2 4" xfId="38610"/>
    <cellStyle name="Процентный 4 67 3" xfId="11906"/>
    <cellStyle name="Процентный 4 67 3 2" xfId="43950"/>
    <cellStyle name="Процентный 4 67 4" xfId="22587"/>
    <cellStyle name="Процентный 4 67 4 2" xfId="54630"/>
    <cellStyle name="Процентный 4 67 5" xfId="33270"/>
    <cellStyle name="Процентный 4 68" xfId="1249"/>
    <cellStyle name="Процентный 4 68 2" xfId="6592"/>
    <cellStyle name="Процентный 4 68 2 2" xfId="17272"/>
    <cellStyle name="Процентный 4 68 2 2 2" xfId="49316"/>
    <cellStyle name="Процентный 4 68 2 3" xfId="27953"/>
    <cellStyle name="Процентный 4 68 2 3 2" xfId="59996"/>
    <cellStyle name="Процентный 4 68 2 4" xfId="38636"/>
    <cellStyle name="Процентный 4 68 3" xfId="11932"/>
    <cellStyle name="Процентный 4 68 3 2" xfId="43976"/>
    <cellStyle name="Процентный 4 68 4" xfId="22613"/>
    <cellStyle name="Процентный 4 68 4 2" xfId="54656"/>
    <cellStyle name="Процентный 4 68 5" xfId="33296"/>
    <cellStyle name="Процентный 4 69" xfId="1275"/>
    <cellStyle name="Процентный 4 69 2" xfId="6618"/>
    <cellStyle name="Процентный 4 69 2 2" xfId="17298"/>
    <cellStyle name="Процентный 4 69 2 2 2" xfId="49342"/>
    <cellStyle name="Процентный 4 69 2 3" xfId="27979"/>
    <cellStyle name="Процентный 4 69 2 3 2" xfId="60022"/>
    <cellStyle name="Процентный 4 69 2 4" xfId="38662"/>
    <cellStyle name="Процентный 4 69 3" xfId="11958"/>
    <cellStyle name="Процентный 4 69 3 2" xfId="44002"/>
    <cellStyle name="Процентный 4 69 4" xfId="22639"/>
    <cellStyle name="Процентный 4 69 4 2" xfId="54682"/>
    <cellStyle name="Процентный 4 69 5" xfId="33322"/>
    <cellStyle name="Процентный 4 7" xfId="47"/>
    <cellStyle name="Процентный 4 7 2" xfId="515"/>
    <cellStyle name="Процентный 4 7 2 2" xfId="5858"/>
    <cellStyle name="Процентный 4 7 2 2 2" xfId="16538"/>
    <cellStyle name="Процентный 4 7 2 2 2 2" xfId="48582"/>
    <cellStyle name="Процентный 4 7 2 2 3" xfId="27219"/>
    <cellStyle name="Процентный 4 7 2 2 3 2" xfId="59262"/>
    <cellStyle name="Процентный 4 7 2 2 4" xfId="37902"/>
    <cellStyle name="Процентный 4 7 2 3" xfId="11198"/>
    <cellStyle name="Процентный 4 7 2 3 2" xfId="43242"/>
    <cellStyle name="Процентный 4 7 2 4" xfId="21879"/>
    <cellStyle name="Процентный 4 7 2 4 2" xfId="53922"/>
    <cellStyle name="Процентный 4 7 2 5" xfId="32562"/>
    <cellStyle name="Процентный 4 7 3" xfId="5391"/>
    <cellStyle name="Процентный 4 7 3 2" xfId="16071"/>
    <cellStyle name="Процентный 4 7 3 2 2" xfId="48115"/>
    <cellStyle name="Процентный 4 7 3 3" xfId="26752"/>
    <cellStyle name="Процентный 4 7 3 3 2" xfId="58795"/>
    <cellStyle name="Процентный 4 7 3 4" xfId="37435"/>
    <cellStyle name="Процентный 4 7 4" xfId="10731"/>
    <cellStyle name="Процентный 4 7 4 2" xfId="42775"/>
    <cellStyle name="Процентный 4 7 5" xfId="21412"/>
    <cellStyle name="Процентный 4 7 5 2" xfId="53455"/>
    <cellStyle name="Процентный 4 7 6" xfId="32095"/>
    <cellStyle name="Процентный 4 70" xfId="1302"/>
    <cellStyle name="Процентный 4 70 2" xfId="6644"/>
    <cellStyle name="Процентный 4 70 2 2" xfId="17324"/>
    <cellStyle name="Процентный 4 70 2 2 2" xfId="49368"/>
    <cellStyle name="Процентный 4 70 2 3" xfId="28005"/>
    <cellStyle name="Процентный 4 70 2 3 2" xfId="60048"/>
    <cellStyle name="Процентный 4 70 2 4" xfId="38688"/>
    <cellStyle name="Процентный 4 70 3" xfId="11984"/>
    <cellStyle name="Процентный 4 70 3 2" xfId="44028"/>
    <cellStyle name="Процентный 4 70 4" xfId="22665"/>
    <cellStyle name="Процентный 4 70 4 2" xfId="54708"/>
    <cellStyle name="Процентный 4 70 5" xfId="33348"/>
    <cellStyle name="Процентный 4 71" xfId="1328"/>
    <cellStyle name="Процентный 4 71 2" xfId="6670"/>
    <cellStyle name="Процентный 4 71 2 2" xfId="17350"/>
    <cellStyle name="Процентный 4 71 2 2 2" xfId="49394"/>
    <cellStyle name="Процентный 4 71 2 3" xfId="28031"/>
    <cellStyle name="Процентный 4 71 2 3 2" xfId="60074"/>
    <cellStyle name="Процентный 4 71 2 4" xfId="38714"/>
    <cellStyle name="Процентный 4 71 3" xfId="12010"/>
    <cellStyle name="Процентный 4 71 3 2" xfId="44054"/>
    <cellStyle name="Процентный 4 71 4" xfId="22691"/>
    <cellStyle name="Процентный 4 71 4 2" xfId="54734"/>
    <cellStyle name="Процентный 4 71 5" xfId="33374"/>
    <cellStyle name="Процентный 4 72" xfId="1354"/>
    <cellStyle name="Процентный 4 72 2" xfId="6696"/>
    <cellStyle name="Процентный 4 72 2 2" xfId="17376"/>
    <cellStyle name="Процентный 4 72 2 2 2" xfId="49420"/>
    <cellStyle name="Процентный 4 72 2 3" xfId="28057"/>
    <cellStyle name="Процентный 4 72 2 3 2" xfId="60100"/>
    <cellStyle name="Процентный 4 72 2 4" xfId="38740"/>
    <cellStyle name="Процентный 4 72 3" xfId="12036"/>
    <cellStyle name="Процентный 4 72 3 2" xfId="44080"/>
    <cellStyle name="Процентный 4 72 4" xfId="22717"/>
    <cellStyle name="Процентный 4 72 4 2" xfId="54760"/>
    <cellStyle name="Процентный 4 72 5" xfId="33400"/>
    <cellStyle name="Процентный 4 73" xfId="1380"/>
    <cellStyle name="Процентный 4 73 2" xfId="6722"/>
    <cellStyle name="Процентный 4 73 2 2" xfId="17402"/>
    <cellStyle name="Процентный 4 73 2 2 2" xfId="49446"/>
    <cellStyle name="Процентный 4 73 2 3" xfId="28083"/>
    <cellStyle name="Процентный 4 73 2 3 2" xfId="60126"/>
    <cellStyle name="Процентный 4 73 2 4" xfId="38766"/>
    <cellStyle name="Процентный 4 73 3" xfId="12062"/>
    <cellStyle name="Процентный 4 73 3 2" xfId="44106"/>
    <cellStyle name="Процентный 4 73 4" xfId="22743"/>
    <cellStyle name="Процентный 4 73 4 2" xfId="54786"/>
    <cellStyle name="Процентный 4 73 5" xfId="33426"/>
    <cellStyle name="Процентный 4 74" xfId="1406"/>
    <cellStyle name="Процентный 4 74 2" xfId="6748"/>
    <cellStyle name="Процентный 4 74 2 2" xfId="17428"/>
    <cellStyle name="Процентный 4 74 2 2 2" xfId="49472"/>
    <cellStyle name="Процентный 4 74 2 3" xfId="28109"/>
    <cellStyle name="Процентный 4 74 2 3 2" xfId="60152"/>
    <cellStyle name="Процентный 4 74 2 4" xfId="38792"/>
    <cellStyle name="Процентный 4 74 3" xfId="12088"/>
    <cellStyle name="Процентный 4 74 3 2" xfId="44132"/>
    <cellStyle name="Процентный 4 74 4" xfId="22769"/>
    <cellStyle name="Процентный 4 74 4 2" xfId="54812"/>
    <cellStyle name="Процентный 4 74 5" xfId="33452"/>
    <cellStyle name="Процентный 4 75" xfId="1432"/>
    <cellStyle name="Процентный 4 75 2" xfId="6774"/>
    <cellStyle name="Процентный 4 75 2 2" xfId="17454"/>
    <cellStyle name="Процентный 4 75 2 2 2" xfId="49498"/>
    <cellStyle name="Процентный 4 75 2 3" xfId="28135"/>
    <cellStyle name="Процентный 4 75 2 3 2" xfId="60178"/>
    <cellStyle name="Процентный 4 75 2 4" xfId="38818"/>
    <cellStyle name="Процентный 4 75 3" xfId="12114"/>
    <cellStyle name="Процентный 4 75 3 2" xfId="44158"/>
    <cellStyle name="Процентный 4 75 4" xfId="22795"/>
    <cellStyle name="Процентный 4 75 4 2" xfId="54838"/>
    <cellStyle name="Процентный 4 75 5" xfId="33478"/>
    <cellStyle name="Процентный 4 76" xfId="1458"/>
    <cellStyle name="Процентный 4 76 2" xfId="6800"/>
    <cellStyle name="Процентный 4 76 2 2" xfId="17480"/>
    <cellStyle name="Процентный 4 76 2 2 2" xfId="49524"/>
    <cellStyle name="Процентный 4 76 2 3" xfId="28161"/>
    <cellStyle name="Процентный 4 76 2 3 2" xfId="60204"/>
    <cellStyle name="Процентный 4 76 2 4" xfId="38844"/>
    <cellStyle name="Процентный 4 76 3" xfId="12140"/>
    <cellStyle name="Процентный 4 76 3 2" xfId="44184"/>
    <cellStyle name="Процентный 4 76 4" xfId="22821"/>
    <cellStyle name="Процентный 4 76 4 2" xfId="54864"/>
    <cellStyle name="Процентный 4 76 5" xfId="33504"/>
    <cellStyle name="Процентный 4 77" xfId="1484"/>
    <cellStyle name="Процентный 4 77 2" xfId="6826"/>
    <cellStyle name="Процентный 4 77 2 2" xfId="17506"/>
    <cellStyle name="Процентный 4 77 2 2 2" xfId="49550"/>
    <cellStyle name="Процентный 4 77 2 3" xfId="28187"/>
    <cellStyle name="Процентный 4 77 2 3 2" xfId="60230"/>
    <cellStyle name="Процентный 4 77 2 4" xfId="38870"/>
    <cellStyle name="Процентный 4 77 3" xfId="12166"/>
    <cellStyle name="Процентный 4 77 3 2" xfId="44210"/>
    <cellStyle name="Процентный 4 77 4" xfId="22847"/>
    <cellStyle name="Процентный 4 77 4 2" xfId="54890"/>
    <cellStyle name="Процентный 4 77 5" xfId="33530"/>
    <cellStyle name="Процентный 4 78" xfId="1510"/>
    <cellStyle name="Процентный 4 78 2" xfId="6852"/>
    <cellStyle name="Процентный 4 78 2 2" xfId="17532"/>
    <cellStyle name="Процентный 4 78 2 2 2" xfId="49576"/>
    <cellStyle name="Процентный 4 78 2 3" xfId="28213"/>
    <cellStyle name="Процентный 4 78 2 3 2" xfId="60256"/>
    <cellStyle name="Процентный 4 78 2 4" xfId="38896"/>
    <cellStyle name="Процентный 4 78 3" xfId="12192"/>
    <cellStyle name="Процентный 4 78 3 2" xfId="44236"/>
    <cellStyle name="Процентный 4 78 4" xfId="22873"/>
    <cellStyle name="Процентный 4 78 4 2" xfId="54916"/>
    <cellStyle name="Процентный 4 78 5" xfId="33556"/>
    <cellStyle name="Процентный 4 79" xfId="1536"/>
    <cellStyle name="Процентный 4 79 2" xfId="6878"/>
    <cellStyle name="Процентный 4 79 2 2" xfId="17558"/>
    <cellStyle name="Процентный 4 79 2 2 2" xfId="49602"/>
    <cellStyle name="Процентный 4 79 2 3" xfId="28239"/>
    <cellStyle name="Процентный 4 79 2 3 2" xfId="60282"/>
    <cellStyle name="Процентный 4 79 2 4" xfId="38922"/>
    <cellStyle name="Процентный 4 79 3" xfId="12218"/>
    <cellStyle name="Процентный 4 79 3 2" xfId="44262"/>
    <cellStyle name="Процентный 4 79 4" xfId="22899"/>
    <cellStyle name="Процентный 4 79 4 2" xfId="54942"/>
    <cellStyle name="Процентный 4 79 5" xfId="33582"/>
    <cellStyle name="Процентный 4 8" xfId="49"/>
    <cellStyle name="Процентный 4 8 2" xfId="517"/>
    <cellStyle name="Процентный 4 8 2 2" xfId="5860"/>
    <cellStyle name="Процентный 4 8 2 2 2" xfId="16540"/>
    <cellStyle name="Процентный 4 8 2 2 2 2" xfId="48584"/>
    <cellStyle name="Процентный 4 8 2 2 3" xfId="27221"/>
    <cellStyle name="Процентный 4 8 2 2 3 2" xfId="59264"/>
    <cellStyle name="Процентный 4 8 2 2 4" xfId="37904"/>
    <cellStyle name="Процентный 4 8 2 3" xfId="11200"/>
    <cellStyle name="Процентный 4 8 2 3 2" xfId="43244"/>
    <cellStyle name="Процентный 4 8 2 4" xfId="21881"/>
    <cellStyle name="Процентный 4 8 2 4 2" xfId="53924"/>
    <cellStyle name="Процентный 4 8 2 5" xfId="32564"/>
    <cellStyle name="Процентный 4 8 3" xfId="5393"/>
    <cellStyle name="Процентный 4 8 3 2" xfId="16073"/>
    <cellStyle name="Процентный 4 8 3 2 2" xfId="48117"/>
    <cellStyle name="Процентный 4 8 3 3" xfId="26754"/>
    <cellStyle name="Процентный 4 8 3 3 2" xfId="58797"/>
    <cellStyle name="Процентный 4 8 3 4" xfId="37437"/>
    <cellStyle name="Процентный 4 8 4" xfId="10733"/>
    <cellStyle name="Процентный 4 8 4 2" xfId="42777"/>
    <cellStyle name="Процентный 4 8 5" xfId="21414"/>
    <cellStyle name="Процентный 4 8 5 2" xfId="53457"/>
    <cellStyle name="Процентный 4 8 6" xfId="32097"/>
    <cellStyle name="Процентный 4 80" xfId="1562"/>
    <cellStyle name="Процентный 4 80 2" xfId="6904"/>
    <cellStyle name="Процентный 4 80 2 2" xfId="17584"/>
    <cellStyle name="Процентный 4 80 2 2 2" xfId="49628"/>
    <cellStyle name="Процентный 4 80 2 3" xfId="28265"/>
    <cellStyle name="Процентный 4 80 2 3 2" xfId="60308"/>
    <cellStyle name="Процентный 4 80 2 4" xfId="38948"/>
    <cellStyle name="Процентный 4 80 3" xfId="12244"/>
    <cellStyle name="Процентный 4 80 3 2" xfId="44288"/>
    <cellStyle name="Процентный 4 80 4" xfId="22925"/>
    <cellStyle name="Процентный 4 80 4 2" xfId="54968"/>
    <cellStyle name="Процентный 4 80 5" xfId="33608"/>
    <cellStyle name="Процентный 4 81" xfId="1588"/>
    <cellStyle name="Процентный 4 81 2" xfId="6930"/>
    <cellStyle name="Процентный 4 81 2 2" xfId="17610"/>
    <cellStyle name="Процентный 4 81 2 2 2" xfId="49654"/>
    <cellStyle name="Процентный 4 81 2 3" xfId="28291"/>
    <cellStyle name="Процентный 4 81 2 3 2" xfId="60334"/>
    <cellStyle name="Процентный 4 81 2 4" xfId="38974"/>
    <cellStyle name="Процентный 4 81 3" xfId="12270"/>
    <cellStyle name="Процентный 4 81 3 2" xfId="44314"/>
    <cellStyle name="Процентный 4 81 4" xfId="22951"/>
    <cellStyle name="Процентный 4 81 4 2" xfId="54994"/>
    <cellStyle name="Процентный 4 81 5" xfId="33634"/>
    <cellStyle name="Процентный 4 82" xfId="1614"/>
    <cellStyle name="Процентный 4 82 2" xfId="6956"/>
    <cellStyle name="Процентный 4 82 2 2" xfId="17636"/>
    <cellStyle name="Процентный 4 82 2 2 2" xfId="49680"/>
    <cellStyle name="Процентный 4 82 2 3" xfId="28317"/>
    <cellStyle name="Процентный 4 82 2 3 2" xfId="60360"/>
    <cellStyle name="Процентный 4 82 2 4" xfId="39000"/>
    <cellStyle name="Процентный 4 82 3" xfId="12296"/>
    <cellStyle name="Процентный 4 82 3 2" xfId="44340"/>
    <cellStyle name="Процентный 4 82 4" xfId="22977"/>
    <cellStyle name="Процентный 4 82 4 2" xfId="55020"/>
    <cellStyle name="Процентный 4 82 5" xfId="33660"/>
    <cellStyle name="Процентный 4 83" xfId="1640"/>
    <cellStyle name="Процентный 4 83 2" xfId="6982"/>
    <cellStyle name="Процентный 4 83 2 2" xfId="17662"/>
    <cellStyle name="Процентный 4 83 2 2 2" xfId="49706"/>
    <cellStyle name="Процентный 4 83 2 3" xfId="28343"/>
    <cellStyle name="Процентный 4 83 2 3 2" xfId="60386"/>
    <cellStyle name="Процентный 4 83 2 4" xfId="39026"/>
    <cellStyle name="Процентный 4 83 3" xfId="12322"/>
    <cellStyle name="Процентный 4 83 3 2" xfId="44366"/>
    <cellStyle name="Процентный 4 83 4" xfId="23003"/>
    <cellStyle name="Процентный 4 83 4 2" xfId="55046"/>
    <cellStyle name="Процентный 4 83 5" xfId="33686"/>
    <cellStyle name="Процентный 4 84" xfId="1666"/>
    <cellStyle name="Процентный 4 84 2" xfId="7008"/>
    <cellStyle name="Процентный 4 84 2 2" xfId="17688"/>
    <cellStyle name="Процентный 4 84 2 2 2" xfId="49732"/>
    <cellStyle name="Процентный 4 84 2 3" xfId="28369"/>
    <cellStyle name="Процентный 4 84 2 3 2" xfId="60412"/>
    <cellStyle name="Процентный 4 84 2 4" xfId="39052"/>
    <cellStyle name="Процентный 4 84 3" xfId="12348"/>
    <cellStyle name="Процентный 4 84 3 2" xfId="44392"/>
    <cellStyle name="Процентный 4 84 4" xfId="23029"/>
    <cellStyle name="Процентный 4 84 4 2" xfId="55072"/>
    <cellStyle name="Процентный 4 84 5" xfId="33712"/>
    <cellStyle name="Процентный 4 85" xfId="1692"/>
    <cellStyle name="Процентный 4 85 2" xfId="7034"/>
    <cellStyle name="Процентный 4 85 2 2" xfId="17714"/>
    <cellStyle name="Процентный 4 85 2 2 2" xfId="49758"/>
    <cellStyle name="Процентный 4 85 2 3" xfId="28395"/>
    <cellStyle name="Процентный 4 85 2 3 2" xfId="60438"/>
    <cellStyle name="Процентный 4 85 2 4" xfId="39078"/>
    <cellStyle name="Процентный 4 85 3" xfId="12374"/>
    <cellStyle name="Процентный 4 85 3 2" xfId="44418"/>
    <cellStyle name="Процентный 4 85 4" xfId="23055"/>
    <cellStyle name="Процентный 4 85 4 2" xfId="55098"/>
    <cellStyle name="Процентный 4 85 5" xfId="33738"/>
    <cellStyle name="Процентный 4 86" xfId="1718"/>
    <cellStyle name="Процентный 4 86 2" xfId="7060"/>
    <cellStyle name="Процентный 4 86 2 2" xfId="17740"/>
    <cellStyle name="Процентный 4 86 2 2 2" xfId="49784"/>
    <cellStyle name="Процентный 4 86 2 3" xfId="28421"/>
    <cellStyle name="Процентный 4 86 2 3 2" xfId="60464"/>
    <cellStyle name="Процентный 4 86 2 4" xfId="39104"/>
    <cellStyle name="Процентный 4 86 3" xfId="12400"/>
    <cellStyle name="Процентный 4 86 3 2" xfId="44444"/>
    <cellStyle name="Процентный 4 86 4" xfId="23081"/>
    <cellStyle name="Процентный 4 86 4 2" xfId="55124"/>
    <cellStyle name="Процентный 4 86 5" xfId="33764"/>
    <cellStyle name="Процентный 4 87" xfId="1744"/>
    <cellStyle name="Процентный 4 87 2" xfId="7086"/>
    <cellStyle name="Процентный 4 87 2 2" xfId="17766"/>
    <cellStyle name="Процентный 4 87 2 2 2" xfId="49810"/>
    <cellStyle name="Процентный 4 87 2 3" xfId="28447"/>
    <cellStyle name="Процентный 4 87 2 3 2" xfId="60490"/>
    <cellStyle name="Процентный 4 87 2 4" xfId="39130"/>
    <cellStyle name="Процентный 4 87 3" xfId="12426"/>
    <cellStyle name="Процентный 4 87 3 2" xfId="44470"/>
    <cellStyle name="Процентный 4 87 4" xfId="23107"/>
    <cellStyle name="Процентный 4 87 4 2" xfId="55150"/>
    <cellStyle name="Процентный 4 87 5" xfId="33790"/>
    <cellStyle name="Процентный 4 88" xfId="1770"/>
    <cellStyle name="Процентный 4 88 2" xfId="7112"/>
    <cellStyle name="Процентный 4 88 2 2" xfId="17792"/>
    <cellStyle name="Процентный 4 88 2 2 2" xfId="49836"/>
    <cellStyle name="Процентный 4 88 2 3" xfId="28473"/>
    <cellStyle name="Процентный 4 88 2 3 2" xfId="60516"/>
    <cellStyle name="Процентный 4 88 2 4" xfId="39156"/>
    <cellStyle name="Процентный 4 88 3" xfId="12452"/>
    <cellStyle name="Процентный 4 88 3 2" xfId="44496"/>
    <cellStyle name="Процентный 4 88 4" xfId="23133"/>
    <cellStyle name="Процентный 4 88 4 2" xfId="55176"/>
    <cellStyle name="Процентный 4 88 5" xfId="33816"/>
    <cellStyle name="Процентный 4 89" xfId="1796"/>
    <cellStyle name="Процентный 4 89 2" xfId="7138"/>
    <cellStyle name="Процентный 4 89 2 2" xfId="17818"/>
    <cellStyle name="Процентный 4 89 2 2 2" xfId="49862"/>
    <cellStyle name="Процентный 4 89 2 3" xfId="28499"/>
    <cellStyle name="Процентный 4 89 2 3 2" xfId="60542"/>
    <cellStyle name="Процентный 4 89 2 4" xfId="39182"/>
    <cellStyle name="Процентный 4 89 3" xfId="12478"/>
    <cellStyle name="Процентный 4 89 3 2" xfId="44522"/>
    <cellStyle name="Процентный 4 89 4" xfId="23159"/>
    <cellStyle name="Процентный 4 89 4 2" xfId="55202"/>
    <cellStyle name="Процентный 4 89 5" xfId="33842"/>
    <cellStyle name="Процентный 4 9" xfId="51"/>
    <cellStyle name="Процентный 4 9 2" xfId="519"/>
    <cellStyle name="Процентный 4 9 2 2" xfId="5862"/>
    <cellStyle name="Процентный 4 9 2 2 2" xfId="16542"/>
    <cellStyle name="Процентный 4 9 2 2 2 2" xfId="48586"/>
    <cellStyle name="Процентный 4 9 2 2 3" xfId="27223"/>
    <cellStyle name="Процентный 4 9 2 2 3 2" xfId="59266"/>
    <cellStyle name="Процентный 4 9 2 2 4" xfId="37906"/>
    <cellStyle name="Процентный 4 9 2 3" xfId="11202"/>
    <cellStyle name="Процентный 4 9 2 3 2" xfId="43246"/>
    <cellStyle name="Процентный 4 9 2 4" xfId="21883"/>
    <cellStyle name="Процентный 4 9 2 4 2" xfId="53926"/>
    <cellStyle name="Процентный 4 9 2 5" xfId="32566"/>
    <cellStyle name="Процентный 4 9 3" xfId="5395"/>
    <cellStyle name="Процентный 4 9 3 2" xfId="16075"/>
    <cellStyle name="Процентный 4 9 3 2 2" xfId="48119"/>
    <cellStyle name="Процентный 4 9 3 3" xfId="26756"/>
    <cellStyle name="Процентный 4 9 3 3 2" xfId="58799"/>
    <cellStyle name="Процентный 4 9 3 4" xfId="37439"/>
    <cellStyle name="Процентный 4 9 4" xfId="10735"/>
    <cellStyle name="Процентный 4 9 4 2" xfId="42779"/>
    <cellStyle name="Процентный 4 9 5" xfId="21416"/>
    <cellStyle name="Процентный 4 9 5 2" xfId="53459"/>
    <cellStyle name="Процентный 4 9 6" xfId="32099"/>
    <cellStyle name="Процентный 4 90" xfId="1822"/>
    <cellStyle name="Процентный 4 90 2" xfId="7164"/>
    <cellStyle name="Процентный 4 90 2 2" xfId="17844"/>
    <cellStyle name="Процентный 4 90 2 2 2" xfId="49888"/>
    <cellStyle name="Процентный 4 90 2 3" xfId="28525"/>
    <cellStyle name="Процентный 4 90 2 3 2" xfId="60568"/>
    <cellStyle name="Процентный 4 90 2 4" xfId="39208"/>
    <cellStyle name="Процентный 4 90 3" xfId="12504"/>
    <cellStyle name="Процентный 4 90 3 2" xfId="44548"/>
    <cellStyle name="Процентный 4 90 4" xfId="23185"/>
    <cellStyle name="Процентный 4 90 4 2" xfId="55228"/>
    <cellStyle name="Процентный 4 90 5" xfId="33868"/>
    <cellStyle name="Процентный 4 91" xfId="1848"/>
    <cellStyle name="Процентный 4 91 2" xfId="7190"/>
    <cellStyle name="Процентный 4 91 2 2" xfId="17870"/>
    <cellStyle name="Процентный 4 91 2 2 2" xfId="49914"/>
    <cellStyle name="Процентный 4 91 2 3" xfId="28551"/>
    <cellStyle name="Процентный 4 91 2 3 2" xfId="60594"/>
    <cellStyle name="Процентный 4 91 2 4" xfId="39234"/>
    <cellStyle name="Процентный 4 91 3" xfId="12530"/>
    <cellStyle name="Процентный 4 91 3 2" xfId="44574"/>
    <cellStyle name="Процентный 4 91 4" xfId="23211"/>
    <cellStyle name="Процентный 4 91 4 2" xfId="55254"/>
    <cellStyle name="Процентный 4 91 5" xfId="33894"/>
    <cellStyle name="Процентный 4 92" xfId="1874"/>
    <cellStyle name="Процентный 4 92 2" xfId="7216"/>
    <cellStyle name="Процентный 4 92 2 2" xfId="17896"/>
    <cellStyle name="Процентный 4 92 2 2 2" xfId="49940"/>
    <cellStyle name="Процентный 4 92 2 3" xfId="28577"/>
    <cellStyle name="Процентный 4 92 2 3 2" xfId="60620"/>
    <cellStyle name="Процентный 4 92 2 4" xfId="39260"/>
    <cellStyle name="Процентный 4 92 3" xfId="12556"/>
    <cellStyle name="Процентный 4 92 3 2" xfId="44600"/>
    <cellStyle name="Процентный 4 92 4" xfId="23237"/>
    <cellStyle name="Процентный 4 92 4 2" xfId="55280"/>
    <cellStyle name="Процентный 4 92 5" xfId="33920"/>
    <cellStyle name="Процентный 4 93" xfId="1900"/>
    <cellStyle name="Процентный 4 93 2" xfId="7242"/>
    <cellStyle name="Процентный 4 93 2 2" xfId="17922"/>
    <cellStyle name="Процентный 4 93 2 2 2" xfId="49966"/>
    <cellStyle name="Процентный 4 93 2 3" xfId="28603"/>
    <cellStyle name="Процентный 4 93 2 3 2" xfId="60646"/>
    <cellStyle name="Процентный 4 93 2 4" xfId="39286"/>
    <cellStyle name="Процентный 4 93 3" xfId="12582"/>
    <cellStyle name="Процентный 4 93 3 2" xfId="44626"/>
    <cellStyle name="Процентный 4 93 4" xfId="23263"/>
    <cellStyle name="Процентный 4 93 4 2" xfId="55306"/>
    <cellStyle name="Процентный 4 93 5" xfId="33946"/>
    <cellStyle name="Процентный 4 94" xfId="1928"/>
    <cellStyle name="Процентный 4 94 2" xfId="7270"/>
    <cellStyle name="Процентный 4 94 2 2" xfId="17950"/>
    <cellStyle name="Процентный 4 94 2 2 2" xfId="49994"/>
    <cellStyle name="Процентный 4 94 2 3" xfId="28631"/>
    <cellStyle name="Процентный 4 94 2 3 2" xfId="60674"/>
    <cellStyle name="Процентный 4 94 2 4" xfId="39314"/>
    <cellStyle name="Процентный 4 94 3" xfId="12610"/>
    <cellStyle name="Процентный 4 94 3 2" xfId="44654"/>
    <cellStyle name="Процентный 4 94 4" xfId="23291"/>
    <cellStyle name="Процентный 4 94 4 2" xfId="55334"/>
    <cellStyle name="Процентный 4 94 5" xfId="33974"/>
    <cellStyle name="Процентный 4 95" xfId="1956"/>
    <cellStyle name="Процентный 4 95 2" xfId="7298"/>
    <cellStyle name="Процентный 4 95 2 2" xfId="17978"/>
    <cellStyle name="Процентный 4 95 2 2 2" xfId="50022"/>
    <cellStyle name="Процентный 4 95 2 3" xfId="28659"/>
    <cellStyle name="Процентный 4 95 2 3 2" xfId="60702"/>
    <cellStyle name="Процентный 4 95 2 4" xfId="39342"/>
    <cellStyle name="Процентный 4 95 3" xfId="12638"/>
    <cellStyle name="Процентный 4 95 3 2" xfId="44682"/>
    <cellStyle name="Процентный 4 95 4" xfId="23319"/>
    <cellStyle name="Процентный 4 95 4 2" xfId="55362"/>
    <cellStyle name="Процентный 4 95 5" xfId="34002"/>
    <cellStyle name="Процентный 4 96" xfId="1984"/>
    <cellStyle name="Процентный 4 96 2" xfId="7326"/>
    <cellStyle name="Процентный 4 96 2 2" xfId="18006"/>
    <cellStyle name="Процентный 4 96 2 2 2" xfId="50050"/>
    <cellStyle name="Процентный 4 96 2 3" xfId="28687"/>
    <cellStyle name="Процентный 4 96 2 3 2" xfId="60730"/>
    <cellStyle name="Процентный 4 96 2 4" xfId="39370"/>
    <cellStyle name="Процентный 4 96 3" xfId="12666"/>
    <cellStyle name="Процентный 4 96 3 2" xfId="44710"/>
    <cellStyle name="Процентный 4 96 4" xfId="23347"/>
    <cellStyle name="Процентный 4 96 4 2" xfId="55390"/>
    <cellStyle name="Процентный 4 96 5" xfId="34030"/>
    <cellStyle name="Процентный 4 97" xfId="2012"/>
    <cellStyle name="Процентный 4 97 2" xfId="7354"/>
    <cellStyle name="Процентный 4 97 2 2" xfId="18034"/>
    <cellStyle name="Процентный 4 97 2 2 2" xfId="50078"/>
    <cellStyle name="Процентный 4 97 2 3" xfId="28715"/>
    <cellStyle name="Процентный 4 97 2 3 2" xfId="60758"/>
    <cellStyle name="Процентный 4 97 2 4" xfId="39398"/>
    <cellStyle name="Процентный 4 97 3" xfId="12694"/>
    <cellStyle name="Процентный 4 97 3 2" xfId="44738"/>
    <cellStyle name="Процентный 4 97 4" xfId="23375"/>
    <cellStyle name="Процентный 4 97 4 2" xfId="55418"/>
    <cellStyle name="Процентный 4 97 5" xfId="34058"/>
    <cellStyle name="Процентный 4 98" xfId="2040"/>
    <cellStyle name="Процентный 4 98 2" xfId="7382"/>
    <cellStyle name="Процентный 4 98 2 2" xfId="18062"/>
    <cellStyle name="Процентный 4 98 2 2 2" xfId="50106"/>
    <cellStyle name="Процентный 4 98 2 3" xfId="28743"/>
    <cellStyle name="Процентный 4 98 2 3 2" xfId="60786"/>
    <cellStyle name="Процентный 4 98 2 4" xfId="39426"/>
    <cellStyle name="Процентный 4 98 3" xfId="12722"/>
    <cellStyle name="Процентный 4 98 3 2" xfId="44766"/>
    <cellStyle name="Процентный 4 98 4" xfId="23403"/>
    <cellStyle name="Процентный 4 98 4 2" xfId="55446"/>
    <cellStyle name="Процентный 4 98 5" xfId="34086"/>
    <cellStyle name="Процентный 4 99" xfId="2068"/>
    <cellStyle name="Процентный 4 99 2" xfId="7410"/>
    <cellStyle name="Процентный 4 99 2 2" xfId="18090"/>
    <cellStyle name="Процентный 4 99 2 2 2" xfId="50134"/>
    <cellStyle name="Процентный 4 99 2 3" xfId="28771"/>
    <cellStyle name="Процентный 4 99 2 3 2" xfId="60814"/>
    <cellStyle name="Процентный 4 99 2 4" xfId="39454"/>
    <cellStyle name="Процентный 4 99 3" xfId="12750"/>
    <cellStyle name="Процентный 4 99 3 2" xfId="44794"/>
    <cellStyle name="Процентный 4 99 4" xfId="23431"/>
    <cellStyle name="Процентный 4 99 4 2" xfId="55474"/>
    <cellStyle name="Процентный 4 99 5" xfId="34114"/>
    <cellStyle name="Процентный 5" xfId="39"/>
    <cellStyle name="Процентный 5 10" xfId="93"/>
    <cellStyle name="Процентный 5 10 2" xfId="561"/>
    <cellStyle name="Процентный 5 10 2 2" xfId="5904"/>
    <cellStyle name="Процентный 5 10 2 2 2" xfId="16584"/>
    <cellStyle name="Процентный 5 10 2 2 2 2" xfId="48628"/>
    <cellStyle name="Процентный 5 10 2 2 3" xfId="27265"/>
    <cellStyle name="Процентный 5 10 2 2 3 2" xfId="59308"/>
    <cellStyle name="Процентный 5 10 2 2 4" xfId="37948"/>
    <cellStyle name="Процентный 5 10 2 3" xfId="11244"/>
    <cellStyle name="Процентный 5 10 2 3 2" xfId="43288"/>
    <cellStyle name="Процентный 5 10 2 4" xfId="21925"/>
    <cellStyle name="Процентный 5 10 2 4 2" xfId="53968"/>
    <cellStyle name="Процентный 5 10 2 5" xfId="32608"/>
    <cellStyle name="Процентный 5 10 3" xfId="5437"/>
    <cellStyle name="Процентный 5 10 3 2" xfId="16117"/>
    <cellStyle name="Процентный 5 10 3 2 2" xfId="48161"/>
    <cellStyle name="Процентный 5 10 3 3" xfId="26798"/>
    <cellStyle name="Процентный 5 10 3 3 2" xfId="58841"/>
    <cellStyle name="Процентный 5 10 3 4" xfId="37481"/>
    <cellStyle name="Процентный 5 10 4" xfId="10777"/>
    <cellStyle name="Процентный 5 10 4 2" xfId="42821"/>
    <cellStyle name="Процентный 5 10 5" xfId="21458"/>
    <cellStyle name="Процентный 5 10 5 2" xfId="53501"/>
    <cellStyle name="Процентный 5 10 6" xfId="32141"/>
    <cellStyle name="Процентный 5 100" xfId="2308"/>
    <cellStyle name="Процентный 5 100 2" xfId="7650"/>
    <cellStyle name="Процентный 5 100 2 2" xfId="18330"/>
    <cellStyle name="Процентный 5 100 2 2 2" xfId="50374"/>
    <cellStyle name="Процентный 5 100 2 3" xfId="29011"/>
    <cellStyle name="Процентный 5 100 2 3 2" xfId="61054"/>
    <cellStyle name="Процентный 5 100 2 4" xfId="39694"/>
    <cellStyle name="Процентный 5 100 3" xfId="12990"/>
    <cellStyle name="Процентный 5 100 3 2" xfId="45034"/>
    <cellStyle name="Процентный 5 100 4" xfId="23671"/>
    <cellStyle name="Процентный 5 100 4 2" xfId="55714"/>
    <cellStyle name="Процентный 5 100 5" xfId="34354"/>
    <cellStyle name="Процентный 5 101" xfId="2338"/>
    <cellStyle name="Процентный 5 101 2" xfId="7680"/>
    <cellStyle name="Процентный 5 101 2 2" xfId="18360"/>
    <cellStyle name="Процентный 5 101 2 2 2" xfId="50404"/>
    <cellStyle name="Процентный 5 101 2 3" xfId="29041"/>
    <cellStyle name="Процентный 5 101 2 3 2" xfId="61084"/>
    <cellStyle name="Процентный 5 101 2 4" xfId="39724"/>
    <cellStyle name="Процентный 5 101 3" xfId="13020"/>
    <cellStyle name="Процентный 5 101 3 2" xfId="45064"/>
    <cellStyle name="Процентный 5 101 4" xfId="23701"/>
    <cellStyle name="Процентный 5 101 4 2" xfId="55744"/>
    <cellStyle name="Процентный 5 101 5" xfId="34384"/>
    <cellStyle name="Процентный 5 102" xfId="2368"/>
    <cellStyle name="Процентный 5 102 2" xfId="7710"/>
    <cellStyle name="Процентный 5 102 2 2" xfId="18390"/>
    <cellStyle name="Процентный 5 102 2 2 2" xfId="50434"/>
    <cellStyle name="Процентный 5 102 2 3" xfId="29071"/>
    <cellStyle name="Процентный 5 102 2 3 2" xfId="61114"/>
    <cellStyle name="Процентный 5 102 2 4" xfId="39754"/>
    <cellStyle name="Процентный 5 102 3" xfId="13050"/>
    <cellStyle name="Процентный 5 102 3 2" xfId="45094"/>
    <cellStyle name="Процентный 5 102 4" xfId="23731"/>
    <cellStyle name="Процентный 5 102 4 2" xfId="55774"/>
    <cellStyle name="Процентный 5 102 5" xfId="34414"/>
    <cellStyle name="Процентный 5 103" xfId="2398"/>
    <cellStyle name="Процентный 5 103 2" xfId="7740"/>
    <cellStyle name="Процентный 5 103 2 2" xfId="18420"/>
    <cellStyle name="Процентный 5 103 2 2 2" xfId="50464"/>
    <cellStyle name="Процентный 5 103 2 3" xfId="29101"/>
    <cellStyle name="Процентный 5 103 2 3 2" xfId="61144"/>
    <cellStyle name="Процентный 5 103 2 4" xfId="39784"/>
    <cellStyle name="Процентный 5 103 3" xfId="13080"/>
    <cellStyle name="Процентный 5 103 3 2" xfId="45124"/>
    <cellStyle name="Процентный 5 103 4" xfId="23761"/>
    <cellStyle name="Процентный 5 103 4 2" xfId="55804"/>
    <cellStyle name="Процентный 5 103 5" xfId="34444"/>
    <cellStyle name="Процентный 5 104" xfId="2428"/>
    <cellStyle name="Процентный 5 104 2" xfId="7770"/>
    <cellStyle name="Процентный 5 104 2 2" xfId="18450"/>
    <cellStyle name="Процентный 5 104 2 2 2" xfId="50494"/>
    <cellStyle name="Процентный 5 104 2 3" xfId="29131"/>
    <cellStyle name="Процентный 5 104 2 3 2" xfId="61174"/>
    <cellStyle name="Процентный 5 104 2 4" xfId="39814"/>
    <cellStyle name="Процентный 5 104 3" xfId="13110"/>
    <cellStyle name="Процентный 5 104 3 2" xfId="45154"/>
    <cellStyle name="Процентный 5 104 4" xfId="23791"/>
    <cellStyle name="Процентный 5 104 4 2" xfId="55834"/>
    <cellStyle name="Процентный 5 104 5" xfId="34474"/>
    <cellStyle name="Процентный 5 105" xfId="2458"/>
    <cellStyle name="Процентный 5 105 2" xfId="7800"/>
    <cellStyle name="Процентный 5 105 2 2" xfId="18480"/>
    <cellStyle name="Процентный 5 105 2 2 2" xfId="50524"/>
    <cellStyle name="Процентный 5 105 2 3" xfId="29161"/>
    <cellStyle name="Процентный 5 105 2 3 2" xfId="61204"/>
    <cellStyle name="Процентный 5 105 2 4" xfId="39844"/>
    <cellStyle name="Процентный 5 105 3" xfId="13140"/>
    <cellStyle name="Процентный 5 105 3 2" xfId="45184"/>
    <cellStyle name="Процентный 5 105 4" xfId="23821"/>
    <cellStyle name="Процентный 5 105 4 2" xfId="55864"/>
    <cellStyle name="Процентный 5 105 5" xfId="34504"/>
    <cellStyle name="Процентный 5 106" xfId="2490"/>
    <cellStyle name="Процентный 5 106 2" xfId="7832"/>
    <cellStyle name="Процентный 5 106 2 2" xfId="18512"/>
    <cellStyle name="Процентный 5 106 2 2 2" xfId="50556"/>
    <cellStyle name="Процентный 5 106 2 3" xfId="29193"/>
    <cellStyle name="Процентный 5 106 2 3 2" xfId="61236"/>
    <cellStyle name="Процентный 5 106 2 4" xfId="39876"/>
    <cellStyle name="Процентный 5 106 3" xfId="13172"/>
    <cellStyle name="Процентный 5 106 3 2" xfId="45216"/>
    <cellStyle name="Процентный 5 106 4" xfId="23853"/>
    <cellStyle name="Процентный 5 106 4 2" xfId="55896"/>
    <cellStyle name="Процентный 5 106 5" xfId="34536"/>
    <cellStyle name="Процентный 5 107" xfId="2524"/>
    <cellStyle name="Процентный 5 107 2" xfId="7866"/>
    <cellStyle name="Процентный 5 107 2 2" xfId="18546"/>
    <cellStyle name="Процентный 5 107 2 2 2" xfId="50590"/>
    <cellStyle name="Процентный 5 107 2 3" xfId="29227"/>
    <cellStyle name="Процентный 5 107 2 3 2" xfId="61270"/>
    <cellStyle name="Процентный 5 107 2 4" xfId="39910"/>
    <cellStyle name="Процентный 5 107 3" xfId="13206"/>
    <cellStyle name="Процентный 5 107 3 2" xfId="45250"/>
    <cellStyle name="Процентный 5 107 4" xfId="23887"/>
    <cellStyle name="Процентный 5 107 4 2" xfId="55930"/>
    <cellStyle name="Процентный 5 107 5" xfId="34570"/>
    <cellStyle name="Процентный 5 108" xfId="2556"/>
    <cellStyle name="Процентный 5 108 2" xfId="7898"/>
    <cellStyle name="Процентный 5 108 2 2" xfId="18578"/>
    <cellStyle name="Процентный 5 108 2 2 2" xfId="50622"/>
    <cellStyle name="Процентный 5 108 2 3" xfId="29259"/>
    <cellStyle name="Процентный 5 108 2 3 2" xfId="61302"/>
    <cellStyle name="Процентный 5 108 2 4" xfId="39942"/>
    <cellStyle name="Процентный 5 108 3" xfId="13238"/>
    <cellStyle name="Процентный 5 108 3 2" xfId="45282"/>
    <cellStyle name="Процентный 5 108 4" xfId="23919"/>
    <cellStyle name="Процентный 5 108 4 2" xfId="55962"/>
    <cellStyle name="Процентный 5 108 5" xfId="34602"/>
    <cellStyle name="Процентный 5 109" xfId="2588"/>
    <cellStyle name="Процентный 5 109 2" xfId="7930"/>
    <cellStyle name="Процентный 5 109 2 2" xfId="18610"/>
    <cellStyle name="Процентный 5 109 2 2 2" xfId="50654"/>
    <cellStyle name="Процентный 5 109 2 3" xfId="29291"/>
    <cellStyle name="Процентный 5 109 2 3 2" xfId="61334"/>
    <cellStyle name="Процентный 5 109 2 4" xfId="39974"/>
    <cellStyle name="Процентный 5 109 3" xfId="13270"/>
    <cellStyle name="Процентный 5 109 3 2" xfId="45314"/>
    <cellStyle name="Процентный 5 109 4" xfId="23951"/>
    <cellStyle name="Процентный 5 109 4 2" xfId="55994"/>
    <cellStyle name="Процентный 5 109 5" xfId="34634"/>
    <cellStyle name="Процентный 5 11" xfId="103"/>
    <cellStyle name="Процентный 5 11 2" xfId="571"/>
    <cellStyle name="Процентный 5 11 2 2" xfId="5914"/>
    <cellStyle name="Процентный 5 11 2 2 2" xfId="16594"/>
    <cellStyle name="Процентный 5 11 2 2 2 2" xfId="48638"/>
    <cellStyle name="Процентный 5 11 2 2 3" xfId="27275"/>
    <cellStyle name="Процентный 5 11 2 2 3 2" xfId="59318"/>
    <cellStyle name="Процентный 5 11 2 2 4" xfId="37958"/>
    <cellStyle name="Процентный 5 11 2 3" xfId="11254"/>
    <cellStyle name="Процентный 5 11 2 3 2" xfId="43298"/>
    <cellStyle name="Процентный 5 11 2 4" xfId="21935"/>
    <cellStyle name="Процентный 5 11 2 4 2" xfId="53978"/>
    <cellStyle name="Процентный 5 11 2 5" xfId="32618"/>
    <cellStyle name="Процентный 5 11 3" xfId="5447"/>
    <cellStyle name="Процентный 5 11 3 2" xfId="16127"/>
    <cellStyle name="Процентный 5 11 3 2 2" xfId="48171"/>
    <cellStyle name="Процентный 5 11 3 3" xfId="26808"/>
    <cellStyle name="Процентный 5 11 3 3 2" xfId="58851"/>
    <cellStyle name="Процентный 5 11 3 4" xfId="37491"/>
    <cellStyle name="Процентный 5 11 4" xfId="10787"/>
    <cellStyle name="Процентный 5 11 4 2" xfId="42831"/>
    <cellStyle name="Процентный 5 11 5" xfId="21468"/>
    <cellStyle name="Процентный 5 11 5 2" xfId="53511"/>
    <cellStyle name="Процентный 5 11 6" xfId="32151"/>
    <cellStyle name="Процентный 5 110" xfId="2620"/>
    <cellStyle name="Процентный 5 110 2" xfId="7962"/>
    <cellStyle name="Процентный 5 110 2 2" xfId="18642"/>
    <cellStyle name="Процентный 5 110 2 2 2" xfId="50686"/>
    <cellStyle name="Процентный 5 110 2 3" xfId="29323"/>
    <cellStyle name="Процентный 5 110 2 3 2" xfId="61366"/>
    <cellStyle name="Процентный 5 110 2 4" xfId="40006"/>
    <cellStyle name="Процентный 5 110 3" xfId="13302"/>
    <cellStyle name="Процентный 5 110 3 2" xfId="45346"/>
    <cellStyle name="Процентный 5 110 4" xfId="23983"/>
    <cellStyle name="Процентный 5 110 4 2" xfId="56026"/>
    <cellStyle name="Процентный 5 110 5" xfId="34666"/>
    <cellStyle name="Процентный 5 111" xfId="2652"/>
    <cellStyle name="Процентный 5 111 2" xfId="7994"/>
    <cellStyle name="Процентный 5 111 2 2" xfId="18674"/>
    <cellStyle name="Процентный 5 111 2 2 2" xfId="50718"/>
    <cellStyle name="Процентный 5 111 2 3" xfId="29355"/>
    <cellStyle name="Процентный 5 111 2 3 2" xfId="61398"/>
    <cellStyle name="Процентный 5 111 2 4" xfId="40038"/>
    <cellStyle name="Процентный 5 111 3" xfId="13334"/>
    <cellStyle name="Процентный 5 111 3 2" xfId="45378"/>
    <cellStyle name="Процентный 5 111 4" xfId="24015"/>
    <cellStyle name="Процентный 5 111 4 2" xfId="56058"/>
    <cellStyle name="Процентный 5 111 5" xfId="34698"/>
    <cellStyle name="Процентный 5 112" xfId="2684"/>
    <cellStyle name="Процентный 5 112 2" xfId="8026"/>
    <cellStyle name="Процентный 5 112 2 2" xfId="18706"/>
    <cellStyle name="Процентный 5 112 2 2 2" xfId="50750"/>
    <cellStyle name="Процентный 5 112 2 3" xfId="29387"/>
    <cellStyle name="Процентный 5 112 2 3 2" xfId="61430"/>
    <cellStyle name="Процентный 5 112 2 4" xfId="40070"/>
    <cellStyle name="Процентный 5 112 3" xfId="13366"/>
    <cellStyle name="Процентный 5 112 3 2" xfId="45410"/>
    <cellStyle name="Процентный 5 112 4" xfId="24047"/>
    <cellStyle name="Процентный 5 112 4 2" xfId="56090"/>
    <cellStyle name="Процентный 5 112 5" xfId="34730"/>
    <cellStyle name="Процентный 5 113" xfId="2716"/>
    <cellStyle name="Процентный 5 113 2" xfId="8058"/>
    <cellStyle name="Процентный 5 113 2 2" xfId="18738"/>
    <cellStyle name="Процентный 5 113 2 2 2" xfId="50782"/>
    <cellStyle name="Процентный 5 113 2 3" xfId="29419"/>
    <cellStyle name="Процентный 5 113 2 3 2" xfId="61462"/>
    <cellStyle name="Процентный 5 113 2 4" xfId="40102"/>
    <cellStyle name="Процентный 5 113 3" xfId="13398"/>
    <cellStyle name="Процентный 5 113 3 2" xfId="45442"/>
    <cellStyle name="Процентный 5 113 4" xfId="24079"/>
    <cellStyle name="Процентный 5 113 4 2" xfId="56122"/>
    <cellStyle name="Процентный 5 113 5" xfId="34762"/>
    <cellStyle name="Процентный 5 114" xfId="2750"/>
    <cellStyle name="Процентный 5 114 2" xfId="8092"/>
    <cellStyle name="Процентный 5 114 2 2" xfId="18772"/>
    <cellStyle name="Процентный 5 114 2 2 2" xfId="50816"/>
    <cellStyle name="Процентный 5 114 2 3" xfId="29453"/>
    <cellStyle name="Процентный 5 114 2 3 2" xfId="61496"/>
    <cellStyle name="Процентный 5 114 2 4" xfId="40136"/>
    <cellStyle name="Процентный 5 114 3" xfId="13432"/>
    <cellStyle name="Процентный 5 114 3 2" xfId="45476"/>
    <cellStyle name="Процентный 5 114 4" xfId="24113"/>
    <cellStyle name="Процентный 5 114 4 2" xfId="56156"/>
    <cellStyle name="Процентный 5 114 5" xfId="34796"/>
    <cellStyle name="Процентный 5 115" xfId="2782"/>
    <cellStyle name="Процентный 5 115 2" xfId="8124"/>
    <cellStyle name="Процентный 5 115 2 2" xfId="18804"/>
    <cellStyle name="Процентный 5 115 2 2 2" xfId="50848"/>
    <cellStyle name="Процентный 5 115 2 3" xfId="29485"/>
    <cellStyle name="Процентный 5 115 2 3 2" xfId="61528"/>
    <cellStyle name="Процентный 5 115 2 4" xfId="40168"/>
    <cellStyle name="Процентный 5 115 3" xfId="13464"/>
    <cellStyle name="Процентный 5 115 3 2" xfId="45508"/>
    <cellStyle name="Процентный 5 115 4" xfId="24145"/>
    <cellStyle name="Процентный 5 115 4 2" xfId="56188"/>
    <cellStyle name="Процентный 5 115 5" xfId="34828"/>
    <cellStyle name="Процентный 5 116" xfId="2814"/>
    <cellStyle name="Процентный 5 116 2" xfId="8156"/>
    <cellStyle name="Процентный 5 116 2 2" xfId="18836"/>
    <cellStyle name="Процентный 5 116 2 2 2" xfId="50880"/>
    <cellStyle name="Процентный 5 116 2 3" xfId="29517"/>
    <cellStyle name="Процентный 5 116 2 3 2" xfId="61560"/>
    <cellStyle name="Процентный 5 116 2 4" xfId="40200"/>
    <cellStyle name="Процентный 5 116 3" xfId="13496"/>
    <cellStyle name="Процентный 5 116 3 2" xfId="45540"/>
    <cellStyle name="Процентный 5 116 4" xfId="24177"/>
    <cellStyle name="Процентный 5 116 4 2" xfId="56220"/>
    <cellStyle name="Процентный 5 116 5" xfId="34860"/>
    <cellStyle name="Процентный 5 117" xfId="2846"/>
    <cellStyle name="Процентный 5 117 2" xfId="8188"/>
    <cellStyle name="Процентный 5 117 2 2" xfId="18868"/>
    <cellStyle name="Процентный 5 117 2 2 2" xfId="50912"/>
    <cellStyle name="Процентный 5 117 2 3" xfId="29549"/>
    <cellStyle name="Процентный 5 117 2 3 2" xfId="61592"/>
    <cellStyle name="Процентный 5 117 2 4" xfId="40232"/>
    <cellStyle name="Процентный 5 117 3" xfId="13528"/>
    <cellStyle name="Процентный 5 117 3 2" xfId="45572"/>
    <cellStyle name="Процентный 5 117 4" xfId="24209"/>
    <cellStyle name="Процентный 5 117 4 2" xfId="56252"/>
    <cellStyle name="Процентный 5 117 5" xfId="34892"/>
    <cellStyle name="Процентный 5 118" xfId="2878"/>
    <cellStyle name="Процентный 5 118 2" xfId="8220"/>
    <cellStyle name="Процентный 5 118 2 2" xfId="18900"/>
    <cellStyle name="Процентный 5 118 2 2 2" xfId="50944"/>
    <cellStyle name="Процентный 5 118 2 3" xfId="29581"/>
    <cellStyle name="Процентный 5 118 2 3 2" xfId="61624"/>
    <cellStyle name="Процентный 5 118 2 4" xfId="40264"/>
    <cellStyle name="Процентный 5 118 3" xfId="13560"/>
    <cellStyle name="Процентный 5 118 3 2" xfId="45604"/>
    <cellStyle name="Процентный 5 118 4" xfId="24241"/>
    <cellStyle name="Процентный 5 118 4 2" xfId="56284"/>
    <cellStyle name="Процентный 5 118 5" xfId="34924"/>
    <cellStyle name="Процентный 5 119" xfId="2910"/>
    <cellStyle name="Процентный 5 119 2" xfId="8252"/>
    <cellStyle name="Процентный 5 119 2 2" xfId="18932"/>
    <cellStyle name="Процентный 5 119 2 2 2" xfId="50976"/>
    <cellStyle name="Процентный 5 119 2 3" xfId="29613"/>
    <cellStyle name="Процентный 5 119 2 3 2" xfId="61656"/>
    <cellStyle name="Процентный 5 119 2 4" xfId="40296"/>
    <cellStyle name="Процентный 5 119 3" xfId="13592"/>
    <cellStyle name="Процентный 5 119 3 2" xfId="45636"/>
    <cellStyle name="Процентный 5 119 4" xfId="24273"/>
    <cellStyle name="Процентный 5 119 4 2" xfId="56316"/>
    <cellStyle name="Процентный 5 119 5" xfId="34956"/>
    <cellStyle name="Процентный 5 12" xfId="113"/>
    <cellStyle name="Процентный 5 12 2" xfId="581"/>
    <cellStyle name="Процентный 5 12 2 2" xfId="5924"/>
    <cellStyle name="Процентный 5 12 2 2 2" xfId="16604"/>
    <cellStyle name="Процентный 5 12 2 2 2 2" xfId="48648"/>
    <cellStyle name="Процентный 5 12 2 2 3" xfId="27285"/>
    <cellStyle name="Процентный 5 12 2 2 3 2" xfId="59328"/>
    <cellStyle name="Процентный 5 12 2 2 4" xfId="37968"/>
    <cellStyle name="Процентный 5 12 2 3" xfId="11264"/>
    <cellStyle name="Процентный 5 12 2 3 2" xfId="43308"/>
    <cellStyle name="Процентный 5 12 2 4" xfId="21945"/>
    <cellStyle name="Процентный 5 12 2 4 2" xfId="53988"/>
    <cellStyle name="Процентный 5 12 2 5" xfId="32628"/>
    <cellStyle name="Процентный 5 12 3" xfId="5457"/>
    <cellStyle name="Процентный 5 12 3 2" xfId="16137"/>
    <cellStyle name="Процентный 5 12 3 2 2" xfId="48181"/>
    <cellStyle name="Процентный 5 12 3 3" xfId="26818"/>
    <cellStyle name="Процентный 5 12 3 3 2" xfId="58861"/>
    <cellStyle name="Процентный 5 12 3 4" xfId="37501"/>
    <cellStyle name="Процентный 5 12 4" xfId="10797"/>
    <cellStyle name="Процентный 5 12 4 2" xfId="42841"/>
    <cellStyle name="Процентный 5 12 5" xfId="21478"/>
    <cellStyle name="Процентный 5 12 5 2" xfId="53521"/>
    <cellStyle name="Процентный 5 12 6" xfId="32161"/>
    <cellStyle name="Процентный 5 120" xfId="2942"/>
    <cellStyle name="Процентный 5 120 2" xfId="8284"/>
    <cellStyle name="Процентный 5 120 2 2" xfId="18964"/>
    <cellStyle name="Процентный 5 120 2 2 2" xfId="51008"/>
    <cellStyle name="Процентный 5 120 2 3" xfId="29645"/>
    <cellStyle name="Процентный 5 120 2 3 2" xfId="61688"/>
    <cellStyle name="Процентный 5 120 2 4" xfId="40328"/>
    <cellStyle name="Процентный 5 120 3" xfId="13624"/>
    <cellStyle name="Процентный 5 120 3 2" xfId="45668"/>
    <cellStyle name="Процентный 5 120 4" xfId="24305"/>
    <cellStyle name="Процентный 5 120 4 2" xfId="56348"/>
    <cellStyle name="Процентный 5 120 5" xfId="34988"/>
    <cellStyle name="Процентный 5 121" xfId="2974"/>
    <cellStyle name="Процентный 5 121 2" xfId="8316"/>
    <cellStyle name="Процентный 5 121 2 2" xfId="18996"/>
    <cellStyle name="Процентный 5 121 2 2 2" xfId="51040"/>
    <cellStyle name="Процентный 5 121 2 3" xfId="29677"/>
    <cellStyle name="Процентный 5 121 2 3 2" xfId="61720"/>
    <cellStyle name="Процентный 5 121 2 4" xfId="40360"/>
    <cellStyle name="Процентный 5 121 3" xfId="13656"/>
    <cellStyle name="Процентный 5 121 3 2" xfId="45700"/>
    <cellStyle name="Процентный 5 121 4" xfId="24337"/>
    <cellStyle name="Процентный 5 121 4 2" xfId="56380"/>
    <cellStyle name="Процентный 5 121 5" xfId="35020"/>
    <cellStyle name="Процентный 5 122" xfId="3006"/>
    <cellStyle name="Процентный 5 122 2" xfId="8348"/>
    <cellStyle name="Процентный 5 122 2 2" xfId="19028"/>
    <cellStyle name="Процентный 5 122 2 2 2" xfId="51072"/>
    <cellStyle name="Процентный 5 122 2 3" xfId="29709"/>
    <cellStyle name="Процентный 5 122 2 3 2" xfId="61752"/>
    <cellStyle name="Процентный 5 122 2 4" xfId="40392"/>
    <cellStyle name="Процентный 5 122 3" xfId="13688"/>
    <cellStyle name="Процентный 5 122 3 2" xfId="45732"/>
    <cellStyle name="Процентный 5 122 4" xfId="24369"/>
    <cellStyle name="Процентный 5 122 4 2" xfId="56412"/>
    <cellStyle name="Процентный 5 122 5" xfId="35052"/>
    <cellStyle name="Процентный 5 123" xfId="3038"/>
    <cellStyle name="Процентный 5 123 2" xfId="8380"/>
    <cellStyle name="Процентный 5 123 2 2" xfId="19060"/>
    <cellStyle name="Процентный 5 123 2 2 2" xfId="51104"/>
    <cellStyle name="Процентный 5 123 2 3" xfId="29741"/>
    <cellStyle name="Процентный 5 123 2 3 2" xfId="61784"/>
    <cellStyle name="Процентный 5 123 2 4" xfId="40424"/>
    <cellStyle name="Процентный 5 123 3" xfId="13720"/>
    <cellStyle name="Процентный 5 123 3 2" xfId="45764"/>
    <cellStyle name="Процентный 5 123 4" xfId="24401"/>
    <cellStyle name="Процентный 5 123 4 2" xfId="56444"/>
    <cellStyle name="Процентный 5 123 5" xfId="35084"/>
    <cellStyle name="Процентный 5 124" xfId="3070"/>
    <cellStyle name="Процентный 5 124 2" xfId="8412"/>
    <cellStyle name="Процентный 5 124 2 2" xfId="19092"/>
    <cellStyle name="Процентный 5 124 2 2 2" xfId="51136"/>
    <cellStyle name="Процентный 5 124 2 3" xfId="29773"/>
    <cellStyle name="Процентный 5 124 2 3 2" xfId="61816"/>
    <cellStyle name="Процентный 5 124 2 4" xfId="40456"/>
    <cellStyle name="Процентный 5 124 3" xfId="13752"/>
    <cellStyle name="Процентный 5 124 3 2" xfId="45796"/>
    <cellStyle name="Процентный 5 124 4" xfId="24433"/>
    <cellStyle name="Процентный 5 124 4 2" xfId="56476"/>
    <cellStyle name="Процентный 5 124 5" xfId="35116"/>
    <cellStyle name="Процентный 5 125" xfId="3103"/>
    <cellStyle name="Процентный 5 125 2" xfId="8444"/>
    <cellStyle name="Процентный 5 125 2 2" xfId="19124"/>
    <cellStyle name="Процентный 5 125 2 2 2" xfId="51168"/>
    <cellStyle name="Процентный 5 125 2 3" xfId="29805"/>
    <cellStyle name="Процентный 5 125 2 3 2" xfId="61848"/>
    <cellStyle name="Процентный 5 125 2 4" xfId="40488"/>
    <cellStyle name="Процентный 5 125 3" xfId="13784"/>
    <cellStyle name="Процентный 5 125 3 2" xfId="45828"/>
    <cellStyle name="Процентный 5 125 4" xfId="24465"/>
    <cellStyle name="Процентный 5 125 4 2" xfId="56508"/>
    <cellStyle name="Процентный 5 125 5" xfId="35148"/>
    <cellStyle name="Процентный 5 126" xfId="3135"/>
    <cellStyle name="Процентный 5 126 2" xfId="8476"/>
    <cellStyle name="Процентный 5 126 2 2" xfId="19156"/>
    <cellStyle name="Процентный 5 126 2 2 2" xfId="51200"/>
    <cellStyle name="Процентный 5 126 2 3" xfId="29837"/>
    <cellStyle name="Процентный 5 126 2 3 2" xfId="61880"/>
    <cellStyle name="Процентный 5 126 2 4" xfId="40520"/>
    <cellStyle name="Процентный 5 126 3" xfId="13816"/>
    <cellStyle name="Процентный 5 126 3 2" xfId="45860"/>
    <cellStyle name="Процентный 5 126 4" xfId="24497"/>
    <cellStyle name="Процентный 5 126 4 2" xfId="56540"/>
    <cellStyle name="Процентный 5 126 5" xfId="35180"/>
    <cellStyle name="Процентный 5 127" xfId="3167"/>
    <cellStyle name="Процентный 5 127 2" xfId="8508"/>
    <cellStyle name="Процентный 5 127 2 2" xfId="19188"/>
    <cellStyle name="Процентный 5 127 2 2 2" xfId="51232"/>
    <cellStyle name="Процентный 5 127 2 3" xfId="29869"/>
    <cellStyle name="Процентный 5 127 2 3 2" xfId="61912"/>
    <cellStyle name="Процентный 5 127 2 4" xfId="40552"/>
    <cellStyle name="Процентный 5 127 3" xfId="13848"/>
    <cellStyle name="Процентный 5 127 3 2" xfId="45892"/>
    <cellStyle name="Процентный 5 127 4" xfId="24529"/>
    <cellStyle name="Процентный 5 127 4 2" xfId="56572"/>
    <cellStyle name="Процентный 5 127 5" xfId="35212"/>
    <cellStyle name="Процентный 5 128" xfId="3199"/>
    <cellStyle name="Процентный 5 128 2" xfId="8540"/>
    <cellStyle name="Процентный 5 128 2 2" xfId="19220"/>
    <cellStyle name="Процентный 5 128 2 2 2" xfId="51264"/>
    <cellStyle name="Процентный 5 128 2 3" xfId="29901"/>
    <cellStyle name="Процентный 5 128 2 3 2" xfId="61944"/>
    <cellStyle name="Процентный 5 128 2 4" xfId="40584"/>
    <cellStyle name="Процентный 5 128 3" xfId="13880"/>
    <cellStyle name="Процентный 5 128 3 2" xfId="45924"/>
    <cellStyle name="Процентный 5 128 4" xfId="24561"/>
    <cellStyle name="Процентный 5 128 4 2" xfId="56604"/>
    <cellStyle name="Процентный 5 128 5" xfId="35244"/>
    <cellStyle name="Процентный 5 129" xfId="3231"/>
    <cellStyle name="Процентный 5 129 2" xfId="8572"/>
    <cellStyle name="Процентный 5 129 2 2" xfId="19252"/>
    <cellStyle name="Процентный 5 129 2 2 2" xfId="51296"/>
    <cellStyle name="Процентный 5 129 2 3" xfId="29933"/>
    <cellStyle name="Процентный 5 129 2 3 2" xfId="61976"/>
    <cellStyle name="Процентный 5 129 2 4" xfId="40616"/>
    <cellStyle name="Процентный 5 129 3" xfId="13912"/>
    <cellStyle name="Процентный 5 129 3 2" xfId="45956"/>
    <cellStyle name="Процентный 5 129 4" xfId="24593"/>
    <cellStyle name="Процентный 5 129 4 2" xfId="56636"/>
    <cellStyle name="Процентный 5 129 5" xfId="35276"/>
    <cellStyle name="Процентный 5 13" xfId="123"/>
    <cellStyle name="Процентный 5 13 2" xfId="591"/>
    <cellStyle name="Процентный 5 13 2 2" xfId="5934"/>
    <cellStyle name="Процентный 5 13 2 2 2" xfId="16614"/>
    <cellStyle name="Процентный 5 13 2 2 2 2" xfId="48658"/>
    <cellStyle name="Процентный 5 13 2 2 3" xfId="27295"/>
    <cellStyle name="Процентный 5 13 2 2 3 2" xfId="59338"/>
    <cellStyle name="Процентный 5 13 2 2 4" xfId="37978"/>
    <cellStyle name="Процентный 5 13 2 3" xfId="11274"/>
    <cellStyle name="Процентный 5 13 2 3 2" xfId="43318"/>
    <cellStyle name="Процентный 5 13 2 4" xfId="21955"/>
    <cellStyle name="Процентный 5 13 2 4 2" xfId="53998"/>
    <cellStyle name="Процентный 5 13 2 5" xfId="32638"/>
    <cellStyle name="Процентный 5 13 3" xfId="5467"/>
    <cellStyle name="Процентный 5 13 3 2" xfId="16147"/>
    <cellStyle name="Процентный 5 13 3 2 2" xfId="48191"/>
    <cellStyle name="Процентный 5 13 3 3" xfId="26828"/>
    <cellStyle name="Процентный 5 13 3 3 2" xfId="58871"/>
    <cellStyle name="Процентный 5 13 3 4" xfId="37511"/>
    <cellStyle name="Процентный 5 13 4" xfId="10807"/>
    <cellStyle name="Процентный 5 13 4 2" xfId="42851"/>
    <cellStyle name="Процентный 5 13 5" xfId="21488"/>
    <cellStyle name="Процентный 5 13 5 2" xfId="53531"/>
    <cellStyle name="Процентный 5 13 6" xfId="32171"/>
    <cellStyle name="Процентный 5 130" xfId="3263"/>
    <cellStyle name="Процентный 5 130 2" xfId="8604"/>
    <cellStyle name="Процентный 5 130 2 2" xfId="19284"/>
    <cellStyle name="Процентный 5 130 2 2 2" xfId="51328"/>
    <cellStyle name="Процентный 5 130 2 3" xfId="29965"/>
    <cellStyle name="Процентный 5 130 2 3 2" xfId="62008"/>
    <cellStyle name="Процентный 5 130 2 4" xfId="40648"/>
    <cellStyle name="Процентный 5 130 3" xfId="13944"/>
    <cellStyle name="Процентный 5 130 3 2" xfId="45988"/>
    <cellStyle name="Процентный 5 130 4" xfId="24625"/>
    <cellStyle name="Процентный 5 130 4 2" xfId="56668"/>
    <cellStyle name="Процентный 5 130 5" xfId="35308"/>
    <cellStyle name="Процентный 5 131" xfId="3295"/>
    <cellStyle name="Процентный 5 131 2" xfId="8636"/>
    <cellStyle name="Процентный 5 131 2 2" xfId="19316"/>
    <cellStyle name="Процентный 5 131 2 2 2" xfId="51360"/>
    <cellStyle name="Процентный 5 131 2 3" xfId="29997"/>
    <cellStyle name="Процентный 5 131 2 3 2" xfId="62040"/>
    <cellStyle name="Процентный 5 131 2 4" xfId="40680"/>
    <cellStyle name="Процентный 5 131 3" xfId="13976"/>
    <cellStyle name="Процентный 5 131 3 2" xfId="46020"/>
    <cellStyle name="Процентный 5 131 4" xfId="24657"/>
    <cellStyle name="Процентный 5 131 4 2" xfId="56700"/>
    <cellStyle name="Процентный 5 131 5" xfId="35340"/>
    <cellStyle name="Процентный 5 132" xfId="3327"/>
    <cellStyle name="Процентный 5 132 2" xfId="8668"/>
    <cellStyle name="Процентный 5 132 2 2" xfId="19348"/>
    <cellStyle name="Процентный 5 132 2 2 2" xfId="51392"/>
    <cellStyle name="Процентный 5 132 2 3" xfId="30029"/>
    <cellStyle name="Процентный 5 132 2 3 2" xfId="62072"/>
    <cellStyle name="Процентный 5 132 2 4" xfId="40712"/>
    <cellStyle name="Процентный 5 132 3" xfId="14008"/>
    <cellStyle name="Процентный 5 132 3 2" xfId="46052"/>
    <cellStyle name="Процентный 5 132 4" xfId="24689"/>
    <cellStyle name="Процентный 5 132 4 2" xfId="56732"/>
    <cellStyle name="Процентный 5 132 5" xfId="35372"/>
    <cellStyle name="Процентный 5 133" xfId="3359"/>
    <cellStyle name="Процентный 5 133 2" xfId="8700"/>
    <cellStyle name="Процентный 5 133 2 2" xfId="19380"/>
    <cellStyle name="Процентный 5 133 2 2 2" xfId="51424"/>
    <cellStyle name="Процентный 5 133 2 3" xfId="30061"/>
    <cellStyle name="Процентный 5 133 2 3 2" xfId="62104"/>
    <cellStyle name="Процентный 5 133 2 4" xfId="40744"/>
    <cellStyle name="Процентный 5 133 3" xfId="14040"/>
    <cellStyle name="Процентный 5 133 3 2" xfId="46084"/>
    <cellStyle name="Процентный 5 133 4" xfId="24721"/>
    <cellStyle name="Процентный 5 133 4 2" xfId="56764"/>
    <cellStyle name="Процентный 5 133 5" xfId="35404"/>
    <cellStyle name="Процентный 5 134" xfId="3391"/>
    <cellStyle name="Процентный 5 134 2" xfId="8732"/>
    <cellStyle name="Процентный 5 134 2 2" xfId="19412"/>
    <cellStyle name="Процентный 5 134 2 2 2" xfId="51456"/>
    <cellStyle name="Процентный 5 134 2 3" xfId="30093"/>
    <cellStyle name="Процентный 5 134 2 3 2" xfId="62136"/>
    <cellStyle name="Процентный 5 134 2 4" xfId="40776"/>
    <cellStyle name="Процентный 5 134 3" xfId="14072"/>
    <cellStyle name="Процентный 5 134 3 2" xfId="46116"/>
    <cellStyle name="Процентный 5 134 4" xfId="24753"/>
    <cellStyle name="Процентный 5 134 4 2" xfId="56796"/>
    <cellStyle name="Процентный 5 134 5" xfId="35436"/>
    <cellStyle name="Процентный 5 135" xfId="3423"/>
    <cellStyle name="Процентный 5 135 2" xfId="8764"/>
    <cellStyle name="Процентный 5 135 2 2" xfId="19444"/>
    <cellStyle name="Процентный 5 135 2 2 2" xfId="51488"/>
    <cellStyle name="Процентный 5 135 2 3" xfId="30125"/>
    <cellStyle name="Процентный 5 135 2 3 2" xfId="62168"/>
    <cellStyle name="Процентный 5 135 2 4" xfId="40808"/>
    <cellStyle name="Процентный 5 135 3" xfId="14104"/>
    <cellStyle name="Процентный 5 135 3 2" xfId="46148"/>
    <cellStyle name="Процентный 5 135 4" xfId="24785"/>
    <cellStyle name="Процентный 5 135 4 2" xfId="56828"/>
    <cellStyle name="Процентный 5 135 5" xfId="35468"/>
    <cellStyle name="Процентный 5 136" xfId="3455"/>
    <cellStyle name="Процентный 5 136 2" xfId="8796"/>
    <cellStyle name="Процентный 5 136 2 2" xfId="19476"/>
    <cellStyle name="Процентный 5 136 2 2 2" xfId="51520"/>
    <cellStyle name="Процентный 5 136 2 3" xfId="30157"/>
    <cellStyle name="Процентный 5 136 2 3 2" xfId="62200"/>
    <cellStyle name="Процентный 5 136 2 4" xfId="40840"/>
    <cellStyle name="Процентный 5 136 3" xfId="14136"/>
    <cellStyle name="Процентный 5 136 3 2" xfId="46180"/>
    <cellStyle name="Процентный 5 136 4" xfId="24817"/>
    <cellStyle name="Процентный 5 136 4 2" xfId="56860"/>
    <cellStyle name="Процентный 5 136 5" xfId="35500"/>
    <cellStyle name="Процентный 5 137" xfId="3487"/>
    <cellStyle name="Процентный 5 137 2" xfId="8828"/>
    <cellStyle name="Процентный 5 137 2 2" xfId="19508"/>
    <cellStyle name="Процентный 5 137 2 2 2" xfId="51552"/>
    <cellStyle name="Процентный 5 137 2 3" xfId="30189"/>
    <cellStyle name="Процентный 5 137 2 3 2" xfId="62232"/>
    <cellStyle name="Процентный 5 137 2 4" xfId="40872"/>
    <cellStyle name="Процентный 5 137 3" xfId="14168"/>
    <cellStyle name="Процентный 5 137 3 2" xfId="46212"/>
    <cellStyle name="Процентный 5 137 4" xfId="24849"/>
    <cellStyle name="Процентный 5 137 4 2" xfId="56892"/>
    <cellStyle name="Процентный 5 137 5" xfId="35532"/>
    <cellStyle name="Процентный 5 138" xfId="3519"/>
    <cellStyle name="Процентный 5 138 2" xfId="8860"/>
    <cellStyle name="Процентный 5 138 2 2" xfId="19540"/>
    <cellStyle name="Процентный 5 138 2 2 2" xfId="51584"/>
    <cellStyle name="Процентный 5 138 2 3" xfId="30221"/>
    <cellStyle name="Процентный 5 138 2 3 2" xfId="62264"/>
    <cellStyle name="Процентный 5 138 2 4" xfId="40904"/>
    <cellStyle name="Процентный 5 138 3" xfId="14200"/>
    <cellStyle name="Процентный 5 138 3 2" xfId="46244"/>
    <cellStyle name="Процентный 5 138 4" xfId="24881"/>
    <cellStyle name="Процентный 5 138 4 2" xfId="56924"/>
    <cellStyle name="Процентный 5 138 5" xfId="35564"/>
    <cellStyle name="Процентный 5 139" xfId="3551"/>
    <cellStyle name="Процентный 5 139 2" xfId="8892"/>
    <cellStyle name="Процентный 5 139 2 2" xfId="19572"/>
    <cellStyle name="Процентный 5 139 2 2 2" xfId="51616"/>
    <cellStyle name="Процентный 5 139 2 3" xfId="30253"/>
    <cellStyle name="Процентный 5 139 2 3 2" xfId="62296"/>
    <cellStyle name="Процентный 5 139 2 4" xfId="40936"/>
    <cellStyle name="Процентный 5 139 3" xfId="14232"/>
    <cellStyle name="Процентный 5 139 3 2" xfId="46276"/>
    <cellStyle name="Процентный 5 139 4" xfId="24913"/>
    <cellStyle name="Процентный 5 139 4 2" xfId="56956"/>
    <cellStyle name="Процентный 5 139 5" xfId="35596"/>
    <cellStyle name="Процентный 5 14" xfId="133"/>
    <cellStyle name="Процентный 5 14 2" xfId="601"/>
    <cellStyle name="Процентный 5 14 2 2" xfId="5944"/>
    <cellStyle name="Процентный 5 14 2 2 2" xfId="16624"/>
    <cellStyle name="Процентный 5 14 2 2 2 2" xfId="48668"/>
    <cellStyle name="Процентный 5 14 2 2 3" xfId="27305"/>
    <cellStyle name="Процентный 5 14 2 2 3 2" xfId="59348"/>
    <cellStyle name="Процентный 5 14 2 2 4" xfId="37988"/>
    <cellStyle name="Процентный 5 14 2 3" xfId="11284"/>
    <cellStyle name="Процентный 5 14 2 3 2" xfId="43328"/>
    <cellStyle name="Процентный 5 14 2 4" xfId="21965"/>
    <cellStyle name="Процентный 5 14 2 4 2" xfId="54008"/>
    <cellStyle name="Процентный 5 14 2 5" xfId="32648"/>
    <cellStyle name="Процентный 5 14 3" xfId="5477"/>
    <cellStyle name="Процентный 5 14 3 2" xfId="16157"/>
    <cellStyle name="Процентный 5 14 3 2 2" xfId="48201"/>
    <cellStyle name="Процентный 5 14 3 3" xfId="26838"/>
    <cellStyle name="Процентный 5 14 3 3 2" xfId="58881"/>
    <cellStyle name="Процентный 5 14 3 4" xfId="37521"/>
    <cellStyle name="Процентный 5 14 4" xfId="10817"/>
    <cellStyle name="Процентный 5 14 4 2" xfId="42861"/>
    <cellStyle name="Процентный 5 14 5" xfId="21498"/>
    <cellStyle name="Процентный 5 14 5 2" xfId="53541"/>
    <cellStyle name="Процентный 5 14 6" xfId="32181"/>
    <cellStyle name="Процентный 5 140" xfId="3583"/>
    <cellStyle name="Процентный 5 140 2" xfId="8924"/>
    <cellStyle name="Процентный 5 140 2 2" xfId="19604"/>
    <cellStyle name="Процентный 5 140 2 2 2" xfId="51648"/>
    <cellStyle name="Процентный 5 140 2 3" xfId="30285"/>
    <cellStyle name="Процентный 5 140 2 3 2" xfId="62328"/>
    <cellStyle name="Процентный 5 140 2 4" xfId="40968"/>
    <cellStyle name="Процентный 5 140 3" xfId="14264"/>
    <cellStyle name="Процентный 5 140 3 2" xfId="46308"/>
    <cellStyle name="Процентный 5 140 4" xfId="24945"/>
    <cellStyle name="Процентный 5 140 4 2" xfId="56988"/>
    <cellStyle name="Процентный 5 140 5" xfId="35628"/>
    <cellStyle name="Процентный 5 141" xfId="3615"/>
    <cellStyle name="Процентный 5 141 2" xfId="8956"/>
    <cellStyle name="Процентный 5 141 2 2" xfId="19636"/>
    <cellStyle name="Процентный 5 141 2 2 2" xfId="51680"/>
    <cellStyle name="Процентный 5 141 2 3" xfId="30317"/>
    <cellStyle name="Процентный 5 141 2 3 2" xfId="62360"/>
    <cellStyle name="Процентный 5 141 2 4" xfId="41000"/>
    <cellStyle name="Процентный 5 141 3" xfId="14296"/>
    <cellStyle name="Процентный 5 141 3 2" xfId="46340"/>
    <cellStyle name="Процентный 5 141 4" xfId="24977"/>
    <cellStyle name="Процентный 5 141 4 2" xfId="57020"/>
    <cellStyle name="Процентный 5 141 5" xfId="35660"/>
    <cellStyle name="Процентный 5 142" xfId="3647"/>
    <cellStyle name="Процентный 5 142 2" xfId="8988"/>
    <cellStyle name="Процентный 5 142 2 2" xfId="19668"/>
    <cellStyle name="Процентный 5 142 2 2 2" xfId="51712"/>
    <cellStyle name="Процентный 5 142 2 3" xfId="30349"/>
    <cellStyle name="Процентный 5 142 2 3 2" xfId="62392"/>
    <cellStyle name="Процентный 5 142 2 4" xfId="41032"/>
    <cellStyle name="Процентный 5 142 3" xfId="14328"/>
    <cellStyle name="Процентный 5 142 3 2" xfId="46372"/>
    <cellStyle name="Процентный 5 142 4" xfId="25009"/>
    <cellStyle name="Процентный 5 142 4 2" xfId="57052"/>
    <cellStyle name="Процентный 5 142 5" xfId="35692"/>
    <cellStyle name="Процентный 5 143" xfId="3679"/>
    <cellStyle name="Процентный 5 143 2" xfId="9020"/>
    <cellStyle name="Процентный 5 143 2 2" xfId="19700"/>
    <cellStyle name="Процентный 5 143 2 2 2" xfId="51744"/>
    <cellStyle name="Процентный 5 143 2 3" xfId="30381"/>
    <cellStyle name="Процентный 5 143 2 3 2" xfId="62424"/>
    <cellStyle name="Процентный 5 143 2 4" xfId="41064"/>
    <cellStyle name="Процентный 5 143 3" xfId="14360"/>
    <cellStyle name="Процентный 5 143 3 2" xfId="46404"/>
    <cellStyle name="Процентный 5 143 4" xfId="25041"/>
    <cellStyle name="Процентный 5 143 4 2" xfId="57084"/>
    <cellStyle name="Процентный 5 143 5" xfId="35724"/>
    <cellStyle name="Процентный 5 144" xfId="3711"/>
    <cellStyle name="Процентный 5 144 2" xfId="9052"/>
    <cellStyle name="Процентный 5 144 2 2" xfId="19732"/>
    <cellStyle name="Процентный 5 144 2 2 2" xfId="51776"/>
    <cellStyle name="Процентный 5 144 2 3" xfId="30413"/>
    <cellStyle name="Процентный 5 144 2 3 2" xfId="62456"/>
    <cellStyle name="Процентный 5 144 2 4" xfId="41096"/>
    <cellStyle name="Процентный 5 144 3" xfId="14392"/>
    <cellStyle name="Процентный 5 144 3 2" xfId="46436"/>
    <cellStyle name="Процентный 5 144 4" xfId="25073"/>
    <cellStyle name="Процентный 5 144 4 2" xfId="57116"/>
    <cellStyle name="Процентный 5 144 5" xfId="35756"/>
    <cellStyle name="Процентный 5 145" xfId="3743"/>
    <cellStyle name="Процентный 5 145 2" xfId="9084"/>
    <cellStyle name="Процентный 5 145 2 2" xfId="19764"/>
    <cellStyle name="Процентный 5 145 2 2 2" xfId="51808"/>
    <cellStyle name="Процентный 5 145 2 3" xfId="30445"/>
    <cellStyle name="Процентный 5 145 2 3 2" xfId="62488"/>
    <cellStyle name="Процентный 5 145 2 4" xfId="41128"/>
    <cellStyle name="Процентный 5 145 3" xfId="14424"/>
    <cellStyle name="Процентный 5 145 3 2" xfId="46468"/>
    <cellStyle name="Процентный 5 145 4" xfId="25105"/>
    <cellStyle name="Процентный 5 145 4 2" xfId="57148"/>
    <cellStyle name="Процентный 5 145 5" xfId="35788"/>
    <cellStyle name="Процентный 5 146" xfId="3775"/>
    <cellStyle name="Процентный 5 146 2" xfId="9116"/>
    <cellStyle name="Процентный 5 146 2 2" xfId="19796"/>
    <cellStyle name="Процентный 5 146 2 2 2" xfId="51840"/>
    <cellStyle name="Процентный 5 146 2 3" xfId="30477"/>
    <cellStyle name="Процентный 5 146 2 3 2" xfId="62520"/>
    <cellStyle name="Процентный 5 146 2 4" xfId="41160"/>
    <cellStyle name="Процентный 5 146 3" xfId="14456"/>
    <cellStyle name="Процентный 5 146 3 2" xfId="46500"/>
    <cellStyle name="Процентный 5 146 4" xfId="25137"/>
    <cellStyle name="Процентный 5 146 4 2" xfId="57180"/>
    <cellStyle name="Процентный 5 146 5" xfId="35820"/>
    <cellStyle name="Процентный 5 147" xfId="3807"/>
    <cellStyle name="Процентный 5 147 2" xfId="9148"/>
    <cellStyle name="Процентный 5 147 2 2" xfId="19828"/>
    <cellStyle name="Процентный 5 147 2 2 2" xfId="51872"/>
    <cellStyle name="Процентный 5 147 2 3" xfId="30509"/>
    <cellStyle name="Процентный 5 147 2 3 2" xfId="62552"/>
    <cellStyle name="Процентный 5 147 2 4" xfId="41192"/>
    <cellStyle name="Процентный 5 147 3" xfId="14488"/>
    <cellStyle name="Процентный 5 147 3 2" xfId="46532"/>
    <cellStyle name="Процентный 5 147 4" xfId="25169"/>
    <cellStyle name="Процентный 5 147 4 2" xfId="57212"/>
    <cellStyle name="Процентный 5 147 5" xfId="35852"/>
    <cellStyle name="Процентный 5 148" xfId="3839"/>
    <cellStyle name="Процентный 5 148 2" xfId="9180"/>
    <cellStyle name="Процентный 5 148 2 2" xfId="19860"/>
    <cellStyle name="Процентный 5 148 2 2 2" xfId="51904"/>
    <cellStyle name="Процентный 5 148 2 3" xfId="30541"/>
    <cellStyle name="Процентный 5 148 2 3 2" xfId="62584"/>
    <cellStyle name="Процентный 5 148 2 4" xfId="41224"/>
    <cellStyle name="Процентный 5 148 3" xfId="14520"/>
    <cellStyle name="Процентный 5 148 3 2" xfId="46564"/>
    <cellStyle name="Процентный 5 148 4" xfId="25201"/>
    <cellStyle name="Процентный 5 148 4 2" xfId="57244"/>
    <cellStyle name="Процентный 5 148 5" xfId="35884"/>
    <cellStyle name="Процентный 5 149" xfId="3871"/>
    <cellStyle name="Процентный 5 149 2" xfId="9212"/>
    <cellStyle name="Процентный 5 149 2 2" xfId="19892"/>
    <cellStyle name="Процентный 5 149 2 2 2" xfId="51936"/>
    <cellStyle name="Процентный 5 149 2 3" xfId="30573"/>
    <cellStyle name="Процентный 5 149 2 3 2" xfId="62616"/>
    <cellStyle name="Процентный 5 149 2 4" xfId="41256"/>
    <cellStyle name="Процентный 5 149 3" xfId="14552"/>
    <cellStyle name="Процентный 5 149 3 2" xfId="46596"/>
    <cellStyle name="Процентный 5 149 4" xfId="25233"/>
    <cellStyle name="Процентный 5 149 4 2" xfId="57276"/>
    <cellStyle name="Процентный 5 149 5" xfId="35916"/>
    <cellStyle name="Процентный 5 15" xfId="143"/>
    <cellStyle name="Процентный 5 15 2" xfId="611"/>
    <cellStyle name="Процентный 5 15 2 2" xfId="5954"/>
    <cellStyle name="Процентный 5 15 2 2 2" xfId="16634"/>
    <cellStyle name="Процентный 5 15 2 2 2 2" xfId="48678"/>
    <cellStyle name="Процентный 5 15 2 2 3" xfId="27315"/>
    <cellStyle name="Процентный 5 15 2 2 3 2" xfId="59358"/>
    <cellStyle name="Процентный 5 15 2 2 4" xfId="37998"/>
    <cellStyle name="Процентный 5 15 2 3" xfId="11294"/>
    <cellStyle name="Процентный 5 15 2 3 2" xfId="43338"/>
    <cellStyle name="Процентный 5 15 2 4" xfId="21975"/>
    <cellStyle name="Процентный 5 15 2 4 2" xfId="54018"/>
    <cellStyle name="Процентный 5 15 2 5" xfId="32658"/>
    <cellStyle name="Процентный 5 15 3" xfId="5487"/>
    <cellStyle name="Процентный 5 15 3 2" xfId="16167"/>
    <cellStyle name="Процентный 5 15 3 2 2" xfId="48211"/>
    <cellStyle name="Процентный 5 15 3 3" xfId="26848"/>
    <cellStyle name="Процентный 5 15 3 3 2" xfId="58891"/>
    <cellStyle name="Процентный 5 15 3 4" xfId="37531"/>
    <cellStyle name="Процентный 5 15 4" xfId="10827"/>
    <cellStyle name="Процентный 5 15 4 2" xfId="42871"/>
    <cellStyle name="Процентный 5 15 5" xfId="21508"/>
    <cellStyle name="Процентный 5 15 5 2" xfId="53551"/>
    <cellStyle name="Процентный 5 15 6" xfId="32191"/>
    <cellStyle name="Процентный 5 150" xfId="3903"/>
    <cellStyle name="Процентный 5 150 2" xfId="9244"/>
    <cellStyle name="Процентный 5 150 2 2" xfId="19924"/>
    <cellStyle name="Процентный 5 150 2 2 2" xfId="51968"/>
    <cellStyle name="Процентный 5 150 2 3" xfId="30605"/>
    <cellStyle name="Процентный 5 150 2 3 2" xfId="62648"/>
    <cellStyle name="Процентный 5 150 2 4" xfId="41288"/>
    <cellStyle name="Процентный 5 150 3" xfId="14584"/>
    <cellStyle name="Процентный 5 150 3 2" xfId="46628"/>
    <cellStyle name="Процентный 5 150 4" xfId="25265"/>
    <cellStyle name="Процентный 5 150 4 2" xfId="57308"/>
    <cellStyle name="Процентный 5 150 5" xfId="35948"/>
    <cellStyle name="Процентный 5 151" xfId="3935"/>
    <cellStyle name="Процентный 5 151 2" xfId="9276"/>
    <cellStyle name="Процентный 5 151 2 2" xfId="19956"/>
    <cellStyle name="Процентный 5 151 2 2 2" xfId="52000"/>
    <cellStyle name="Процентный 5 151 2 3" xfId="30637"/>
    <cellStyle name="Процентный 5 151 2 3 2" xfId="62680"/>
    <cellStyle name="Процентный 5 151 2 4" xfId="41320"/>
    <cellStyle name="Процентный 5 151 3" xfId="14616"/>
    <cellStyle name="Процентный 5 151 3 2" xfId="46660"/>
    <cellStyle name="Процентный 5 151 4" xfId="25297"/>
    <cellStyle name="Процентный 5 151 4 2" xfId="57340"/>
    <cellStyle name="Процентный 5 151 5" xfId="35980"/>
    <cellStyle name="Процентный 5 152" xfId="3967"/>
    <cellStyle name="Процентный 5 152 2" xfId="9308"/>
    <cellStyle name="Процентный 5 152 2 2" xfId="19988"/>
    <cellStyle name="Процентный 5 152 2 2 2" xfId="52032"/>
    <cellStyle name="Процентный 5 152 2 3" xfId="30669"/>
    <cellStyle name="Процентный 5 152 2 3 2" xfId="62712"/>
    <cellStyle name="Процентный 5 152 2 4" xfId="41352"/>
    <cellStyle name="Процентный 5 152 3" xfId="14648"/>
    <cellStyle name="Процентный 5 152 3 2" xfId="46692"/>
    <cellStyle name="Процентный 5 152 4" xfId="25329"/>
    <cellStyle name="Процентный 5 152 4 2" xfId="57372"/>
    <cellStyle name="Процентный 5 152 5" xfId="36012"/>
    <cellStyle name="Процентный 5 153" xfId="3999"/>
    <cellStyle name="Процентный 5 153 2" xfId="9340"/>
    <cellStyle name="Процентный 5 153 2 2" xfId="20020"/>
    <cellStyle name="Процентный 5 153 2 2 2" xfId="52064"/>
    <cellStyle name="Процентный 5 153 2 3" xfId="30701"/>
    <cellStyle name="Процентный 5 153 2 3 2" xfId="62744"/>
    <cellStyle name="Процентный 5 153 2 4" xfId="41384"/>
    <cellStyle name="Процентный 5 153 3" xfId="14680"/>
    <cellStyle name="Процентный 5 153 3 2" xfId="46724"/>
    <cellStyle name="Процентный 5 153 4" xfId="25361"/>
    <cellStyle name="Процентный 5 153 4 2" xfId="57404"/>
    <cellStyle name="Процентный 5 153 5" xfId="36044"/>
    <cellStyle name="Процентный 5 154" xfId="4031"/>
    <cellStyle name="Процентный 5 154 2" xfId="9372"/>
    <cellStyle name="Процентный 5 154 2 2" xfId="20052"/>
    <cellStyle name="Процентный 5 154 2 2 2" xfId="52096"/>
    <cellStyle name="Процентный 5 154 2 3" xfId="30733"/>
    <cellStyle name="Процентный 5 154 2 3 2" xfId="62776"/>
    <cellStyle name="Процентный 5 154 2 4" xfId="41416"/>
    <cellStyle name="Процентный 5 154 3" xfId="14712"/>
    <cellStyle name="Процентный 5 154 3 2" xfId="46756"/>
    <cellStyle name="Процентный 5 154 4" xfId="25393"/>
    <cellStyle name="Процентный 5 154 4 2" xfId="57436"/>
    <cellStyle name="Процентный 5 154 5" xfId="36076"/>
    <cellStyle name="Процентный 5 155" xfId="4063"/>
    <cellStyle name="Процентный 5 155 2" xfId="9404"/>
    <cellStyle name="Процентный 5 155 2 2" xfId="20084"/>
    <cellStyle name="Процентный 5 155 2 2 2" xfId="52128"/>
    <cellStyle name="Процентный 5 155 2 3" xfId="30765"/>
    <cellStyle name="Процентный 5 155 2 3 2" xfId="62808"/>
    <cellStyle name="Процентный 5 155 2 4" xfId="41448"/>
    <cellStyle name="Процентный 5 155 3" xfId="14744"/>
    <cellStyle name="Процентный 5 155 3 2" xfId="46788"/>
    <cellStyle name="Процентный 5 155 4" xfId="25425"/>
    <cellStyle name="Процентный 5 155 4 2" xfId="57468"/>
    <cellStyle name="Процентный 5 155 5" xfId="36108"/>
    <cellStyle name="Процентный 5 156" xfId="4095"/>
    <cellStyle name="Процентный 5 156 2" xfId="9436"/>
    <cellStyle name="Процентный 5 156 2 2" xfId="20116"/>
    <cellStyle name="Процентный 5 156 2 2 2" xfId="52160"/>
    <cellStyle name="Процентный 5 156 2 3" xfId="30797"/>
    <cellStyle name="Процентный 5 156 2 3 2" xfId="62840"/>
    <cellStyle name="Процентный 5 156 2 4" xfId="41480"/>
    <cellStyle name="Процентный 5 156 3" xfId="14776"/>
    <cellStyle name="Процентный 5 156 3 2" xfId="46820"/>
    <cellStyle name="Процентный 5 156 4" xfId="25457"/>
    <cellStyle name="Процентный 5 156 4 2" xfId="57500"/>
    <cellStyle name="Процентный 5 156 5" xfId="36140"/>
    <cellStyle name="Процентный 5 157" xfId="4127"/>
    <cellStyle name="Процентный 5 157 2" xfId="9468"/>
    <cellStyle name="Процентный 5 157 2 2" xfId="20148"/>
    <cellStyle name="Процентный 5 157 2 2 2" xfId="52192"/>
    <cellStyle name="Процентный 5 157 2 3" xfId="30829"/>
    <cellStyle name="Процентный 5 157 2 3 2" xfId="62872"/>
    <cellStyle name="Процентный 5 157 2 4" xfId="41512"/>
    <cellStyle name="Процентный 5 157 3" xfId="14808"/>
    <cellStyle name="Процентный 5 157 3 2" xfId="46852"/>
    <cellStyle name="Процентный 5 157 4" xfId="25489"/>
    <cellStyle name="Процентный 5 157 4 2" xfId="57532"/>
    <cellStyle name="Процентный 5 157 5" xfId="36172"/>
    <cellStyle name="Процентный 5 158" xfId="4159"/>
    <cellStyle name="Процентный 5 158 2" xfId="9500"/>
    <cellStyle name="Процентный 5 158 2 2" xfId="20180"/>
    <cellStyle name="Процентный 5 158 2 2 2" xfId="52224"/>
    <cellStyle name="Процентный 5 158 2 3" xfId="30861"/>
    <cellStyle name="Процентный 5 158 2 3 2" xfId="62904"/>
    <cellStyle name="Процентный 5 158 2 4" xfId="41544"/>
    <cellStyle name="Процентный 5 158 3" xfId="14840"/>
    <cellStyle name="Процентный 5 158 3 2" xfId="46884"/>
    <cellStyle name="Процентный 5 158 4" xfId="25521"/>
    <cellStyle name="Процентный 5 158 4 2" xfId="57564"/>
    <cellStyle name="Процентный 5 158 5" xfId="36204"/>
    <cellStyle name="Процентный 5 159" xfId="4191"/>
    <cellStyle name="Процентный 5 159 2" xfId="9532"/>
    <cellStyle name="Процентный 5 159 2 2" xfId="20212"/>
    <cellStyle name="Процентный 5 159 2 2 2" xfId="52256"/>
    <cellStyle name="Процентный 5 159 2 3" xfId="30893"/>
    <cellStyle name="Процентный 5 159 2 3 2" xfId="62936"/>
    <cellStyle name="Процентный 5 159 2 4" xfId="41576"/>
    <cellStyle name="Процентный 5 159 3" xfId="14872"/>
    <cellStyle name="Процентный 5 159 3 2" xfId="46916"/>
    <cellStyle name="Процентный 5 159 4" xfId="25553"/>
    <cellStyle name="Процентный 5 159 4 2" xfId="57596"/>
    <cellStyle name="Процентный 5 159 5" xfId="36236"/>
    <cellStyle name="Процентный 5 16" xfId="153"/>
    <cellStyle name="Процентный 5 16 2" xfId="621"/>
    <cellStyle name="Процентный 5 16 2 2" xfId="5964"/>
    <cellStyle name="Процентный 5 16 2 2 2" xfId="16644"/>
    <cellStyle name="Процентный 5 16 2 2 2 2" xfId="48688"/>
    <cellStyle name="Процентный 5 16 2 2 3" xfId="27325"/>
    <cellStyle name="Процентный 5 16 2 2 3 2" xfId="59368"/>
    <cellStyle name="Процентный 5 16 2 2 4" xfId="38008"/>
    <cellStyle name="Процентный 5 16 2 3" xfId="11304"/>
    <cellStyle name="Процентный 5 16 2 3 2" xfId="43348"/>
    <cellStyle name="Процентный 5 16 2 4" xfId="21985"/>
    <cellStyle name="Процентный 5 16 2 4 2" xfId="54028"/>
    <cellStyle name="Процентный 5 16 2 5" xfId="32668"/>
    <cellStyle name="Процентный 5 16 3" xfId="5497"/>
    <cellStyle name="Процентный 5 16 3 2" xfId="16177"/>
    <cellStyle name="Процентный 5 16 3 2 2" xfId="48221"/>
    <cellStyle name="Процентный 5 16 3 3" xfId="26858"/>
    <cellStyle name="Процентный 5 16 3 3 2" xfId="58901"/>
    <cellStyle name="Процентный 5 16 3 4" xfId="37541"/>
    <cellStyle name="Процентный 5 16 4" xfId="10837"/>
    <cellStyle name="Процентный 5 16 4 2" xfId="42881"/>
    <cellStyle name="Процентный 5 16 5" xfId="21518"/>
    <cellStyle name="Процентный 5 16 5 2" xfId="53561"/>
    <cellStyle name="Процентный 5 16 6" xfId="32201"/>
    <cellStyle name="Процентный 5 160" xfId="4223"/>
    <cellStyle name="Процентный 5 160 2" xfId="9564"/>
    <cellStyle name="Процентный 5 160 2 2" xfId="20244"/>
    <cellStyle name="Процентный 5 160 2 2 2" xfId="52288"/>
    <cellStyle name="Процентный 5 160 2 3" xfId="30925"/>
    <cellStyle name="Процентный 5 160 2 3 2" xfId="62968"/>
    <cellStyle name="Процентный 5 160 2 4" xfId="41608"/>
    <cellStyle name="Процентный 5 160 3" xfId="14904"/>
    <cellStyle name="Процентный 5 160 3 2" xfId="46948"/>
    <cellStyle name="Процентный 5 160 4" xfId="25585"/>
    <cellStyle name="Процентный 5 160 4 2" xfId="57628"/>
    <cellStyle name="Процентный 5 160 5" xfId="36268"/>
    <cellStyle name="Процентный 5 161" xfId="4255"/>
    <cellStyle name="Процентный 5 161 2" xfId="9596"/>
    <cellStyle name="Процентный 5 161 2 2" xfId="20276"/>
    <cellStyle name="Процентный 5 161 2 2 2" xfId="52320"/>
    <cellStyle name="Процентный 5 161 2 3" xfId="30957"/>
    <cellStyle name="Процентный 5 161 2 3 2" xfId="63000"/>
    <cellStyle name="Процентный 5 161 2 4" xfId="41640"/>
    <cellStyle name="Процентный 5 161 3" xfId="14936"/>
    <cellStyle name="Процентный 5 161 3 2" xfId="46980"/>
    <cellStyle name="Процентный 5 161 4" xfId="25617"/>
    <cellStyle name="Процентный 5 161 4 2" xfId="57660"/>
    <cellStyle name="Процентный 5 161 5" xfId="36300"/>
    <cellStyle name="Процентный 5 162" xfId="4287"/>
    <cellStyle name="Процентный 5 162 2" xfId="9628"/>
    <cellStyle name="Процентный 5 162 2 2" xfId="20308"/>
    <cellStyle name="Процентный 5 162 2 2 2" xfId="52352"/>
    <cellStyle name="Процентный 5 162 2 3" xfId="30989"/>
    <cellStyle name="Процентный 5 162 2 3 2" xfId="63032"/>
    <cellStyle name="Процентный 5 162 2 4" xfId="41672"/>
    <cellStyle name="Процентный 5 162 3" xfId="14968"/>
    <cellStyle name="Процентный 5 162 3 2" xfId="47012"/>
    <cellStyle name="Процентный 5 162 4" xfId="25649"/>
    <cellStyle name="Процентный 5 162 4 2" xfId="57692"/>
    <cellStyle name="Процентный 5 162 5" xfId="36332"/>
    <cellStyle name="Процентный 5 163" xfId="4319"/>
    <cellStyle name="Процентный 5 163 2" xfId="9660"/>
    <cellStyle name="Процентный 5 163 2 2" xfId="20340"/>
    <cellStyle name="Процентный 5 163 2 2 2" xfId="52384"/>
    <cellStyle name="Процентный 5 163 2 3" xfId="31021"/>
    <cellStyle name="Процентный 5 163 2 3 2" xfId="63064"/>
    <cellStyle name="Процентный 5 163 2 4" xfId="41704"/>
    <cellStyle name="Процентный 5 163 3" xfId="15000"/>
    <cellStyle name="Процентный 5 163 3 2" xfId="47044"/>
    <cellStyle name="Процентный 5 163 4" xfId="25681"/>
    <cellStyle name="Процентный 5 163 4 2" xfId="57724"/>
    <cellStyle name="Процентный 5 163 5" xfId="36364"/>
    <cellStyle name="Процентный 5 164" xfId="4351"/>
    <cellStyle name="Процентный 5 164 2" xfId="9692"/>
    <cellStyle name="Процентный 5 164 2 2" xfId="20372"/>
    <cellStyle name="Процентный 5 164 2 2 2" xfId="52416"/>
    <cellStyle name="Процентный 5 164 2 3" xfId="31053"/>
    <cellStyle name="Процентный 5 164 2 3 2" xfId="63096"/>
    <cellStyle name="Процентный 5 164 2 4" xfId="41736"/>
    <cellStyle name="Процентный 5 164 3" xfId="15032"/>
    <cellStyle name="Процентный 5 164 3 2" xfId="47076"/>
    <cellStyle name="Процентный 5 164 4" xfId="25713"/>
    <cellStyle name="Процентный 5 164 4 2" xfId="57756"/>
    <cellStyle name="Процентный 5 164 5" xfId="36396"/>
    <cellStyle name="Процентный 5 165" xfId="4383"/>
    <cellStyle name="Процентный 5 165 2" xfId="9724"/>
    <cellStyle name="Процентный 5 165 2 2" xfId="20404"/>
    <cellStyle name="Процентный 5 165 2 2 2" xfId="52448"/>
    <cellStyle name="Процентный 5 165 2 3" xfId="31085"/>
    <cellStyle name="Процентный 5 165 2 3 2" xfId="63128"/>
    <cellStyle name="Процентный 5 165 2 4" xfId="41768"/>
    <cellStyle name="Процентный 5 165 3" xfId="15064"/>
    <cellStyle name="Процентный 5 165 3 2" xfId="47108"/>
    <cellStyle name="Процентный 5 165 4" xfId="25745"/>
    <cellStyle name="Процентный 5 165 4 2" xfId="57788"/>
    <cellStyle name="Процентный 5 165 5" xfId="36428"/>
    <cellStyle name="Процентный 5 166" xfId="4415"/>
    <cellStyle name="Процентный 5 166 2" xfId="9756"/>
    <cellStyle name="Процентный 5 166 2 2" xfId="20436"/>
    <cellStyle name="Процентный 5 166 2 2 2" xfId="52480"/>
    <cellStyle name="Процентный 5 166 2 3" xfId="31117"/>
    <cellStyle name="Процентный 5 166 2 3 2" xfId="63160"/>
    <cellStyle name="Процентный 5 166 2 4" xfId="41800"/>
    <cellStyle name="Процентный 5 166 3" xfId="15096"/>
    <cellStyle name="Процентный 5 166 3 2" xfId="47140"/>
    <cellStyle name="Процентный 5 166 4" xfId="25777"/>
    <cellStyle name="Процентный 5 166 4 2" xfId="57820"/>
    <cellStyle name="Процентный 5 166 5" xfId="36460"/>
    <cellStyle name="Процентный 5 167" xfId="4447"/>
    <cellStyle name="Процентный 5 167 2" xfId="9788"/>
    <cellStyle name="Процентный 5 167 2 2" xfId="20468"/>
    <cellStyle name="Процентный 5 167 2 2 2" xfId="52512"/>
    <cellStyle name="Процентный 5 167 2 3" xfId="31149"/>
    <cellStyle name="Процентный 5 167 2 3 2" xfId="63192"/>
    <cellStyle name="Процентный 5 167 2 4" xfId="41832"/>
    <cellStyle name="Процентный 5 167 3" xfId="15128"/>
    <cellStyle name="Процентный 5 167 3 2" xfId="47172"/>
    <cellStyle name="Процентный 5 167 4" xfId="25809"/>
    <cellStyle name="Процентный 5 167 4 2" xfId="57852"/>
    <cellStyle name="Процентный 5 167 5" xfId="36492"/>
    <cellStyle name="Процентный 5 168" xfId="4479"/>
    <cellStyle name="Процентный 5 168 2" xfId="9820"/>
    <cellStyle name="Процентный 5 168 2 2" xfId="20500"/>
    <cellStyle name="Процентный 5 168 2 2 2" xfId="52544"/>
    <cellStyle name="Процентный 5 168 2 3" xfId="31181"/>
    <cellStyle name="Процентный 5 168 2 3 2" xfId="63224"/>
    <cellStyle name="Процентный 5 168 2 4" xfId="41864"/>
    <cellStyle name="Процентный 5 168 3" xfId="15160"/>
    <cellStyle name="Процентный 5 168 3 2" xfId="47204"/>
    <cellStyle name="Процентный 5 168 4" xfId="25841"/>
    <cellStyle name="Процентный 5 168 4 2" xfId="57884"/>
    <cellStyle name="Процентный 5 168 5" xfId="36524"/>
    <cellStyle name="Процентный 5 169" xfId="4511"/>
    <cellStyle name="Процентный 5 169 2" xfId="9852"/>
    <cellStyle name="Процентный 5 169 2 2" xfId="20532"/>
    <cellStyle name="Процентный 5 169 2 2 2" xfId="52576"/>
    <cellStyle name="Процентный 5 169 2 3" xfId="31213"/>
    <cellStyle name="Процентный 5 169 2 3 2" xfId="63256"/>
    <cellStyle name="Процентный 5 169 2 4" xfId="41896"/>
    <cellStyle name="Процентный 5 169 3" xfId="15192"/>
    <cellStyle name="Процентный 5 169 3 2" xfId="47236"/>
    <cellStyle name="Процентный 5 169 4" xfId="25873"/>
    <cellStyle name="Процентный 5 169 4 2" xfId="57916"/>
    <cellStyle name="Процентный 5 169 5" xfId="36556"/>
    <cellStyle name="Процентный 5 17" xfId="163"/>
    <cellStyle name="Процентный 5 17 2" xfId="631"/>
    <cellStyle name="Процентный 5 17 2 2" xfId="5974"/>
    <cellStyle name="Процентный 5 17 2 2 2" xfId="16654"/>
    <cellStyle name="Процентный 5 17 2 2 2 2" xfId="48698"/>
    <cellStyle name="Процентный 5 17 2 2 3" xfId="27335"/>
    <cellStyle name="Процентный 5 17 2 2 3 2" xfId="59378"/>
    <cellStyle name="Процентный 5 17 2 2 4" xfId="38018"/>
    <cellStyle name="Процентный 5 17 2 3" xfId="11314"/>
    <cellStyle name="Процентный 5 17 2 3 2" xfId="43358"/>
    <cellStyle name="Процентный 5 17 2 4" xfId="21995"/>
    <cellStyle name="Процентный 5 17 2 4 2" xfId="54038"/>
    <cellStyle name="Процентный 5 17 2 5" xfId="32678"/>
    <cellStyle name="Процентный 5 17 3" xfId="5507"/>
    <cellStyle name="Процентный 5 17 3 2" xfId="16187"/>
    <cellStyle name="Процентный 5 17 3 2 2" xfId="48231"/>
    <cellStyle name="Процентный 5 17 3 3" xfId="26868"/>
    <cellStyle name="Процентный 5 17 3 3 2" xfId="58911"/>
    <cellStyle name="Процентный 5 17 3 4" xfId="37551"/>
    <cellStyle name="Процентный 5 17 4" xfId="10847"/>
    <cellStyle name="Процентный 5 17 4 2" xfId="42891"/>
    <cellStyle name="Процентный 5 17 5" xfId="21528"/>
    <cellStyle name="Процентный 5 17 5 2" xfId="53571"/>
    <cellStyle name="Процентный 5 17 6" xfId="32211"/>
    <cellStyle name="Процентный 5 170" xfId="4543"/>
    <cellStyle name="Процентный 5 170 2" xfId="9884"/>
    <cellStyle name="Процентный 5 170 2 2" xfId="20564"/>
    <cellStyle name="Процентный 5 170 2 2 2" xfId="52608"/>
    <cellStyle name="Процентный 5 170 2 3" xfId="31245"/>
    <cellStyle name="Процентный 5 170 2 3 2" xfId="63288"/>
    <cellStyle name="Процентный 5 170 2 4" xfId="41928"/>
    <cellStyle name="Процентный 5 170 3" xfId="15224"/>
    <cellStyle name="Процентный 5 170 3 2" xfId="47268"/>
    <cellStyle name="Процентный 5 170 4" xfId="25905"/>
    <cellStyle name="Процентный 5 170 4 2" xfId="57948"/>
    <cellStyle name="Процентный 5 170 5" xfId="36588"/>
    <cellStyle name="Процентный 5 171" xfId="4575"/>
    <cellStyle name="Процентный 5 171 2" xfId="9916"/>
    <cellStyle name="Процентный 5 171 2 2" xfId="20596"/>
    <cellStyle name="Процентный 5 171 2 2 2" xfId="52640"/>
    <cellStyle name="Процентный 5 171 2 3" xfId="31277"/>
    <cellStyle name="Процентный 5 171 2 3 2" xfId="63320"/>
    <cellStyle name="Процентный 5 171 2 4" xfId="41960"/>
    <cellStyle name="Процентный 5 171 3" xfId="15256"/>
    <cellStyle name="Процентный 5 171 3 2" xfId="47300"/>
    <cellStyle name="Процентный 5 171 4" xfId="25937"/>
    <cellStyle name="Процентный 5 171 4 2" xfId="57980"/>
    <cellStyle name="Процентный 5 171 5" xfId="36620"/>
    <cellStyle name="Процентный 5 172" xfId="4607"/>
    <cellStyle name="Процентный 5 172 2" xfId="9948"/>
    <cellStyle name="Процентный 5 172 2 2" xfId="20628"/>
    <cellStyle name="Процентный 5 172 2 2 2" xfId="52672"/>
    <cellStyle name="Процентный 5 172 2 3" xfId="31309"/>
    <cellStyle name="Процентный 5 172 2 3 2" xfId="63352"/>
    <cellStyle name="Процентный 5 172 2 4" xfId="41992"/>
    <cellStyle name="Процентный 5 172 3" xfId="15288"/>
    <cellStyle name="Процентный 5 172 3 2" xfId="47332"/>
    <cellStyle name="Процентный 5 172 4" xfId="25969"/>
    <cellStyle name="Процентный 5 172 4 2" xfId="58012"/>
    <cellStyle name="Процентный 5 172 5" xfId="36652"/>
    <cellStyle name="Процентный 5 173" xfId="4639"/>
    <cellStyle name="Процентный 5 173 2" xfId="9980"/>
    <cellStyle name="Процентный 5 173 2 2" xfId="20660"/>
    <cellStyle name="Процентный 5 173 2 2 2" xfId="52704"/>
    <cellStyle name="Процентный 5 173 2 3" xfId="31341"/>
    <cellStyle name="Процентный 5 173 2 3 2" xfId="63384"/>
    <cellStyle name="Процентный 5 173 2 4" xfId="42024"/>
    <cellStyle name="Процентный 5 173 3" xfId="15320"/>
    <cellStyle name="Процентный 5 173 3 2" xfId="47364"/>
    <cellStyle name="Процентный 5 173 4" xfId="26001"/>
    <cellStyle name="Процентный 5 173 4 2" xfId="58044"/>
    <cellStyle name="Процентный 5 173 5" xfId="36684"/>
    <cellStyle name="Процентный 5 174" xfId="4671"/>
    <cellStyle name="Процентный 5 174 2" xfId="10012"/>
    <cellStyle name="Процентный 5 174 2 2" xfId="20692"/>
    <cellStyle name="Процентный 5 174 2 2 2" xfId="52736"/>
    <cellStyle name="Процентный 5 174 2 3" xfId="31373"/>
    <cellStyle name="Процентный 5 174 2 3 2" xfId="63416"/>
    <cellStyle name="Процентный 5 174 2 4" xfId="42056"/>
    <cellStyle name="Процентный 5 174 3" xfId="15352"/>
    <cellStyle name="Процентный 5 174 3 2" xfId="47396"/>
    <cellStyle name="Процентный 5 174 4" xfId="26033"/>
    <cellStyle name="Процентный 5 174 4 2" xfId="58076"/>
    <cellStyle name="Процентный 5 174 5" xfId="36716"/>
    <cellStyle name="Процентный 5 175" xfId="4705"/>
    <cellStyle name="Процентный 5 175 2" xfId="10046"/>
    <cellStyle name="Процентный 5 175 2 2" xfId="20726"/>
    <cellStyle name="Процентный 5 175 2 2 2" xfId="52770"/>
    <cellStyle name="Процентный 5 175 2 3" xfId="31407"/>
    <cellStyle name="Процентный 5 175 2 3 2" xfId="63450"/>
    <cellStyle name="Процентный 5 175 2 4" xfId="42090"/>
    <cellStyle name="Процентный 5 175 3" xfId="15386"/>
    <cellStyle name="Процентный 5 175 3 2" xfId="47430"/>
    <cellStyle name="Процентный 5 175 4" xfId="26067"/>
    <cellStyle name="Процентный 5 175 4 2" xfId="58110"/>
    <cellStyle name="Процентный 5 175 5" xfId="36750"/>
    <cellStyle name="Процентный 5 176" xfId="4737"/>
    <cellStyle name="Процентный 5 176 2" xfId="10078"/>
    <cellStyle name="Процентный 5 176 2 2" xfId="20758"/>
    <cellStyle name="Процентный 5 176 2 2 2" xfId="52802"/>
    <cellStyle name="Процентный 5 176 2 3" xfId="31439"/>
    <cellStyle name="Процентный 5 176 2 3 2" xfId="63482"/>
    <cellStyle name="Процентный 5 176 2 4" xfId="42122"/>
    <cellStyle name="Процентный 5 176 3" xfId="15418"/>
    <cellStyle name="Процентный 5 176 3 2" xfId="47462"/>
    <cellStyle name="Процентный 5 176 4" xfId="26099"/>
    <cellStyle name="Процентный 5 176 4 2" xfId="58142"/>
    <cellStyle name="Процентный 5 176 5" xfId="36782"/>
    <cellStyle name="Процентный 5 177" xfId="4769"/>
    <cellStyle name="Процентный 5 177 2" xfId="10110"/>
    <cellStyle name="Процентный 5 177 2 2" xfId="20790"/>
    <cellStyle name="Процентный 5 177 2 2 2" xfId="52834"/>
    <cellStyle name="Процентный 5 177 2 3" xfId="31471"/>
    <cellStyle name="Процентный 5 177 2 3 2" xfId="63514"/>
    <cellStyle name="Процентный 5 177 2 4" xfId="42154"/>
    <cellStyle name="Процентный 5 177 3" xfId="15450"/>
    <cellStyle name="Процентный 5 177 3 2" xfId="47494"/>
    <cellStyle name="Процентный 5 177 4" xfId="26131"/>
    <cellStyle name="Процентный 5 177 4 2" xfId="58174"/>
    <cellStyle name="Процентный 5 177 5" xfId="36814"/>
    <cellStyle name="Процентный 5 178" xfId="4801"/>
    <cellStyle name="Процентный 5 178 2" xfId="10142"/>
    <cellStyle name="Процентный 5 178 2 2" xfId="20822"/>
    <cellStyle name="Процентный 5 178 2 2 2" xfId="52866"/>
    <cellStyle name="Процентный 5 178 2 3" xfId="31503"/>
    <cellStyle name="Процентный 5 178 2 3 2" xfId="63546"/>
    <cellStyle name="Процентный 5 178 2 4" xfId="42186"/>
    <cellStyle name="Процентный 5 178 3" xfId="15482"/>
    <cellStyle name="Процентный 5 178 3 2" xfId="47526"/>
    <cellStyle name="Процентный 5 178 4" xfId="26163"/>
    <cellStyle name="Процентный 5 178 4 2" xfId="58206"/>
    <cellStyle name="Процентный 5 178 5" xfId="36846"/>
    <cellStyle name="Процентный 5 179" xfId="4833"/>
    <cellStyle name="Процентный 5 179 2" xfId="10174"/>
    <cellStyle name="Процентный 5 179 2 2" xfId="20854"/>
    <cellStyle name="Процентный 5 179 2 2 2" xfId="52898"/>
    <cellStyle name="Процентный 5 179 2 3" xfId="31535"/>
    <cellStyle name="Процентный 5 179 2 3 2" xfId="63578"/>
    <cellStyle name="Процентный 5 179 2 4" xfId="42218"/>
    <cellStyle name="Процентный 5 179 3" xfId="15514"/>
    <cellStyle name="Процентный 5 179 3 2" xfId="47558"/>
    <cellStyle name="Процентный 5 179 4" xfId="26195"/>
    <cellStyle name="Процентный 5 179 4 2" xfId="58238"/>
    <cellStyle name="Процентный 5 179 5" xfId="36878"/>
    <cellStyle name="Процентный 5 18" xfId="173"/>
    <cellStyle name="Процентный 5 18 2" xfId="641"/>
    <cellStyle name="Процентный 5 18 2 2" xfId="5984"/>
    <cellStyle name="Процентный 5 18 2 2 2" xfId="16664"/>
    <cellStyle name="Процентный 5 18 2 2 2 2" xfId="48708"/>
    <cellStyle name="Процентный 5 18 2 2 3" xfId="27345"/>
    <cellStyle name="Процентный 5 18 2 2 3 2" xfId="59388"/>
    <cellStyle name="Процентный 5 18 2 2 4" xfId="38028"/>
    <cellStyle name="Процентный 5 18 2 3" xfId="11324"/>
    <cellStyle name="Процентный 5 18 2 3 2" xfId="43368"/>
    <cellStyle name="Процентный 5 18 2 4" xfId="22005"/>
    <cellStyle name="Процентный 5 18 2 4 2" xfId="54048"/>
    <cellStyle name="Процентный 5 18 2 5" xfId="32688"/>
    <cellStyle name="Процентный 5 18 3" xfId="5517"/>
    <cellStyle name="Процентный 5 18 3 2" xfId="16197"/>
    <cellStyle name="Процентный 5 18 3 2 2" xfId="48241"/>
    <cellStyle name="Процентный 5 18 3 3" xfId="26878"/>
    <cellStyle name="Процентный 5 18 3 3 2" xfId="58921"/>
    <cellStyle name="Процентный 5 18 3 4" xfId="37561"/>
    <cellStyle name="Процентный 5 18 4" xfId="10857"/>
    <cellStyle name="Процентный 5 18 4 2" xfId="42901"/>
    <cellStyle name="Процентный 5 18 5" xfId="21538"/>
    <cellStyle name="Процентный 5 18 5 2" xfId="53581"/>
    <cellStyle name="Процентный 5 18 6" xfId="32221"/>
    <cellStyle name="Процентный 5 180" xfId="4865"/>
    <cellStyle name="Процентный 5 180 2" xfId="10206"/>
    <cellStyle name="Процентный 5 180 2 2" xfId="20886"/>
    <cellStyle name="Процентный 5 180 2 2 2" xfId="52930"/>
    <cellStyle name="Процентный 5 180 2 3" xfId="31567"/>
    <cellStyle name="Процентный 5 180 2 3 2" xfId="63610"/>
    <cellStyle name="Процентный 5 180 2 4" xfId="42250"/>
    <cellStyle name="Процентный 5 180 3" xfId="15546"/>
    <cellStyle name="Процентный 5 180 3 2" xfId="47590"/>
    <cellStyle name="Процентный 5 180 4" xfId="26227"/>
    <cellStyle name="Процентный 5 180 4 2" xfId="58270"/>
    <cellStyle name="Процентный 5 180 5" xfId="36910"/>
    <cellStyle name="Процентный 5 181" xfId="4897"/>
    <cellStyle name="Процентный 5 181 2" xfId="10238"/>
    <cellStyle name="Процентный 5 181 2 2" xfId="20918"/>
    <cellStyle name="Процентный 5 181 2 2 2" xfId="52962"/>
    <cellStyle name="Процентный 5 181 2 3" xfId="31599"/>
    <cellStyle name="Процентный 5 181 2 3 2" xfId="63642"/>
    <cellStyle name="Процентный 5 181 2 4" xfId="42282"/>
    <cellStyle name="Процентный 5 181 3" xfId="15578"/>
    <cellStyle name="Процентный 5 181 3 2" xfId="47622"/>
    <cellStyle name="Процентный 5 181 4" xfId="26259"/>
    <cellStyle name="Процентный 5 181 4 2" xfId="58302"/>
    <cellStyle name="Процентный 5 181 5" xfId="36942"/>
    <cellStyle name="Процентный 5 182" xfId="4929"/>
    <cellStyle name="Процентный 5 182 2" xfId="10270"/>
    <cellStyle name="Процентный 5 182 2 2" xfId="20950"/>
    <cellStyle name="Процентный 5 182 2 2 2" xfId="52994"/>
    <cellStyle name="Процентный 5 182 2 3" xfId="31631"/>
    <cellStyle name="Процентный 5 182 2 3 2" xfId="63674"/>
    <cellStyle name="Процентный 5 182 2 4" xfId="42314"/>
    <cellStyle name="Процентный 5 182 3" xfId="15610"/>
    <cellStyle name="Процентный 5 182 3 2" xfId="47654"/>
    <cellStyle name="Процентный 5 182 4" xfId="26291"/>
    <cellStyle name="Процентный 5 182 4 2" xfId="58334"/>
    <cellStyle name="Процентный 5 182 5" xfId="36974"/>
    <cellStyle name="Процентный 5 183" xfId="4961"/>
    <cellStyle name="Процентный 5 183 2" xfId="10302"/>
    <cellStyle name="Процентный 5 183 2 2" xfId="20982"/>
    <cellStyle name="Процентный 5 183 2 2 2" xfId="53026"/>
    <cellStyle name="Процентный 5 183 2 3" xfId="31663"/>
    <cellStyle name="Процентный 5 183 2 3 2" xfId="63706"/>
    <cellStyle name="Процентный 5 183 2 4" xfId="42346"/>
    <cellStyle name="Процентный 5 183 3" xfId="15642"/>
    <cellStyle name="Процентный 5 183 3 2" xfId="47686"/>
    <cellStyle name="Процентный 5 183 4" xfId="26323"/>
    <cellStyle name="Процентный 5 183 4 2" xfId="58366"/>
    <cellStyle name="Процентный 5 183 5" xfId="37006"/>
    <cellStyle name="Процентный 5 184" xfId="4993"/>
    <cellStyle name="Процентный 5 184 2" xfId="10334"/>
    <cellStyle name="Процентный 5 184 2 2" xfId="21014"/>
    <cellStyle name="Процентный 5 184 2 2 2" xfId="53058"/>
    <cellStyle name="Процентный 5 184 2 3" xfId="31695"/>
    <cellStyle name="Процентный 5 184 2 3 2" xfId="63738"/>
    <cellStyle name="Процентный 5 184 2 4" xfId="42378"/>
    <cellStyle name="Процентный 5 184 3" xfId="15674"/>
    <cellStyle name="Процентный 5 184 3 2" xfId="47718"/>
    <cellStyle name="Процентный 5 184 4" xfId="26355"/>
    <cellStyle name="Процентный 5 184 4 2" xfId="58398"/>
    <cellStyle name="Процентный 5 184 5" xfId="37038"/>
    <cellStyle name="Процентный 5 185" xfId="5025"/>
    <cellStyle name="Процентный 5 185 2" xfId="10366"/>
    <cellStyle name="Процентный 5 185 2 2" xfId="21046"/>
    <cellStyle name="Процентный 5 185 2 2 2" xfId="53090"/>
    <cellStyle name="Процентный 5 185 2 3" xfId="31727"/>
    <cellStyle name="Процентный 5 185 2 3 2" xfId="63770"/>
    <cellStyle name="Процентный 5 185 2 4" xfId="42410"/>
    <cellStyle name="Процентный 5 185 3" xfId="15706"/>
    <cellStyle name="Процентный 5 185 3 2" xfId="47750"/>
    <cellStyle name="Процентный 5 185 4" xfId="26387"/>
    <cellStyle name="Процентный 5 185 4 2" xfId="58430"/>
    <cellStyle name="Процентный 5 185 5" xfId="37070"/>
    <cellStyle name="Процентный 5 186" xfId="5057"/>
    <cellStyle name="Процентный 5 186 2" xfId="10398"/>
    <cellStyle name="Процентный 5 186 2 2" xfId="21078"/>
    <cellStyle name="Процентный 5 186 2 2 2" xfId="53122"/>
    <cellStyle name="Процентный 5 186 2 3" xfId="31759"/>
    <cellStyle name="Процентный 5 186 2 3 2" xfId="63802"/>
    <cellStyle name="Процентный 5 186 2 4" xfId="42442"/>
    <cellStyle name="Процентный 5 186 3" xfId="15738"/>
    <cellStyle name="Процентный 5 186 3 2" xfId="47782"/>
    <cellStyle name="Процентный 5 186 4" xfId="26419"/>
    <cellStyle name="Процентный 5 186 4 2" xfId="58462"/>
    <cellStyle name="Процентный 5 186 5" xfId="37102"/>
    <cellStyle name="Процентный 5 187" xfId="5089"/>
    <cellStyle name="Процентный 5 187 2" xfId="10430"/>
    <cellStyle name="Процентный 5 187 2 2" xfId="21110"/>
    <cellStyle name="Процентный 5 187 2 2 2" xfId="53154"/>
    <cellStyle name="Процентный 5 187 2 3" xfId="31791"/>
    <cellStyle name="Процентный 5 187 2 3 2" xfId="63834"/>
    <cellStyle name="Процентный 5 187 2 4" xfId="42474"/>
    <cellStyle name="Процентный 5 187 3" xfId="15770"/>
    <cellStyle name="Процентный 5 187 3 2" xfId="47814"/>
    <cellStyle name="Процентный 5 187 4" xfId="26451"/>
    <cellStyle name="Процентный 5 187 4 2" xfId="58494"/>
    <cellStyle name="Процентный 5 187 5" xfId="37134"/>
    <cellStyle name="Процентный 5 188" xfId="5121"/>
    <cellStyle name="Процентный 5 188 2" xfId="10462"/>
    <cellStyle name="Процентный 5 188 2 2" xfId="21142"/>
    <cellStyle name="Процентный 5 188 2 2 2" xfId="53186"/>
    <cellStyle name="Процентный 5 188 2 3" xfId="31823"/>
    <cellStyle name="Процентный 5 188 2 3 2" xfId="63866"/>
    <cellStyle name="Процентный 5 188 2 4" xfId="42506"/>
    <cellStyle name="Процентный 5 188 3" xfId="15802"/>
    <cellStyle name="Процентный 5 188 3 2" xfId="47846"/>
    <cellStyle name="Процентный 5 188 4" xfId="26483"/>
    <cellStyle name="Процентный 5 188 4 2" xfId="58526"/>
    <cellStyle name="Процентный 5 188 5" xfId="37166"/>
    <cellStyle name="Процентный 5 189" xfId="5153"/>
    <cellStyle name="Процентный 5 189 2" xfId="10494"/>
    <cellStyle name="Процентный 5 189 2 2" xfId="21174"/>
    <cellStyle name="Процентный 5 189 2 2 2" xfId="53218"/>
    <cellStyle name="Процентный 5 189 2 3" xfId="31855"/>
    <cellStyle name="Процентный 5 189 2 3 2" xfId="63898"/>
    <cellStyle name="Процентный 5 189 2 4" xfId="42538"/>
    <cellStyle name="Процентный 5 189 3" xfId="15834"/>
    <cellStyle name="Процентный 5 189 3 2" xfId="47878"/>
    <cellStyle name="Процентный 5 189 4" xfId="26515"/>
    <cellStyle name="Процентный 5 189 4 2" xfId="58558"/>
    <cellStyle name="Процентный 5 189 5" xfId="37198"/>
    <cellStyle name="Процентный 5 19" xfId="183"/>
    <cellStyle name="Процентный 5 19 2" xfId="651"/>
    <cellStyle name="Процентный 5 19 2 2" xfId="5994"/>
    <cellStyle name="Процентный 5 19 2 2 2" xfId="16674"/>
    <cellStyle name="Процентный 5 19 2 2 2 2" xfId="48718"/>
    <cellStyle name="Процентный 5 19 2 2 3" xfId="27355"/>
    <cellStyle name="Процентный 5 19 2 2 3 2" xfId="59398"/>
    <cellStyle name="Процентный 5 19 2 2 4" xfId="38038"/>
    <cellStyle name="Процентный 5 19 2 3" xfId="11334"/>
    <cellStyle name="Процентный 5 19 2 3 2" xfId="43378"/>
    <cellStyle name="Процентный 5 19 2 4" xfId="22015"/>
    <cellStyle name="Процентный 5 19 2 4 2" xfId="54058"/>
    <cellStyle name="Процентный 5 19 2 5" xfId="32698"/>
    <cellStyle name="Процентный 5 19 3" xfId="5527"/>
    <cellStyle name="Процентный 5 19 3 2" xfId="16207"/>
    <cellStyle name="Процентный 5 19 3 2 2" xfId="48251"/>
    <cellStyle name="Процентный 5 19 3 3" xfId="26888"/>
    <cellStyle name="Процентный 5 19 3 3 2" xfId="58931"/>
    <cellStyle name="Процентный 5 19 3 4" xfId="37571"/>
    <cellStyle name="Процентный 5 19 4" xfId="10867"/>
    <cellStyle name="Процентный 5 19 4 2" xfId="42911"/>
    <cellStyle name="Процентный 5 19 5" xfId="21548"/>
    <cellStyle name="Процентный 5 19 5 2" xfId="53591"/>
    <cellStyle name="Процентный 5 19 6" xfId="32231"/>
    <cellStyle name="Процентный 5 190" xfId="5185"/>
    <cellStyle name="Процентный 5 190 2" xfId="10526"/>
    <cellStyle name="Процентный 5 190 2 2" xfId="21206"/>
    <cellStyle name="Процентный 5 190 2 2 2" xfId="53250"/>
    <cellStyle name="Процентный 5 190 2 3" xfId="31887"/>
    <cellStyle name="Процентный 5 190 2 3 2" xfId="63930"/>
    <cellStyle name="Процентный 5 190 2 4" xfId="42570"/>
    <cellStyle name="Процентный 5 190 3" xfId="15866"/>
    <cellStyle name="Процентный 5 190 3 2" xfId="47910"/>
    <cellStyle name="Процентный 5 190 4" xfId="26547"/>
    <cellStyle name="Процентный 5 190 4 2" xfId="58590"/>
    <cellStyle name="Процентный 5 190 5" xfId="37230"/>
    <cellStyle name="Процентный 5 191" xfId="5217"/>
    <cellStyle name="Процентный 5 191 2" xfId="10558"/>
    <cellStyle name="Процентный 5 191 2 2" xfId="21238"/>
    <cellStyle name="Процентный 5 191 2 2 2" xfId="53282"/>
    <cellStyle name="Процентный 5 191 2 3" xfId="31919"/>
    <cellStyle name="Процентный 5 191 2 3 2" xfId="63962"/>
    <cellStyle name="Процентный 5 191 2 4" xfId="42602"/>
    <cellStyle name="Процентный 5 191 3" xfId="15898"/>
    <cellStyle name="Процентный 5 191 3 2" xfId="47942"/>
    <cellStyle name="Процентный 5 191 4" xfId="26579"/>
    <cellStyle name="Процентный 5 191 4 2" xfId="58622"/>
    <cellStyle name="Процентный 5 191 5" xfId="37262"/>
    <cellStyle name="Процентный 5 192" xfId="5249"/>
    <cellStyle name="Процентный 5 192 2" xfId="10590"/>
    <cellStyle name="Процентный 5 192 2 2" xfId="21270"/>
    <cellStyle name="Процентный 5 192 2 2 2" xfId="53314"/>
    <cellStyle name="Процентный 5 192 2 3" xfId="31951"/>
    <cellStyle name="Процентный 5 192 2 3 2" xfId="63994"/>
    <cellStyle name="Процентный 5 192 2 4" xfId="42634"/>
    <cellStyle name="Процентный 5 192 3" xfId="15930"/>
    <cellStyle name="Процентный 5 192 3 2" xfId="47974"/>
    <cellStyle name="Процентный 5 192 4" xfId="26611"/>
    <cellStyle name="Процентный 5 192 4 2" xfId="58654"/>
    <cellStyle name="Процентный 5 192 5" xfId="37294"/>
    <cellStyle name="Процентный 5 193" xfId="5281"/>
    <cellStyle name="Процентный 5 193 2" xfId="10622"/>
    <cellStyle name="Процентный 5 193 2 2" xfId="21302"/>
    <cellStyle name="Процентный 5 193 2 2 2" xfId="53346"/>
    <cellStyle name="Процентный 5 193 2 3" xfId="31983"/>
    <cellStyle name="Процентный 5 193 2 3 2" xfId="64026"/>
    <cellStyle name="Процентный 5 193 2 4" xfId="42666"/>
    <cellStyle name="Процентный 5 193 3" xfId="15962"/>
    <cellStyle name="Процентный 5 193 3 2" xfId="48006"/>
    <cellStyle name="Процентный 5 193 4" xfId="26643"/>
    <cellStyle name="Процентный 5 193 4 2" xfId="58686"/>
    <cellStyle name="Процентный 5 193 5" xfId="37326"/>
    <cellStyle name="Процентный 5 194" xfId="5313"/>
    <cellStyle name="Процентный 5 194 2" xfId="10654"/>
    <cellStyle name="Процентный 5 194 2 2" xfId="21334"/>
    <cellStyle name="Процентный 5 194 2 2 2" xfId="53378"/>
    <cellStyle name="Процентный 5 194 2 3" xfId="32015"/>
    <cellStyle name="Процентный 5 194 2 3 2" xfId="64058"/>
    <cellStyle name="Процентный 5 194 2 4" xfId="42698"/>
    <cellStyle name="Процентный 5 194 3" xfId="15994"/>
    <cellStyle name="Процентный 5 194 3 2" xfId="48038"/>
    <cellStyle name="Процентный 5 194 4" xfId="26675"/>
    <cellStyle name="Процентный 5 194 4 2" xfId="58718"/>
    <cellStyle name="Процентный 5 194 5" xfId="37358"/>
    <cellStyle name="Процентный 5 195" xfId="5345"/>
    <cellStyle name="Процентный 5 195 2" xfId="10686"/>
    <cellStyle name="Процентный 5 195 2 2" xfId="21366"/>
    <cellStyle name="Процентный 5 195 2 2 2" xfId="53410"/>
    <cellStyle name="Процентный 5 195 2 3" xfId="32047"/>
    <cellStyle name="Процентный 5 195 2 3 2" xfId="64090"/>
    <cellStyle name="Процентный 5 195 2 4" xfId="42730"/>
    <cellStyle name="Процентный 5 195 3" xfId="16026"/>
    <cellStyle name="Процентный 5 195 3 2" xfId="48070"/>
    <cellStyle name="Процентный 5 195 4" xfId="26707"/>
    <cellStyle name="Процентный 5 195 4 2" xfId="58750"/>
    <cellStyle name="Процентный 5 195 5" xfId="37390"/>
    <cellStyle name="Процентный 5 196" xfId="5383"/>
    <cellStyle name="Процентный 5 196 2" xfId="16063"/>
    <cellStyle name="Процентный 5 196 2 2" xfId="48107"/>
    <cellStyle name="Процентный 5 196 3" xfId="26744"/>
    <cellStyle name="Процентный 5 196 3 2" xfId="58787"/>
    <cellStyle name="Процентный 5 196 4" xfId="37427"/>
    <cellStyle name="Процентный 5 197" xfId="10723"/>
    <cellStyle name="Процентный 5 197 2" xfId="42767"/>
    <cellStyle name="Процентный 5 198" xfId="21404"/>
    <cellStyle name="Процентный 5 198 2" xfId="53447"/>
    <cellStyle name="Процентный 5 199" xfId="32087"/>
    <cellStyle name="Процентный 5 2" xfId="53"/>
    <cellStyle name="Процентный 5 2 10" xfId="157"/>
    <cellStyle name="Процентный 5 2 10 2" xfId="625"/>
    <cellStyle name="Процентный 5 2 10 2 2" xfId="5968"/>
    <cellStyle name="Процентный 5 2 10 2 2 2" xfId="16648"/>
    <cellStyle name="Процентный 5 2 10 2 2 2 2" xfId="48692"/>
    <cellStyle name="Процентный 5 2 10 2 2 3" xfId="27329"/>
    <cellStyle name="Процентный 5 2 10 2 2 3 2" xfId="59372"/>
    <cellStyle name="Процентный 5 2 10 2 2 4" xfId="38012"/>
    <cellStyle name="Процентный 5 2 10 2 3" xfId="11308"/>
    <cellStyle name="Процентный 5 2 10 2 3 2" xfId="43352"/>
    <cellStyle name="Процентный 5 2 10 2 4" xfId="21989"/>
    <cellStyle name="Процентный 5 2 10 2 4 2" xfId="54032"/>
    <cellStyle name="Процентный 5 2 10 2 5" xfId="32672"/>
    <cellStyle name="Процентный 5 2 10 3" xfId="5501"/>
    <cellStyle name="Процентный 5 2 10 3 2" xfId="16181"/>
    <cellStyle name="Процентный 5 2 10 3 2 2" xfId="48225"/>
    <cellStyle name="Процентный 5 2 10 3 3" xfId="26862"/>
    <cellStyle name="Процентный 5 2 10 3 3 2" xfId="58905"/>
    <cellStyle name="Процентный 5 2 10 3 4" xfId="37545"/>
    <cellStyle name="Процентный 5 2 10 4" xfId="10841"/>
    <cellStyle name="Процентный 5 2 10 4 2" xfId="42885"/>
    <cellStyle name="Процентный 5 2 10 5" xfId="21522"/>
    <cellStyle name="Процентный 5 2 10 5 2" xfId="53565"/>
    <cellStyle name="Процентный 5 2 10 6" xfId="32205"/>
    <cellStyle name="Процентный 5 2 100" xfId="2494"/>
    <cellStyle name="Процентный 5 2 100 2" xfId="7836"/>
    <cellStyle name="Процентный 5 2 100 2 2" xfId="18516"/>
    <cellStyle name="Процентный 5 2 100 2 2 2" xfId="50560"/>
    <cellStyle name="Процентный 5 2 100 2 3" xfId="29197"/>
    <cellStyle name="Процентный 5 2 100 2 3 2" xfId="61240"/>
    <cellStyle name="Процентный 5 2 100 2 4" xfId="39880"/>
    <cellStyle name="Процентный 5 2 100 3" xfId="13176"/>
    <cellStyle name="Процентный 5 2 100 3 2" xfId="45220"/>
    <cellStyle name="Процентный 5 2 100 4" xfId="23857"/>
    <cellStyle name="Процентный 5 2 100 4 2" xfId="55900"/>
    <cellStyle name="Процентный 5 2 100 5" xfId="34540"/>
    <cellStyle name="Процентный 5 2 101" xfId="2528"/>
    <cellStyle name="Процентный 5 2 101 2" xfId="7870"/>
    <cellStyle name="Процентный 5 2 101 2 2" xfId="18550"/>
    <cellStyle name="Процентный 5 2 101 2 2 2" xfId="50594"/>
    <cellStyle name="Процентный 5 2 101 2 3" xfId="29231"/>
    <cellStyle name="Процентный 5 2 101 2 3 2" xfId="61274"/>
    <cellStyle name="Процентный 5 2 101 2 4" xfId="39914"/>
    <cellStyle name="Процентный 5 2 101 3" xfId="13210"/>
    <cellStyle name="Процентный 5 2 101 3 2" xfId="45254"/>
    <cellStyle name="Процентный 5 2 101 4" xfId="23891"/>
    <cellStyle name="Процентный 5 2 101 4 2" xfId="55934"/>
    <cellStyle name="Процентный 5 2 101 5" xfId="34574"/>
    <cellStyle name="Процентный 5 2 102" xfId="2560"/>
    <cellStyle name="Процентный 5 2 102 2" xfId="7902"/>
    <cellStyle name="Процентный 5 2 102 2 2" xfId="18582"/>
    <cellStyle name="Процентный 5 2 102 2 2 2" xfId="50626"/>
    <cellStyle name="Процентный 5 2 102 2 3" xfId="29263"/>
    <cellStyle name="Процентный 5 2 102 2 3 2" xfId="61306"/>
    <cellStyle name="Процентный 5 2 102 2 4" xfId="39946"/>
    <cellStyle name="Процентный 5 2 102 3" xfId="13242"/>
    <cellStyle name="Процентный 5 2 102 3 2" xfId="45286"/>
    <cellStyle name="Процентный 5 2 102 4" xfId="23923"/>
    <cellStyle name="Процентный 5 2 102 4 2" xfId="55966"/>
    <cellStyle name="Процентный 5 2 102 5" xfId="34606"/>
    <cellStyle name="Процентный 5 2 103" xfId="2592"/>
    <cellStyle name="Процентный 5 2 103 2" xfId="7934"/>
    <cellStyle name="Процентный 5 2 103 2 2" xfId="18614"/>
    <cellStyle name="Процентный 5 2 103 2 2 2" xfId="50658"/>
    <cellStyle name="Процентный 5 2 103 2 3" xfId="29295"/>
    <cellStyle name="Процентный 5 2 103 2 3 2" xfId="61338"/>
    <cellStyle name="Процентный 5 2 103 2 4" xfId="39978"/>
    <cellStyle name="Процентный 5 2 103 3" xfId="13274"/>
    <cellStyle name="Процентный 5 2 103 3 2" xfId="45318"/>
    <cellStyle name="Процентный 5 2 103 4" xfId="23955"/>
    <cellStyle name="Процентный 5 2 103 4 2" xfId="55998"/>
    <cellStyle name="Процентный 5 2 103 5" xfId="34638"/>
    <cellStyle name="Процентный 5 2 104" xfId="2624"/>
    <cellStyle name="Процентный 5 2 104 2" xfId="7966"/>
    <cellStyle name="Процентный 5 2 104 2 2" xfId="18646"/>
    <cellStyle name="Процентный 5 2 104 2 2 2" xfId="50690"/>
    <cellStyle name="Процентный 5 2 104 2 3" xfId="29327"/>
    <cellStyle name="Процентный 5 2 104 2 3 2" xfId="61370"/>
    <cellStyle name="Процентный 5 2 104 2 4" xfId="40010"/>
    <cellStyle name="Процентный 5 2 104 3" xfId="13306"/>
    <cellStyle name="Процентный 5 2 104 3 2" xfId="45350"/>
    <cellStyle name="Процентный 5 2 104 4" xfId="23987"/>
    <cellStyle name="Процентный 5 2 104 4 2" xfId="56030"/>
    <cellStyle name="Процентный 5 2 104 5" xfId="34670"/>
    <cellStyle name="Процентный 5 2 105" xfId="2656"/>
    <cellStyle name="Процентный 5 2 105 2" xfId="7998"/>
    <cellStyle name="Процентный 5 2 105 2 2" xfId="18678"/>
    <cellStyle name="Процентный 5 2 105 2 2 2" xfId="50722"/>
    <cellStyle name="Процентный 5 2 105 2 3" xfId="29359"/>
    <cellStyle name="Процентный 5 2 105 2 3 2" xfId="61402"/>
    <cellStyle name="Процентный 5 2 105 2 4" xfId="40042"/>
    <cellStyle name="Процентный 5 2 105 3" xfId="13338"/>
    <cellStyle name="Процентный 5 2 105 3 2" xfId="45382"/>
    <cellStyle name="Процентный 5 2 105 4" xfId="24019"/>
    <cellStyle name="Процентный 5 2 105 4 2" xfId="56062"/>
    <cellStyle name="Процентный 5 2 105 5" xfId="34702"/>
    <cellStyle name="Процентный 5 2 106" xfId="2688"/>
    <cellStyle name="Процентный 5 2 106 2" xfId="8030"/>
    <cellStyle name="Процентный 5 2 106 2 2" xfId="18710"/>
    <cellStyle name="Процентный 5 2 106 2 2 2" xfId="50754"/>
    <cellStyle name="Процентный 5 2 106 2 3" xfId="29391"/>
    <cellStyle name="Процентный 5 2 106 2 3 2" xfId="61434"/>
    <cellStyle name="Процентный 5 2 106 2 4" xfId="40074"/>
    <cellStyle name="Процентный 5 2 106 3" xfId="13370"/>
    <cellStyle name="Процентный 5 2 106 3 2" xfId="45414"/>
    <cellStyle name="Процентный 5 2 106 4" xfId="24051"/>
    <cellStyle name="Процентный 5 2 106 4 2" xfId="56094"/>
    <cellStyle name="Процентный 5 2 106 5" xfId="34734"/>
    <cellStyle name="Процентный 5 2 107" xfId="2720"/>
    <cellStyle name="Процентный 5 2 107 2" xfId="8062"/>
    <cellStyle name="Процентный 5 2 107 2 2" xfId="18742"/>
    <cellStyle name="Процентный 5 2 107 2 2 2" xfId="50786"/>
    <cellStyle name="Процентный 5 2 107 2 3" xfId="29423"/>
    <cellStyle name="Процентный 5 2 107 2 3 2" xfId="61466"/>
    <cellStyle name="Процентный 5 2 107 2 4" xfId="40106"/>
    <cellStyle name="Процентный 5 2 107 3" xfId="13402"/>
    <cellStyle name="Процентный 5 2 107 3 2" xfId="45446"/>
    <cellStyle name="Процентный 5 2 107 4" xfId="24083"/>
    <cellStyle name="Процентный 5 2 107 4 2" xfId="56126"/>
    <cellStyle name="Процентный 5 2 107 5" xfId="34766"/>
    <cellStyle name="Процентный 5 2 108" xfId="2754"/>
    <cellStyle name="Процентный 5 2 108 2" xfId="8096"/>
    <cellStyle name="Процентный 5 2 108 2 2" xfId="18776"/>
    <cellStyle name="Процентный 5 2 108 2 2 2" xfId="50820"/>
    <cellStyle name="Процентный 5 2 108 2 3" xfId="29457"/>
    <cellStyle name="Процентный 5 2 108 2 3 2" xfId="61500"/>
    <cellStyle name="Процентный 5 2 108 2 4" xfId="40140"/>
    <cellStyle name="Процентный 5 2 108 3" xfId="13436"/>
    <cellStyle name="Процентный 5 2 108 3 2" xfId="45480"/>
    <cellStyle name="Процентный 5 2 108 4" xfId="24117"/>
    <cellStyle name="Процентный 5 2 108 4 2" xfId="56160"/>
    <cellStyle name="Процентный 5 2 108 5" xfId="34800"/>
    <cellStyle name="Процентный 5 2 109" xfId="2786"/>
    <cellStyle name="Процентный 5 2 109 2" xfId="8128"/>
    <cellStyle name="Процентный 5 2 109 2 2" xfId="18808"/>
    <cellStyle name="Процентный 5 2 109 2 2 2" xfId="50852"/>
    <cellStyle name="Процентный 5 2 109 2 3" xfId="29489"/>
    <cellStyle name="Процентный 5 2 109 2 3 2" xfId="61532"/>
    <cellStyle name="Процентный 5 2 109 2 4" xfId="40172"/>
    <cellStyle name="Процентный 5 2 109 3" xfId="13468"/>
    <cellStyle name="Процентный 5 2 109 3 2" xfId="45512"/>
    <cellStyle name="Процентный 5 2 109 4" xfId="24149"/>
    <cellStyle name="Процентный 5 2 109 4 2" xfId="56192"/>
    <cellStyle name="Процентный 5 2 109 5" xfId="34832"/>
    <cellStyle name="Процентный 5 2 11" xfId="167"/>
    <cellStyle name="Процентный 5 2 11 2" xfId="635"/>
    <cellStyle name="Процентный 5 2 11 2 2" xfId="5978"/>
    <cellStyle name="Процентный 5 2 11 2 2 2" xfId="16658"/>
    <cellStyle name="Процентный 5 2 11 2 2 2 2" xfId="48702"/>
    <cellStyle name="Процентный 5 2 11 2 2 3" xfId="27339"/>
    <cellStyle name="Процентный 5 2 11 2 2 3 2" xfId="59382"/>
    <cellStyle name="Процентный 5 2 11 2 2 4" xfId="38022"/>
    <cellStyle name="Процентный 5 2 11 2 3" xfId="11318"/>
    <cellStyle name="Процентный 5 2 11 2 3 2" xfId="43362"/>
    <cellStyle name="Процентный 5 2 11 2 4" xfId="21999"/>
    <cellStyle name="Процентный 5 2 11 2 4 2" xfId="54042"/>
    <cellStyle name="Процентный 5 2 11 2 5" xfId="32682"/>
    <cellStyle name="Процентный 5 2 11 3" xfId="5511"/>
    <cellStyle name="Процентный 5 2 11 3 2" xfId="16191"/>
    <cellStyle name="Процентный 5 2 11 3 2 2" xfId="48235"/>
    <cellStyle name="Процентный 5 2 11 3 3" xfId="26872"/>
    <cellStyle name="Процентный 5 2 11 3 3 2" xfId="58915"/>
    <cellStyle name="Процентный 5 2 11 3 4" xfId="37555"/>
    <cellStyle name="Процентный 5 2 11 4" xfId="10851"/>
    <cellStyle name="Процентный 5 2 11 4 2" xfId="42895"/>
    <cellStyle name="Процентный 5 2 11 5" xfId="21532"/>
    <cellStyle name="Процентный 5 2 11 5 2" xfId="53575"/>
    <cellStyle name="Процентный 5 2 11 6" xfId="32215"/>
    <cellStyle name="Процентный 5 2 110" xfId="2818"/>
    <cellStyle name="Процентный 5 2 110 2" xfId="8160"/>
    <cellStyle name="Процентный 5 2 110 2 2" xfId="18840"/>
    <cellStyle name="Процентный 5 2 110 2 2 2" xfId="50884"/>
    <cellStyle name="Процентный 5 2 110 2 3" xfId="29521"/>
    <cellStyle name="Процентный 5 2 110 2 3 2" xfId="61564"/>
    <cellStyle name="Процентный 5 2 110 2 4" xfId="40204"/>
    <cellStyle name="Процентный 5 2 110 3" xfId="13500"/>
    <cellStyle name="Процентный 5 2 110 3 2" xfId="45544"/>
    <cellStyle name="Процентный 5 2 110 4" xfId="24181"/>
    <cellStyle name="Процентный 5 2 110 4 2" xfId="56224"/>
    <cellStyle name="Процентный 5 2 110 5" xfId="34864"/>
    <cellStyle name="Процентный 5 2 111" xfId="2850"/>
    <cellStyle name="Процентный 5 2 111 2" xfId="8192"/>
    <cellStyle name="Процентный 5 2 111 2 2" xfId="18872"/>
    <cellStyle name="Процентный 5 2 111 2 2 2" xfId="50916"/>
    <cellStyle name="Процентный 5 2 111 2 3" xfId="29553"/>
    <cellStyle name="Процентный 5 2 111 2 3 2" xfId="61596"/>
    <cellStyle name="Процентный 5 2 111 2 4" xfId="40236"/>
    <cellStyle name="Процентный 5 2 111 3" xfId="13532"/>
    <cellStyle name="Процентный 5 2 111 3 2" xfId="45576"/>
    <cellStyle name="Процентный 5 2 111 4" xfId="24213"/>
    <cellStyle name="Процентный 5 2 111 4 2" xfId="56256"/>
    <cellStyle name="Процентный 5 2 111 5" xfId="34896"/>
    <cellStyle name="Процентный 5 2 112" xfId="2882"/>
    <cellStyle name="Процентный 5 2 112 2" xfId="8224"/>
    <cellStyle name="Процентный 5 2 112 2 2" xfId="18904"/>
    <cellStyle name="Процентный 5 2 112 2 2 2" xfId="50948"/>
    <cellStyle name="Процентный 5 2 112 2 3" xfId="29585"/>
    <cellStyle name="Процентный 5 2 112 2 3 2" xfId="61628"/>
    <cellStyle name="Процентный 5 2 112 2 4" xfId="40268"/>
    <cellStyle name="Процентный 5 2 112 3" xfId="13564"/>
    <cellStyle name="Процентный 5 2 112 3 2" xfId="45608"/>
    <cellStyle name="Процентный 5 2 112 4" xfId="24245"/>
    <cellStyle name="Процентный 5 2 112 4 2" xfId="56288"/>
    <cellStyle name="Процентный 5 2 112 5" xfId="34928"/>
    <cellStyle name="Процентный 5 2 113" xfId="2914"/>
    <cellStyle name="Процентный 5 2 113 2" xfId="8256"/>
    <cellStyle name="Процентный 5 2 113 2 2" xfId="18936"/>
    <cellStyle name="Процентный 5 2 113 2 2 2" xfId="50980"/>
    <cellStyle name="Процентный 5 2 113 2 3" xfId="29617"/>
    <cellStyle name="Процентный 5 2 113 2 3 2" xfId="61660"/>
    <cellStyle name="Процентный 5 2 113 2 4" xfId="40300"/>
    <cellStyle name="Процентный 5 2 113 3" xfId="13596"/>
    <cellStyle name="Процентный 5 2 113 3 2" xfId="45640"/>
    <cellStyle name="Процентный 5 2 113 4" xfId="24277"/>
    <cellStyle name="Процентный 5 2 113 4 2" xfId="56320"/>
    <cellStyle name="Процентный 5 2 113 5" xfId="34960"/>
    <cellStyle name="Процентный 5 2 114" xfId="2946"/>
    <cellStyle name="Процентный 5 2 114 2" xfId="8288"/>
    <cellStyle name="Процентный 5 2 114 2 2" xfId="18968"/>
    <cellStyle name="Процентный 5 2 114 2 2 2" xfId="51012"/>
    <cellStyle name="Процентный 5 2 114 2 3" xfId="29649"/>
    <cellStyle name="Процентный 5 2 114 2 3 2" xfId="61692"/>
    <cellStyle name="Процентный 5 2 114 2 4" xfId="40332"/>
    <cellStyle name="Процентный 5 2 114 3" xfId="13628"/>
    <cellStyle name="Процентный 5 2 114 3 2" xfId="45672"/>
    <cellStyle name="Процентный 5 2 114 4" xfId="24309"/>
    <cellStyle name="Процентный 5 2 114 4 2" xfId="56352"/>
    <cellStyle name="Процентный 5 2 114 5" xfId="34992"/>
    <cellStyle name="Процентный 5 2 115" xfId="2978"/>
    <cellStyle name="Процентный 5 2 115 2" xfId="8320"/>
    <cellStyle name="Процентный 5 2 115 2 2" xfId="19000"/>
    <cellStyle name="Процентный 5 2 115 2 2 2" xfId="51044"/>
    <cellStyle name="Процентный 5 2 115 2 3" xfId="29681"/>
    <cellStyle name="Процентный 5 2 115 2 3 2" xfId="61724"/>
    <cellStyle name="Процентный 5 2 115 2 4" xfId="40364"/>
    <cellStyle name="Процентный 5 2 115 3" xfId="13660"/>
    <cellStyle name="Процентный 5 2 115 3 2" xfId="45704"/>
    <cellStyle name="Процентный 5 2 115 4" xfId="24341"/>
    <cellStyle name="Процентный 5 2 115 4 2" xfId="56384"/>
    <cellStyle name="Процентный 5 2 115 5" xfId="35024"/>
    <cellStyle name="Процентный 5 2 116" xfId="3010"/>
    <cellStyle name="Процентный 5 2 116 2" xfId="8352"/>
    <cellStyle name="Процентный 5 2 116 2 2" xfId="19032"/>
    <cellStyle name="Процентный 5 2 116 2 2 2" xfId="51076"/>
    <cellStyle name="Процентный 5 2 116 2 3" xfId="29713"/>
    <cellStyle name="Процентный 5 2 116 2 3 2" xfId="61756"/>
    <cellStyle name="Процентный 5 2 116 2 4" xfId="40396"/>
    <cellStyle name="Процентный 5 2 116 3" xfId="13692"/>
    <cellStyle name="Процентный 5 2 116 3 2" xfId="45736"/>
    <cellStyle name="Процентный 5 2 116 4" xfId="24373"/>
    <cellStyle name="Процентный 5 2 116 4 2" xfId="56416"/>
    <cellStyle name="Процентный 5 2 116 5" xfId="35056"/>
    <cellStyle name="Процентный 5 2 117" xfId="3042"/>
    <cellStyle name="Процентный 5 2 117 2" xfId="8384"/>
    <cellStyle name="Процентный 5 2 117 2 2" xfId="19064"/>
    <cellStyle name="Процентный 5 2 117 2 2 2" xfId="51108"/>
    <cellStyle name="Процентный 5 2 117 2 3" xfId="29745"/>
    <cellStyle name="Процентный 5 2 117 2 3 2" xfId="61788"/>
    <cellStyle name="Процентный 5 2 117 2 4" xfId="40428"/>
    <cellStyle name="Процентный 5 2 117 3" xfId="13724"/>
    <cellStyle name="Процентный 5 2 117 3 2" xfId="45768"/>
    <cellStyle name="Процентный 5 2 117 4" xfId="24405"/>
    <cellStyle name="Процентный 5 2 117 4 2" xfId="56448"/>
    <cellStyle name="Процентный 5 2 117 5" xfId="35088"/>
    <cellStyle name="Процентный 5 2 118" xfId="3074"/>
    <cellStyle name="Процентный 5 2 118 2" xfId="8416"/>
    <cellStyle name="Процентный 5 2 118 2 2" xfId="19096"/>
    <cellStyle name="Процентный 5 2 118 2 2 2" xfId="51140"/>
    <cellStyle name="Процентный 5 2 118 2 3" xfId="29777"/>
    <cellStyle name="Процентный 5 2 118 2 3 2" xfId="61820"/>
    <cellStyle name="Процентный 5 2 118 2 4" xfId="40460"/>
    <cellStyle name="Процентный 5 2 118 3" xfId="13756"/>
    <cellStyle name="Процентный 5 2 118 3 2" xfId="45800"/>
    <cellStyle name="Процентный 5 2 118 4" xfId="24437"/>
    <cellStyle name="Процентный 5 2 118 4 2" xfId="56480"/>
    <cellStyle name="Процентный 5 2 118 5" xfId="35120"/>
    <cellStyle name="Процентный 5 2 119" xfId="3107"/>
    <cellStyle name="Процентный 5 2 119 2" xfId="8448"/>
    <cellStyle name="Процентный 5 2 119 2 2" xfId="19128"/>
    <cellStyle name="Процентный 5 2 119 2 2 2" xfId="51172"/>
    <cellStyle name="Процентный 5 2 119 2 3" xfId="29809"/>
    <cellStyle name="Процентный 5 2 119 2 3 2" xfId="61852"/>
    <cellStyle name="Процентный 5 2 119 2 4" xfId="40492"/>
    <cellStyle name="Процентный 5 2 119 3" xfId="13788"/>
    <cellStyle name="Процентный 5 2 119 3 2" xfId="45832"/>
    <cellStyle name="Процентный 5 2 119 4" xfId="24469"/>
    <cellStyle name="Процентный 5 2 119 4 2" xfId="56512"/>
    <cellStyle name="Процентный 5 2 119 5" xfId="35152"/>
    <cellStyle name="Процентный 5 2 12" xfId="177"/>
    <cellStyle name="Процентный 5 2 12 2" xfId="645"/>
    <cellStyle name="Процентный 5 2 12 2 2" xfId="5988"/>
    <cellStyle name="Процентный 5 2 12 2 2 2" xfId="16668"/>
    <cellStyle name="Процентный 5 2 12 2 2 2 2" xfId="48712"/>
    <cellStyle name="Процентный 5 2 12 2 2 3" xfId="27349"/>
    <cellStyle name="Процентный 5 2 12 2 2 3 2" xfId="59392"/>
    <cellStyle name="Процентный 5 2 12 2 2 4" xfId="38032"/>
    <cellStyle name="Процентный 5 2 12 2 3" xfId="11328"/>
    <cellStyle name="Процентный 5 2 12 2 3 2" xfId="43372"/>
    <cellStyle name="Процентный 5 2 12 2 4" xfId="22009"/>
    <cellStyle name="Процентный 5 2 12 2 4 2" xfId="54052"/>
    <cellStyle name="Процентный 5 2 12 2 5" xfId="32692"/>
    <cellStyle name="Процентный 5 2 12 3" xfId="5521"/>
    <cellStyle name="Процентный 5 2 12 3 2" xfId="16201"/>
    <cellStyle name="Процентный 5 2 12 3 2 2" xfId="48245"/>
    <cellStyle name="Процентный 5 2 12 3 3" xfId="26882"/>
    <cellStyle name="Процентный 5 2 12 3 3 2" xfId="58925"/>
    <cellStyle name="Процентный 5 2 12 3 4" xfId="37565"/>
    <cellStyle name="Процентный 5 2 12 4" xfId="10861"/>
    <cellStyle name="Процентный 5 2 12 4 2" xfId="42905"/>
    <cellStyle name="Процентный 5 2 12 5" xfId="21542"/>
    <cellStyle name="Процентный 5 2 12 5 2" xfId="53585"/>
    <cellStyle name="Процентный 5 2 12 6" xfId="32225"/>
    <cellStyle name="Процентный 5 2 120" xfId="3139"/>
    <cellStyle name="Процентный 5 2 120 2" xfId="8480"/>
    <cellStyle name="Процентный 5 2 120 2 2" xfId="19160"/>
    <cellStyle name="Процентный 5 2 120 2 2 2" xfId="51204"/>
    <cellStyle name="Процентный 5 2 120 2 3" xfId="29841"/>
    <cellStyle name="Процентный 5 2 120 2 3 2" xfId="61884"/>
    <cellStyle name="Процентный 5 2 120 2 4" xfId="40524"/>
    <cellStyle name="Процентный 5 2 120 3" xfId="13820"/>
    <cellStyle name="Процентный 5 2 120 3 2" xfId="45864"/>
    <cellStyle name="Процентный 5 2 120 4" xfId="24501"/>
    <cellStyle name="Процентный 5 2 120 4 2" xfId="56544"/>
    <cellStyle name="Процентный 5 2 120 5" xfId="35184"/>
    <cellStyle name="Процентный 5 2 121" xfId="3171"/>
    <cellStyle name="Процентный 5 2 121 2" xfId="8512"/>
    <cellStyle name="Процентный 5 2 121 2 2" xfId="19192"/>
    <cellStyle name="Процентный 5 2 121 2 2 2" xfId="51236"/>
    <cellStyle name="Процентный 5 2 121 2 3" xfId="29873"/>
    <cellStyle name="Процентный 5 2 121 2 3 2" xfId="61916"/>
    <cellStyle name="Процентный 5 2 121 2 4" xfId="40556"/>
    <cellStyle name="Процентный 5 2 121 3" xfId="13852"/>
    <cellStyle name="Процентный 5 2 121 3 2" xfId="45896"/>
    <cellStyle name="Процентный 5 2 121 4" xfId="24533"/>
    <cellStyle name="Процентный 5 2 121 4 2" xfId="56576"/>
    <cellStyle name="Процентный 5 2 121 5" xfId="35216"/>
    <cellStyle name="Процентный 5 2 122" xfId="3203"/>
    <cellStyle name="Процентный 5 2 122 2" xfId="8544"/>
    <cellStyle name="Процентный 5 2 122 2 2" xfId="19224"/>
    <cellStyle name="Процентный 5 2 122 2 2 2" xfId="51268"/>
    <cellStyle name="Процентный 5 2 122 2 3" xfId="29905"/>
    <cellStyle name="Процентный 5 2 122 2 3 2" xfId="61948"/>
    <cellStyle name="Процентный 5 2 122 2 4" xfId="40588"/>
    <cellStyle name="Процентный 5 2 122 3" xfId="13884"/>
    <cellStyle name="Процентный 5 2 122 3 2" xfId="45928"/>
    <cellStyle name="Процентный 5 2 122 4" xfId="24565"/>
    <cellStyle name="Процентный 5 2 122 4 2" xfId="56608"/>
    <cellStyle name="Процентный 5 2 122 5" xfId="35248"/>
    <cellStyle name="Процентный 5 2 123" xfId="3235"/>
    <cellStyle name="Процентный 5 2 123 2" xfId="8576"/>
    <cellStyle name="Процентный 5 2 123 2 2" xfId="19256"/>
    <cellStyle name="Процентный 5 2 123 2 2 2" xfId="51300"/>
    <cellStyle name="Процентный 5 2 123 2 3" xfId="29937"/>
    <cellStyle name="Процентный 5 2 123 2 3 2" xfId="61980"/>
    <cellStyle name="Процентный 5 2 123 2 4" xfId="40620"/>
    <cellStyle name="Процентный 5 2 123 3" xfId="13916"/>
    <cellStyle name="Процентный 5 2 123 3 2" xfId="45960"/>
    <cellStyle name="Процентный 5 2 123 4" xfId="24597"/>
    <cellStyle name="Процентный 5 2 123 4 2" xfId="56640"/>
    <cellStyle name="Процентный 5 2 123 5" xfId="35280"/>
    <cellStyle name="Процентный 5 2 124" xfId="3267"/>
    <cellStyle name="Процентный 5 2 124 2" xfId="8608"/>
    <cellStyle name="Процентный 5 2 124 2 2" xfId="19288"/>
    <cellStyle name="Процентный 5 2 124 2 2 2" xfId="51332"/>
    <cellStyle name="Процентный 5 2 124 2 3" xfId="29969"/>
    <cellStyle name="Процентный 5 2 124 2 3 2" xfId="62012"/>
    <cellStyle name="Процентный 5 2 124 2 4" xfId="40652"/>
    <cellStyle name="Процентный 5 2 124 3" xfId="13948"/>
    <cellStyle name="Процентный 5 2 124 3 2" xfId="45992"/>
    <cellStyle name="Процентный 5 2 124 4" xfId="24629"/>
    <cellStyle name="Процентный 5 2 124 4 2" xfId="56672"/>
    <cellStyle name="Процентный 5 2 124 5" xfId="35312"/>
    <cellStyle name="Процентный 5 2 125" xfId="3299"/>
    <cellStyle name="Процентный 5 2 125 2" xfId="8640"/>
    <cellStyle name="Процентный 5 2 125 2 2" xfId="19320"/>
    <cellStyle name="Процентный 5 2 125 2 2 2" xfId="51364"/>
    <cellStyle name="Процентный 5 2 125 2 3" xfId="30001"/>
    <cellStyle name="Процентный 5 2 125 2 3 2" xfId="62044"/>
    <cellStyle name="Процентный 5 2 125 2 4" xfId="40684"/>
    <cellStyle name="Процентный 5 2 125 3" xfId="13980"/>
    <cellStyle name="Процентный 5 2 125 3 2" xfId="46024"/>
    <cellStyle name="Процентный 5 2 125 4" xfId="24661"/>
    <cellStyle name="Процентный 5 2 125 4 2" xfId="56704"/>
    <cellStyle name="Процентный 5 2 125 5" xfId="35344"/>
    <cellStyle name="Процентный 5 2 126" xfId="3331"/>
    <cellStyle name="Процентный 5 2 126 2" xfId="8672"/>
    <cellStyle name="Процентный 5 2 126 2 2" xfId="19352"/>
    <cellStyle name="Процентный 5 2 126 2 2 2" xfId="51396"/>
    <cellStyle name="Процентный 5 2 126 2 3" xfId="30033"/>
    <cellStyle name="Процентный 5 2 126 2 3 2" xfId="62076"/>
    <cellStyle name="Процентный 5 2 126 2 4" xfId="40716"/>
    <cellStyle name="Процентный 5 2 126 3" xfId="14012"/>
    <cellStyle name="Процентный 5 2 126 3 2" xfId="46056"/>
    <cellStyle name="Процентный 5 2 126 4" xfId="24693"/>
    <cellStyle name="Процентный 5 2 126 4 2" xfId="56736"/>
    <cellStyle name="Процентный 5 2 126 5" xfId="35376"/>
    <cellStyle name="Процентный 5 2 127" xfId="3363"/>
    <cellStyle name="Процентный 5 2 127 2" xfId="8704"/>
    <cellStyle name="Процентный 5 2 127 2 2" xfId="19384"/>
    <cellStyle name="Процентный 5 2 127 2 2 2" xfId="51428"/>
    <cellStyle name="Процентный 5 2 127 2 3" xfId="30065"/>
    <cellStyle name="Процентный 5 2 127 2 3 2" xfId="62108"/>
    <cellStyle name="Процентный 5 2 127 2 4" xfId="40748"/>
    <cellStyle name="Процентный 5 2 127 3" xfId="14044"/>
    <cellStyle name="Процентный 5 2 127 3 2" xfId="46088"/>
    <cellStyle name="Процентный 5 2 127 4" xfId="24725"/>
    <cellStyle name="Процентный 5 2 127 4 2" xfId="56768"/>
    <cellStyle name="Процентный 5 2 127 5" xfId="35408"/>
    <cellStyle name="Процентный 5 2 128" xfId="3395"/>
    <cellStyle name="Процентный 5 2 128 2" xfId="8736"/>
    <cellStyle name="Процентный 5 2 128 2 2" xfId="19416"/>
    <cellStyle name="Процентный 5 2 128 2 2 2" xfId="51460"/>
    <cellStyle name="Процентный 5 2 128 2 3" xfId="30097"/>
    <cellStyle name="Процентный 5 2 128 2 3 2" xfId="62140"/>
    <cellStyle name="Процентный 5 2 128 2 4" xfId="40780"/>
    <cellStyle name="Процентный 5 2 128 3" xfId="14076"/>
    <cellStyle name="Процентный 5 2 128 3 2" xfId="46120"/>
    <cellStyle name="Процентный 5 2 128 4" xfId="24757"/>
    <cellStyle name="Процентный 5 2 128 4 2" xfId="56800"/>
    <cellStyle name="Процентный 5 2 128 5" xfId="35440"/>
    <cellStyle name="Процентный 5 2 129" xfId="3427"/>
    <cellStyle name="Процентный 5 2 129 2" xfId="8768"/>
    <cellStyle name="Процентный 5 2 129 2 2" xfId="19448"/>
    <cellStyle name="Процентный 5 2 129 2 2 2" xfId="51492"/>
    <cellStyle name="Процентный 5 2 129 2 3" xfId="30129"/>
    <cellStyle name="Процентный 5 2 129 2 3 2" xfId="62172"/>
    <cellStyle name="Процентный 5 2 129 2 4" xfId="40812"/>
    <cellStyle name="Процентный 5 2 129 3" xfId="14108"/>
    <cellStyle name="Процентный 5 2 129 3 2" xfId="46152"/>
    <cellStyle name="Процентный 5 2 129 4" xfId="24789"/>
    <cellStyle name="Процентный 5 2 129 4 2" xfId="56832"/>
    <cellStyle name="Процентный 5 2 129 5" xfId="35472"/>
    <cellStyle name="Процентный 5 2 13" xfId="187"/>
    <cellStyle name="Процентный 5 2 13 2" xfId="655"/>
    <cellStyle name="Процентный 5 2 13 2 2" xfId="5998"/>
    <cellStyle name="Процентный 5 2 13 2 2 2" xfId="16678"/>
    <cellStyle name="Процентный 5 2 13 2 2 2 2" xfId="48722"/>
    <cellStyle name="Процентный 5 2 13 2 2 3" xfId="27359"/>
    <cellStyle name="Процентный 5 2 13 2 2 3 2" xfId="59402"/>
    <cellStyle name="Процентный 5 2 13 2 2 4" xfId="38042"/>
    <cellStyle name="Процентный 5 2 13 2 3" xfId="11338"/>
    <cellStyle name="Процентный 5 2 13 2 3 2" xfId="43382"/>
    <cellStyle name="Процентный 5 2 13 2 4" xfId="22019"/>
    <cellStyle name="Процентный 5 2 13 2 4 2" xfId="54062"/>
    <cellStyle name="Процентный 5 2 13 2 5" xfId="32702"/>
    <cellStyle name="Процентный 5 2 13 3" xfId="5531"/>
    <cellStyle name="Процентный 5 2 13 3 2" xfId="16211"/>
    <cellStyle name="Процентный 5 2 13 3 2 2" xfId="48255"/>
    <cellStyle name="Процентный 5 2 13 3 3" xfId="26892"/>
    <cellStyle name="Процентный 5 2 13 3 3 2" xfId="58935"/>
    <cellStyle name="Процентный 5 2 13 3 4" xfId="37575"/>
    <cellStyle name="Процентный 5 2 13 4" xfId="10871"/>
    <cellStyle name="Процентный 5 2 13 4 2" xfId="42915"/>
    <cellStyle name="Процентный 5 2 13 5" xfId="21552"/>
    <cellStyle name="Процентный 5 2 13 5 2" xfId="53595"/>
    <cellStyle name="Процентный 5 2 13 6" xfId="32235"/>
    <cellStyle name="Процентный 5 2 130" xfId="3459"/>
    <cellStyle name="Процентный 5 2 130 2" xfId="8800"/>
    <cellStyle name="Процентный 5 2 130 2 2" xfId="19480"/>
    <cellStyle name="Процентный 5 2 130 2 2 2" xfId="51524"/>
    <cellStyle name="Процентный 5 2 130 2 3" xfId="30161"/>
    <cellStyle name="Процентный 5 2 130 2 3 2" xfId="62204"/>
    <cellStyle name="Процентный 5 2 130 2 4" xfId="40844"/>
    <cellStyle name="Процентный 5 2 130 3" xfId="14140"/>
    <cellStyle name="Процентный 5 2 130 3 2" xfId="46184"/>
    <cellStyle name="Процентный 5 2 130 4" xfId="24821"/>
    <cellStyle name="Процентный 5 2 130 4 2" xfId="56864"/>
    <cellStyle name="Процентный 5 2 130 5" xfId="35504"/>
    <cellStyle name="Процентный 5 2 131" xfId="3491"/>
    <cellStyle name="Процентный 5 2 131 2" xfId="8832"/>
    <cellStyle name="Процентный 5 2 131 2 2" xfId="19512"/>
    <cellStyle name="Процентный 5 2 131 2 2 2" xfId="51556"/>
    <cellStyle name="Процентный 5 2 131 2 3" xfId="30193"/>
    <cellStyle name="Процентный 5 2 131 2 3 2" xfId="62236"/>
    <cellStyle name="Процентный 5 2 131 2 4" xfId="40876"/>
    <cellStyle name="Процентный 5 2 131 3" xfId="14172"/>
    <cellStyle name="Процентный 5 2 131 3 2" xfId="46216"/>
    <cellStyle name="Процентный 5 2 131 4" xfId="24853"/>
    <cellStyle name="Процентный 5 2 131 4 2" xfId="56896"/>
    <cellStyle name="Процентный 5 2 131 5" xfId="35536"/>
    <cellStyle name="Процентный 5 2 132" xfId="3523"/>
    <cellStyle name="Процентный 5 2 132 2" xfId="8864"/>
    <cellStyle name="Процентный 5 2 132 2 2" xfId="19544"/>
    <cellStyle name="Процентный 5 2 132 2 2 2" xfId="51588"/>
    <cellStyle name="Процентный 5 2 132 2 3" xfId="30225"/>
    <cellStyle name="Процентный 5 2 132 2 3 2" xfId="62268"/>
    <cellStyle name="Процентный 5 2 132 2 4" xfId="40908"/>
    <cellStyle name="Процентный 5 2 132 3" xfId="14204"/>
    <cellStyle name="Процентный 5 2 132 3 2" xfId="46248"/>
    <cellStyle name="Процентный 5 2 132 4" xfId="24885"/>
    <cellStyle name="Процентный 5 2 132 4 2" xfId="56928"/>
    <cellStyle name="Процентный 5 2 132 5" xfId="35568"/>
    <cellStyle name="Процентный 5 2 133" xfId="3555"/>
    <cellStyle name="Процентный 5 2 133 2" xfId="8896"/>
    <cellStyle name="Процентный 5 2 133 2 2" xfId="19576"/>
    <cellStyle name="Процентный 5 2 133 2 2 2" xfId="51620"/>
    <cellStyle name="Процентный 5 2 133 2 3" xfId="30257"/>
    <cellStyle name="Процентный 5 2 133 2 3 2" xfId="62300"/>
    <cellStyle name="Процентный 5 2 133 2 4" xfId="40940"/>
    <cellStyle name="Процентный 5 2 133 3" xfId="14236"/>
    <cellStyle name="Процентный 5 2 133 3 2" xfId="46280"/>
    <cellStyle name="Процентный 5 2 133 4" xfId="24917"/>
    <cellStyle name="Процентный 5 2 133 4 2" xfId="56960"/>
    <cellStyle name="Процентный 5 2 133 5" xfId="35600"/>
    <cellStyle name="Процентный 5 2 134" xfId="3587"/>
    <cellStyle name="Процентный 5 2 134 2" xfId="8928"/>
    <cellStyle name="Процентный 5 2 134 2 2" xfId="19608"/>
    <cellStyle name="Процентный 5 2 134 2 2 2" xfId="51652"/>
    <cellStyle name="Процентный 5 2 134 2 3" xfId="30289"/>
    <cellStyle name="Процентный 5 2 134 2 3 2" xfId="62332"/>
    <cellStyle name="Процентный 5 2 134 2 4" xfId="40972"/>
    <cellStyle name="Процентный 5 2 134 3" xfId="14268"/>
    <cellStyle name="Процентный 5 2 134 3 2" xfId="46312"/>
    <cellStyle name="Процентный 5 2 134 4" xfId="24949"/>
    <cellStyle name="Процентный 5 2 134 4 2" xfId="56992"/>
    <cellStyle name="Процентный 5 2 134 5" xfId="35632"/>
    <cellStyle name="Процентный 5 2 135" xfId="3619"/>
    <cellStyle name="Процентный 5 2 135 2" xfId="8960"/>
    <cellStyle name="Процентный 5 2 135 2 2" xfId="19640"/>
    <cellStyle name="Процентный 5 2 135 2 2 2" xfId="51684"/>
    <cellStyle name="Процентный 5 2 135 2 3" xfId="30321"/>
    <cellStyle name="Процентный 5 2 135 2 3 2" xfId="62364"/>
    <cellStyle name="Процентный 5 2 135 2 4" xfId="41004"/>
    <cellStyle name="Процентный 5 2 135 3" xfId="14300"/>
    <cellStyle name="Процентный 5 2 135 3 2" xfId="46344"/>
    <cellStyle name="Процентный 5 2 135 4" xfId="24981"/>
    <cellStyle name="Процентный 5 2 135 4 2" xfId="57024"/>
    <cellStyle name="Процентный 5 2 135 5" xfId="35664"/>
    <cellStyle name="Процентный 5 2 136" xfId="3651"/>
    <cellStyle name="Процентный 5 2 136 2" xfId="8992"/>
    <cellStyle name="Процентный 5 2 136 2 2" xfId="19672"/>
    <cellStyle name="Процентный 5 2 136 2 2 2" xfId="51716"/>
    <cellStyle name="Процентный 5 2 136 2 3" xfId="30353"/>
    <cellStyle name="Процентный 5 2 136 2 3 2" xfId="62396"/>
    <cellStyle name="Процентный 5 2 136 2 4" xfId="41036"/>
    <cellStyle name="Процентный 5 2 136 3" xfId="14332"/>
    <cellStyle name="Процентный 5 2 136 3 2" xfId="46376"/>
    <cellStyle name="Процентный 5 2 136 4" xfId="25013"/>
    <cellStyle name="Процентный 5 2 136 4 2" xfId="57056"/>
    <cellStyle name="Процентный 5 2 136 5" xfId="35696"/>
    <cellStyle name="Процентный 5 2 137" xfId="3683"/>
    <cellStyle name="Процентный 5 2 137 2" xfId="9024"/>
    <cellStyle name="Процентный 5 2 137 2 2" xfId="19704"/>
    <cellStyle name="Процентный 5 2 137 2 2 2" xfId="51748"/>
    <cellStyle name="Процентный 5 2 137 2 3" xfId="30385"/>
    <cellStyle name="Процентный 5 2 137 2 3 2" xfId="62428"/>
    <cellStyle name="Процентный 5 2 137 2 4" xfId="41068"/>
    <cellStyle name="Процентный 5 2 137 3" xfId="14364"/>
    <cellStyle name="Процентный 5 2 137 3 2" xfId="46408"/>
    <cellStyle name="Процентный 5 2 137 4" xfId="25045"/>
    <cellStyle name="Процентный 5 2 137 4 2" xfId="57088"/>
    <cellStyle name="Процентный 5 2 137 5" xfId="35728"/>
    <cellStyle name="Процентный 5 2 138" xfId="3715"/>
    <cellStyle name="Процентный 5 2 138 2" xfId="9056"/>
    <cellStyle name="Процентный 5 2 138 2 2" xfId="19736"/>
    <cellStyle name="Процентный 5 2 138 2 2 2" xfId="51780"/>
    <cellStyle name="Процентный 5 2 138 2 3" xfId="30417"/>
    <cellStyle name="Процентный 5 2 138 2 3 2" xfId="62460"/>
    <cellStyle name="Процентный 5 2 138 2 4" xfId="41100"/>
    <cellStyle name="Процентный 5 2 138 3" xfId="14396"/>
    <cellStyle name="Процентный 5 2 138 3 2" xfId="46440"/>
    <cellStyle name="Процентный 5 2 138 4" xfId="25077"/>
    <cellStyle name="Процентный 5 2 138 4 2" xfId="57120"/>
    <cellStyle name="Процентный 5 2 138 5" xfId="35760"/>
    <cellStyle name="Процентный 5 2 139" xfId="3747"/>
    <cellStyle name="Процентный 5 2 139 2" xfId="9088"/>
    <cellStyle name="Процентный 5 2 139 2 2" xfId="19768"/>
    <cellStyle name="Процентный 5 2 139 2 2 2" xfId="51812"/>
    <cellStyle name="Процентный 5 2 139 2 3" xfId="30449"/>
    <cellStyle name="Процентный 5 2 139 2 3 2" xfId="62492"/>
    <cellStyle name="Процентный 5 2 139 2 4" xfId="41132"/>
    <cellStyle name="Процентный 5 2 139 3" xfId="14428"/>
    <cellStyle name="Процентный 5 2 139 3 2" xfId="46472"/>
    <cellStyle name="Процентный 5 2 139 4" xfId="25109"/>
    <cellStyle name="Процентный 5 2 139 4 2" xfId="57152"/>
    <cellStyle name="Процентный 5 2 139 5" xfId="35792"/>
    <cellStyle name="Процентный 5 2 14" xfId="197"/>
    <cellStyle name="Процентный 5 2 14 2" xfId="665"/>
    <cellStyle name="Процентный 5 2 14 2 2" xfId="6008"/>
    <cellStyle name="Процентный 5 2 14 2 2 2" xfId="16688"/>
    <cellStyle name="Процентный 5 2 14 2 2 2 2" xfId="48732"/>
    <cellStyle name="Процентный 5 2 14 2 2 3" xfId="27369"/>
    <cellStyle name="Процентный 5 2 14 2 2 3 2" xfId="59412"/>
    <cellStyle name="Процентный 5 2 14 2 2 4" xfId="38052"/>
    <cellStyle name="Процентный 5 2 14 2 3" xfId="11348"/>
    <cellStyle name="Процентный 5 2 14 2 3 2" xfId="43392"/>
    <cellStyle name="Процентный 5 2 14 2 4" xfId="22029"/>
    <cellStyle name="Процентный 5 2 14 2 4 2" xfId="54072"/>
    <cellStyle name="Процентный 5 2 14 2 5" xfId="32712"/>
    <cellStyle name="Процентный 5 2 14 3" xfId="5541"/>
    <cellStyle name="Процентный 5 2 14 3 2" xfId="16221"/>
    <cellStyle name="Процентный 5 2 14 3 2 2" xfId="48265"/>
    <cellStyle name="Процентный 5 2 14 3 3" xfId="26902"/>
    <cellStyle name="Процентный 5 2 14 3 3 2" xfId="58945"/>
    <cellStyle name="Процентный 5 2 14 3 4" xfId="37585"/>
    <cellStyle name="Процентный 5 2 14 4" xfId="10881"/>
    <cellStyle name="Процентный 5 2 14 4 2" xfId="42925"/>
    <cellStyle name="Процентный 5 2 14 5" xfId="21562"/>
    <cellStyle name="Процентный 5 2 14 5 2" xfId="53605"/>
    <cellStyle name="Процентный 5 2 14 6" xfId="32245"/>
    <cellStyle name="Процентный 5 2 140" xfId="3779"/>
    <cellStyle name="Процентный 5 2 140 2" xfId="9120"/>
    <cellStyle name="Процентный 5 2 140 2 2" xfId="19800"/>
    <cellStyle name="Процентный 5 2 140 2 2 2" xfId="51844"/>
    <cellStyle name="Процентный 5 2 140 2 3" xfId="30481"/>
    <cellStyle name="Процентный 5 2 140 2 3 2" xfId="62524"/>
    <cellStyle name="Процентный 5 2 140 2 4" xfId="41164"/>
    <cellStyle name="Процентный 5 2 140 3" xfId="14460"/>
    <cellStyle name="Процентный 5 2 140 3 2" xfId="46504"/>
    <cellStyle name="Процентный 5 2 140 4" xfId="25141"/>
    <cellStyle name="Процентный 5 2 140 4 2" xfId="57184"/>
    <cellStyle name="Процентный 5 2 140 5" xfId="35824"/>
    <cellStyle name="Процентный 5 2 141" xfId="3811"/>
    <cellStyle name="Процентный 5 2 141 2" xfId="9152"/>
    <cellStyle name="Процентный 5 2 141 2 2" xfId="19832"/>
    <cellStyle name="Процентный 5 2 141 2 2 2" xfId="51876"/>
    <cellStyle name="Процентный 5 2 141 2 3" xfId="30513"/>
    <cellStyle name="Процентный 5 2 141 2 3 2" xfId="62556"/>
    <cellStyle name="Процентный 5 2 141 2 4" xfId="41196"/>
    <cellStyle name="Процентный 5 2 141 3" xfId="14492"/>
    <cellStyle name="Процентный 5 2 141 3 2" xfId="46536"/>
    <cellStyle name="Процентный 5 2 141 4" xfId="25173"/>
    <cellStyle name="Процентный 5 2 141 4 2" xfId="57216"/>
    <cellStyle name="Процентный 5 2 141 5" xfId="35856"/>
    <cellStyle name="Процентный 5 2 142" xfId="3843"/>
    <cellStyle name="Процентный 5 2 142 2" xfId="9184"/>
    <cellStyle name="Процентный 5 2 142 2 2" xfId="19864"/>
    <cellStyle name="Процентный 5 2 142 2 2 2" xfId="51908"/>
    <cellStyle name="Процентный 5 2 142 2 3" xfId="30545"/>
    <cellStyle name="Процентный 5 2 142 2 3 2" xfId="62588"/>
    <cellStyle name="Процентный 5 2 142 2 4" xfId="41228"/>
    <cellStyle name="Процентный 5 2 142 3" xfId="14524"/>
    <cellStyle name="Процентный 5 2 142 3 2" xfId="46568"/>
    <cellStyle name="Процентный 5 2 142 4" xfId="25205"/>
    <cellStyle name="Процентный 5 2 142 4 2" xfId="57248"/>
    <cellStyle name="Процентный 5 2 142 5" xfId="35888"/>
    <cellStyle name="Процентный 5 2 143" xfId="3875"/>
    <cellStyle name="Процентный 5 2 143 2" xfId="9216"/>
    <cellStyle name="Процентный 5 2 143 2 2" xfId="19896"/>
    <cellStyle name="Процентный 5 2 143 2 2 2" xfId="51940"/>
    <cellStyle name="Процентный 5 2 143 2 3" xfId="30577"/>
    <cellStyle name="Процентный 5 2 143 2 3 2" xfId="62620"/>
    <cellStyle name="Процентный 5 2 143 2 4" xfId="41260"/>
    <cellStyle name="Процентный 5 2 143 3" xfId="14556"/>
    <cellStyle name="Процентный 5 2 143 3 2" xfId="46600"/>
    <cellStyle name="Процентный 5 2 143 4" xfId="25237"/>
    <cellStyle name="Процентный 5 2 143 4 2" xfId="57280"/>
    <cellStyle name="Процентный 5 2 143 5" xfId="35920"/>
    <cellStyle name="Процентный 5 2 144" xfId="3907"/>
    <cellStyle name="Процентный 5 2 144 2" xfId="9248"/>
    <cellStyle name="Процентный 5 2 144 2 2" xfId="19928"/>
    <cellStyle name="Процентный 5 2 144 2 2 2" xfId="51972"/>
    <cellStyle name="Процентный 5 2 144 2 3" xfId="30609"/>
    <cellStyle name="Процентный 5 2 144 2 3 2" xfId="62652"/>
    <cellStyle name="Процентный 5 2 144 2 4" xfId="41292"/>
    <cellStyle name="Процентный 5 2 144 3" xfId="14588"/>
    <cellStyle name="Процентный 5 2 144 3 2" xfId="46632"/>
    <cellStyle name="Процентный 5 2 144 4" xfId="25269"/>
    <cellStyle name="Процентный 5 2 144 4 2" xfId="57312"/>
    <cellStyle name="Процентный 5 2 144 5" xfId="35952"/>
    <cellStyle name="Процентный 5 2 145" xfId="3939"/>
    <cellStyle name="Процентный 5 2 145 2" xfId="9280"/>
    <cellStyle name="Процентный 5 2 145 2 2" xfId="19960"/>
    <cellStyle name="Процентный 5 2 145 2 2 2" xfId="52004"/>
    <cellStyle name="Процентный 5 2 145 2 3" xfId="30641"/>
    <cellStyle name="Процентный 5 2 145 2 3 2" xfId="62684"/>
    <cellStyle name="Процентный 5 2 145 2 4" xfId="41324"/>
    <cellStyle name="Процентный 5 2 145 3" xfId="14620"/>
    <cellStyle name="Процентный 5 2 145 3 2" xfId="46664"/>
    <cellStyle name="Процентный 5 2 145 4" xfId="25301"/>
    <cellStyle name="Процентный 5 2 145 4 2" xfId="57344"/>
    <cellStyle name="Процентный 5 2 145 5" xfId="35984"/>
    <cellStyle name="Процентный 5 2 146" xfId="3971"/>
    <cellStyle name="Процентный 5 2 146 2" xfId="9312"/>
    <cellStyle name="Процентный 5 2 146 2 2" xfId="19992"/>
    <cellStyle name="Процентный 5 2 146 2 2 2" xfId="52036"/>
    <cellStyle name="Процентный 5 2 146 2 3" xfId="30673"/>
    <cellStyle name="Процентный 5 2 146 2 3 2" xfId="62716"/>
    <cellStyle name="Процентный 5 2 146 2 4" xfId="41356"/>
    <cellStyle name="Процентный 5 2 146 3" xfId="14652"/>
    <cellStyle name="Процентный 5 2 146 3 2" xfId="46696"/>
    <cellStyle name="Процентный 5 2 146 4" xfId="25333"/>
    <cellStyle name="Процентный 5 2 146 4 2" xfId="57376"/>
    <cellStyle name="Процентный 5 2 146 5" xfId="36016"/>
    <cellStyle name="Процентный 5 2 147" xfId="4003"/>
    <cellStyle name="Процентный 5 2 147 2" xfId="9344"/>
    <cellStyle name="Процентный 5 2 147 2 2" xfId="20024"/>
    <cellStyle name="Процентный 5 2 147 2 2 2" xfId="52068"/>
    <cellStyle name="Процентный 5 2 147 2 3" xfId="30705"/>
    <cellStyle name="Процентный 5 2 147 2 3 2" xfId="62748"/>
    <cellStyle name="Процентный 5 2 147 2 4" xfId="41388"/>
    <cellStyle name="Процентный 5 2 147 3" xfId="14684"/>
    <cellStyle name="Процентный 5 2 147 3 2" xfId="46728"/>
    <cellStyle name="Процентный 5 2 147 4" xfId="25365"/>
    <cellStyle name="Процентный 5 2 147 4 2" xfId="57408"/>
    <cellStyle name="Процентный 5 2 147 5" xfId="36048"/>
    <cellStyle name="Процентный 5 2 148" xfId="4035"/>
    <cellStyle name="Процентный 5 2 148 2" xfId="9376"/>
    <cellStyle name="Процентный 5 2 148 2 2" xfId="20056"/>
    <cellStyle name="Процентный 5 2 148 2 2 2" xfId="52100"/>
    <cellStyle name="Процентный 5 2 148 2 3" xfId="30737"/>
    <cellStyle name="Процентный 5 2 148 2 3 2" xfId="62780"/>
    <cellStyle name="Процентный 5 2 148 2 4" xfId="41420"/>
    <cellStyle name="Процентный 5 2 148 3" xfId="14716"/>
    <cellStyle name="Процентный 5 2 148 3 2" xfId="46760"/>
    <cellStyle name="Процентный 5 2 148 4" xfId="25397"/>
    <cellStyle name="Процентный 5 2 148 4 2" xfId="57440"/>
    <cellStyle name="Процентный 5 2 148 5" xfId="36080"/>
    <cellStyle name="Процентный 5 2 149" xfId="4067"/>
    <cellStyle name="Процентный 5 2 149 2" xfId="9408"/>
    <cellStyle name="Процентный 5 2 149 2 2" xfId="20088"/>
    <cellStyle name="Процентный 5 2 149 2 2 2" xfId="52132"/>
    <cellStyle name="Процентный 5 2 149 2 3" xfId="30769"/>
    <cellStyle name="Процентный 5 2 149 2 3 2" xfId="62812"/>
    <cellStyle name="Процентный 5 2 149 2 4" xfId="41452"/>
    <cellStyle name="Процентный 5 2 149 3" xfId="14748"/>
    <cellStyle name="Процентный 5 2 149 3 2" xfId="46792"/>
    <cellStyle name="Процентный 5 2 149 4" xfId="25429"/>
    <cellStyle name="Процентный 5 2 149 4 2" xfId="57472"/>
    <cellStyle name="Процентный 5 2 149 5" xfId="36112"/>
    <cellStyle name="Процентный 5 2 15" xfId="207"/>
    <cellStyle name="Процентный 5 2 15 2" xfId="675"/>
    <cellStyle name="Процентный 5 2 15 2 2" xfId="6018"/>
    <cellStyle name="Процентный 5 2 15 2 2 2" xfId="16698"/>
    <cellStyle name="Процентный 5 2 15 2 2 2 2" xfId="48742"/>
    <cellStyle name="Процентный 5 2 15 2 2 3" xfId="27379"/>
    <cellStyle name="Процентный 5 2 15 2 2 3 2" xfId="59422"/>
    <cellStyle name="Процентный 5 2 15 2 2 4" xfId="38062"/>
    <cellStyle name="Процентный 5 2 15 2 3" xfId="11358"/>
    <cellStyle name="Процентный 5 2 15 2 3 2" xfId="43402"/>
    <cellStyle name="Процентный 5 2 15 2 4" xfId="22039"/>
    <cellStyle name="Процентный 5 2 15 2 4 2" xfId="54082"/>
    <cellStyle name="Процентный 5 2 15 2 5" xfId="32722"/>
    <cellStyle name="Процентный 5 2 15 3" xfId="5551"/>
    <cellStyle name="Процентный 5 2 15 3 2" xfId="16231"/>
    <cellStyle name="Процентный 5 2 15 3 2 2" xfId="48275"/>
    <cellStyle name="Процентный 5 2 15 3 3" xfId="26912"/>
    <cellStyle name="Процентный 5 2 15 3 3 2" xfId="58955"/>
    <cellStyle name="Процентный 5 2 15 3 4" xfId="37595"/>
    <cellStyle name="Процентный 5 2 15 4" xfId="10891"/>
    <cellStyle name="Процентный 5 2 15 4 2" xfId="42935"/>
    <cellStyle name="Процентный 5 2 15 5" xfId="21572"/>
    <cellStyle name="Процентный 5 2 15 5 2" xfId="53615"/>
    <cellStyle name="Процентный 5 2 15 6" xfId="32255"/>
    <cellStyle name="Процентный 5 2 150" xfId="4099"/>
    <cellStyle name="Процентный 5 2 150 2" xfId="9440"/>
    <cellStyle name="Процентный 5 2 150 2 2" xfId="20120"/>
    <cellStyle name="Процентный 5 2 150 2 2 2" xfId="52164"/>
    <cellStyle name="Процентный 5 2 150 2 3" xfId="30801"/>
    <cellStyle name="Процентный 5 2 150 2 3 2" xfId="62844"/>
    <cellStyle name="Процентный 5 2 150 2 4" xfId="41484"/>
    <cellStyle name="Процентный 5 2 150 3" xfId="14780"/>
    <cellStyle name="Процентный 5 2 150 3 2" xfId="46824"/>
    <cellStyle name="Процентный 5 2 150 4" xfId="25461"/>
    <cellStyle name="Процентный 5 2 150 4 2" xfId="57504"/>
    <cellStyle name="Процентный 5 2 150 5" xfId="36144"/>
    <cellStyle name="Процентный 5 2 151" xfId="4131"/>
    <cellStyle name="Процентный 5 2 151 2" xfId="9472"/>
    <cellStyle name="Процентный 5 2 151 2 2" xfId="20152"/>
    <cellStyle name="Процентный 5 2 151 2 2 2" xfId="52196"/>
    <cellStyle name="Процентный 5 2 151 2 3" xfId="30833"/>
    <cellStyle name="Процентный 5 2 151 2 3 2" xfId="62876"/>
    <cellStyle name="Процентный 5 2 151 2 4" xfId="41516"/>
    <cellStyle name="Процентный 5 2 151 3" xfId="14812"/>
    <cellStyle name="Процентный 5 2 151 3 2" xfId="46856"/>
    <cellStyle name="Процентный 5 2 151 4" xfId="25493"/>
    <cellStyle name="Процентный 5 2 151 4 2" xfId="57536"/>
    <cellStyle name="Процентный 5 2 151 5" xfId="36176"/>
    <cellStyle name="Процентный 5 2 152" xfId="4163"/>
    <cellStyle name="Процентный 5 2 152 2" xfId="9504"/>
    <cellStyle name="Процентный 5 2 152 2 2" xfId="20184"/>
    <cellStyle name="Процентный 5 2 152 2 2 2" xfId="52228"/>
    <cellStyle name="Процентный 5 2 152 2 3" xfId="30865"/>
    <cellStyle name="Процентный 5 2 152 2 3 2" xfId="62908"/>
    <cellStyle name="Процентный 5 2 152 2 4" xfId="41548"/>
    <cellStyle name="Процентный 5 2 152 3" xfId="14844"/>
    <cellStyle name="Процентный 5 2 152 3 2" xfId="46888"/>
    <cellStyle name="Процентный 5 2 152 4" xfId="25525"/>
    <cellStyle name="Процентный 5 2 152 4 2" xfId="57568"/>
    <cellStyle name="Процентный 5 2 152 5" xfId="36208"/>
    <cellStyle name="Процентный 5 2 153" xfId="4195"/>
    <cellStyle name="Процентный 5 2 153 2" xfId="9536"/>
    <cellStyle name="Процентный 5 2 153 2 2" xfId="20216"/>
    <cellStyle name="Процентный 5 2 153 2 2 2" xfId="52260"/>
    <cellStyle name="Процентный 5 2 153 2 3" xfId="30897"/>
    <cellStyle name="Процентный 5 2 153 2 3 2" xfId="62940"/>
    <cellStyle name="Процентный 5 2 153 2 4" xfId="41580"/>
    <cellStyle name="Процентный 5 2 153 3" xfId="14876"/>
    <cellStyle name="Процентный 5 2 153 3 2" xfId="46920"/>
    <cellStyle name="Процентный 5 2 153 4" xfId="25557"/>
    <cellStyle name="Процентный 5 2 153 4 2" xfId="57600"/>
    <cellStyle name="Процентный 5 2 153 5" xfId="36240"/>
    <cellStyle name="Процентный 5 2 154" xfId="4227"/>
    <cellStyle name="Процентный 5 2 154 2" xfId="9568"/>
    <cellStyle name="Процентный 5 2 154 2 2" xfId="20248"/>
    <cellStyle name="Процентный 5 2 154 2 2 2" xfId="52292"/>
    <cellStyle name="Процентный 5 2 154 2 3" xfId="30929"/>
    <cellStyle name="Процентный 5 2 154 2 3 2" xfId="62972"/>
    <cellStyle name="Процентный 5 2 154 2 4" xfId="41612"/>
    <cellStyle name="Процентный 5 2 154 3" xfId="14908"/>
    <cellStyle name="Процентный 5 2 154 3 2" xfId="46952"/>
    <cellStyle name="Процентный 5 2 154 4" xfId="25589"/>
    <cellStyle name="Процентный 5 2 154 4 2" xfId="57632"/>
    <cellStyle name="Процентный 5 2 154 5" xfId="36272"/>
    <cellStyle name="Процентный 5 2 155" xfId="4259"/>
    <cellStyle name="Процентный 5 2 155 2" xfId="9600"/>
    <cellStyle name="Процентный 5 2 155 2 2" xfId="20280"/>
    <cellStyle name="Процентный 5 2 155 2 2 2" xfId="52324"/>
    <cellStyle name="Процентный 5 2 155 2 3" xfId="30961"/>
    <cellStyle name="Процентный 5 2 155 2 3 2" xfId="63004"/>
    <cellStyle name="Процентный 5 2 155 2 4" xfId="41644"/>
    <cellStyle name="Процентный 5 2 155 3" xfId="14940"/>
    <cellStyle name="Процентный 5 2 155 3 2" xfId="46984"/>
    <cellStyle name="Процентный 5 2 155 4" xfId="25621"/>
    <cellStyle name="Процентный 5 2 155 4 2" xfId="57664"/>
    <cellStyle name="Процентный 5 2 155 5" xfId="36304"/>
    <cellStyle name="Процентный 5 2 156" xfId="4291"/>
    <cellStyle name="Процентный 5 2 156 2" xfId="9632"/>
    <cellStyle name="Процентный 5 2 156 2 2" xfId="20312"/>
    <cellStyle name="Процентный 5 2 156 2 2 2" xfId="52356"/>
    <cellStyle name="Процентный 5 2 156 2 3" xfId="30993"/>
    <cellStyle name="Процентный 5 2 156 2 3 2" xfId="63036"/>
    <cellStyle name="Процентный 5 2 156 2 4" xfId="41676"/>
    <cellStyle name="Процентный 5 2 156 3" xfId="14972"/>
    <cellStyle name="Процентный 5 2 156 3 2" xfId="47016"/>
    <cellStyle name="Процентный 5 2 156 4" xfId="25653"/>
    <cellStyle name="Процентный 5 2 156 4 2" xfId="57696"/>
    <cellStyle name="Процентный 5 2 156 5" xfId="36336"/>
    <cellStyle name="Процентный 5 2 157" xfId="4323"/>
    <cellStyle name="Процентный 5 2 157 2" xfId="9664"/>
    <cellStyle name="Процентный 5 2 157 2 2" xfId="20344"/>
    <cellStyle name="Процентный 5 2 157 2 2 2" xfId="52388"/>
    <cellStyle name="Процентный 5 2 157 2 3" xfId="31025"/>
    <cellStyle name="Процентный 5 2 157 2 3 2" xfId="63068"/>
    <cellStyle name="Процентный 5 2 157 2 4" xfId="41708"/>
    <cellStyle name="Процентный 5 2 157 3" xfId="15004"/>
    <cellStyle name="Процентный 5 2 157 3 2" xfId="47048"/>
    <cellStyle name="Процентный 5 2 157 4" xfId="25685"/>
    <cellStyle name="Процентный 5 2 157 4 2" xfId="57728"/>
    <cellStyle name="Процентный 5 2 157 5" xfId="36368"/>
    <cellStyle name="Процентный 5 2 158" xfId="4355"/>
    <cellStyle name="Процентный 5 2 158 2" xfId="9696"/>
    <cellStyle name="Процентный 5 2 158 2 2" xfId="20376"/>
    <cellStyle name="Процентный 5 2 158 2 2 2" xfId="52420"/>
    <cellStyle name="Процентный 5 2 158 2 3" xfId="31057"/>
    <cellStyle name="Процентный 5 2 158 2 3 2" xfId="63100"/>
    <cellStyle name="Процентный 5 2 158 2 4" xfId="41740"/>
    <cellStyle name="Процентный 5 2 158 3" xfId="15036"/>
    <cellStyle name="Процентный 5 2 158 3 2" xfId="47080"/>
    <cellStyle name="Процентный 5 2 158 4" xfId="25717"/>
    <cellStyle name="Процентный 5 2 158 4 2" xfId="57760"/>
    <cellStyle name="Процентный 5 2 158 5" xfId="36400"/>
    <cellStyle name="Процентный 5 2 159" xfId="4387"/>
    <cellStyle name="Процентный 5 2 159 2" xfId="9728"/>
    <cellStyle name="Процентный 5 2 159 2 2" xfId="20408"/>
    <cellStyle name="Процентный 5 2 159 2 2 2" xfId="52452"/>
    <cellStyle name="Процентный 5 2 159 2 3" xfId="31089"/>
    <cellStyle name="Процентный 5 2 159 2 3 2" xfId="63132"/>
    <cellStyle name="Процентный 5 2 159 2 4" xfId="41772"/>
    <cellStyle name="Процентный 5 2 159 3" xfId="15068"/>
    <cellStyle name="Процентный 5 2 159 3 2" xfId="47112"/>
    <cellStyle name="Процентный 5 2 159 4" xfId="25749"/>
    <cellStyle name="Процентный 5 2 159 4 2" xfId="57792"/>
    <cellStyle name="Процентный 5 2 159 5" xfId="36432"/>
    <cellStyle name="Процентный 5 2 16" xfId="217"/>
    <cellStyle name="Процентный 5 2 16 2" xfId="685"/>
    <cellStyle name="Процентный 5 2 16 2 2" xfId="6028"/>
    <cellStyle name="Процентный 5 2 16 2 2 2" xfId="16708"/>
    <cellStyle name="Процентный 5 2 16 2 2 2 2" xfId="48752"/>
    <cellStyle name="Процентный 5 2 16 2 2 3" xfId="27389"/>
    <cellStyle name="Процентный 5 2 16 2 2 3 2" xfId="59432"/>
    <cellStyle name="Процентный 5 2 16 2 2 4" xfId="38072"/>
    <cellStyle name="Процентный 5 2 16 2 3" xfId="11368"/>
    <cellStyle name="Процентный 5 2 16 2 3 2" xfId="43412"/>
    <cellStyle name="Процентный 5 2 16 2 4" xfId="22049"/>
    <cellStyle name="Процентный 5 2 16 2 4 2" xfId="54092"/>
    <cellStyle name="Процентный 5 2 16 2 5" xfId="32732"/>
    <cellStyle name="Процентный 5 2 16 3" xfId="5561"/>
    <cellStyle name="Процентный 5 2 16 3 2" xfId="16241"/>
    <cellStyle name="Процентный 5 2 16 3 2 2" xfId="48285"/>
    <cellStyle name="Процентный 5 2 16 3 3" xfId="26922"/>
    <cellStyle name="Процентный 5 2 16 3 3 2" xfId="58965"/>
    <cellStyle name="Процентный 5 2 16 3 4" xfId="37605"/>
    <cellStyle name="Процентный 5 2 16 4" xfId="10901"/>
    <cellStyle name="Процентный 5 2 16 4 2" xfId="42945"/>
    <cellStyle name="Процентный 5 2 16 5" xfId="21582"/>
    <cellStyle name="Процентный 5 2 16 5 2" xfId="53625"/>
    <cellStyle name="Процентный 5 2 16 6" xfId="32265"/>
    <cellStyle name="Процентный 5 2 160" xfId="4419"/>
    <cellStyle name="Процентный 5 2 160 2" xfId="9760"/>
    <cellStyle name="Процентный 5 2 160 2 2" xfId="20440"/>
    <cellStyle name="Процентный 5 2 160 2 2 2" xfId="52484"/>
    <cellStyle name="Процентный 5 2 160 2 3" xfId="31121"/>
    <cellStyle name="Процентный 5 2 160 2 3 2" xfId="63164"/>
    <cellStyle name="Процентный 5 2 160 2 4" xfId="41804"/>
    <cellStyle name="Процентный 5 2 160 3" xfId="15100"/>
    <cellStyle name="Процентный 5 2 160 3 2" xfId="47144"/>
    <cellStyle name="Процентный 5 2 160 4" xfId="25781"/>
    <cellStyle name="Процентный 5 2 160 4 2" xfId="57824"/>
    <cellStyle name="Процентный 5 2 160 5" xfId="36464"/>
    <cellStyle name="Процентный 5 2 161" xfId="4451"/>
    <cellStyle name="Процентный 5 2 161 2" xfId="9792"/>
    <cellStyle name="Процентный 5 2 161 2 2" xfId="20472"/>
    <cellStyle name="Процентный 5 2 161 2 2 2" xfId="52516"/>
    <cellStyle name="Процентный 5 2 161 2 3" xfId="31153"/>
    <cellStyle name="Процентный 5 2 161 2 3 2" xfId="63196"/>
    <cellStyle name="Процентный 5 2 161 2 4" xfId="41836"/>
    <cellStyle name="Процентный 5 2 161 3" xfId="15132"/>
    <cellStyle name="Процентный 5 2 161 3 2" xfId="47176"/>
    <cellStyle name="Процентный 5 2 161 4" xfId="25813"/>
    <cellStyle name="Процентный 5 2 161 4 2" xfId="57856"/>
    <cellStyle name="Процентный 5 2 161 5" xfId="36496"/>
    <cellStyle name="Процентный 5 2 162" xfId="4483"/>
    <cellStyle name="Процентный 5 2 162 2" xfId="9824"/>
    <cellStyle name="Процентный 5 2 162 2 2" xfId="20504"/>
    <cellStyle name="Процентный 5 2 162 2 2 2" xfId="52548"/>
    <cellStyle name="Процентный 5 2 162 2 3" xfId="31185"/>
    <cellStyle name="Процентный 5 2 162 2 3 2" xfId="63228"/>
    <cellStyle name="Процентный 5 2 162 2 4" xfId="41868"/>
    <cellStyle name="Процентный 5 2 162 3" xfId="15164"/>
    <cellStyle name="Процентный 5 2 162 3 2" xfId="47208"/>
    <cellStyle name="Процентный 5 2 162 4" xfId="25845"/>
    <cellStyle name="Процентный 5 2 162 4 2" xfId="57888"/>
    <cellStyle name="Процентный 5 2 162 5" xfId="36528"/>
    <cellStyle name="Процентный 5 2 163" xfId="4515"/>
    <cellStyle name="Процентный 5 2 163 2" xfId="9856"/>
    <cellStyle name="Процентный 5 2 163 2 2" xfId="20536"/>
    <cellStyle name="Процентный 5 2 163 2 2 2" xfId="52580"/>
    <cellStyle name="Процентный 5 2 163 2 3" xfId="31217"/>
    <cellStyle name="Процентный 5 2 163 2 3 2" xfId="63260"/>
    <cellStyle name="Процентный 5 2 163 2 4" xfId="41900"/>
    <cellStyle name="Процентный 5 2 163 3" xfId="15196"/>
    <cellStyle name="Процентный 5 2 163 3 2" xfId="47240"/>
    <cellStyle name="Процентный 5 2 163 4" xfId="25877"/>
    <cellStyle name="Процентный 5 2 163 4 2" xfId="57920"/>
    <cellStyle name="Процентный 5 2 163 5" xfId="36560"/>
    <cellStyle name="Процентный 5 2 164" xfId="4547"/>
    <cellStyle name="Процентный 5 2 164 2" xfId="9888"/>
    <cellStyle name="Процентный 5 2 164 2 2" xfId="20568"/>
    <cellStyle name="Процентный 5 2 164 2 2 2" xfId="52612"/>
    <cellStyle name="Процентный 5 2 164 2 3" xfId="31249"/>
    <cellStyle name="Процентный 5 2 164 2 3 2" xfId="63292"/>
    <cellStyle name="Процентный 5 2 164 2 4" xfId="41932"/>
    <cellStyle name="Процентный 5 2 164 3" xfId="15228"/>
    <cellStyle name="Процентный 5 2 164 3 2" xfId="47272"/>
    <cellStyle name="Процентный 5 2 164 4" xfId="25909"/>
    <cellStyle name="Процентный 5 2 164 4 2" xfId="57952"/>
    <cellStyle name="Процентный 5 2 164 5" xfId="36592"/>
    <cellStyle name="Процентный 5 2 165" xfId="4579"/>
    <cellStyle name="Процентный 5 2 165 2" xfId="9920"/>
    <cellStyle name="Процентный 5 2 165 2 2" xfId="20600"/>
    <cellStyle name="Процентный 5 2 165 2 2 2" xfId="52644"/>
    <cellStyle name="Процентный 5 2 165 2 3" xfId="31281"/>
    <cellStyle name="Процентный 5 2 165 2 3 2" xfId="63324"/>
    <cellStyle name="Процентный 5 2 165 2 4" xfId="41964"/>
    <cellStyle name="Процентный 5 2 165 3" xfId="15260"/>
    <cellStyle name="Процентный 5 2 165 3 2" xfId="47304"/>
    <cellStyle name="Процентный 5 2 165 4" xfId="25941"/>
    <cellStyle name="Процентный 5 2 165 4 2" xfId="57984"/>
    <cellStyle name="Процентный 5 2 165 5" xfId="36624"/>
    <cellStyle name="Процентный 5 2 166" xfId="4611"/>
    <cellStyle name="Процентный 5 2 166 2" xfId="9952"/>
    <cellStyle name="Процентный 5 2 166 2 2" xfId="20632"/>
    <cellStyle name="Процентный 5 2 166 2 2 2" xfId="52676"/>
    <cellStyle name="Процентный 5 2 166 2 3" xfId="31313"/>
    <cellStyle name="Процентный 5 2 166 2 3 2" xfId="63356"/>
    <cellStyle name="Процентный 5 2 166 2 4" xfId="41996"/>
    <cellStyle name="Процентный 5 2 166 3" xfId="15292"/>
    <cellStyle name="Процентный 5 2 166 3 2" xfId="47336"/>
    <cellStyle name="Процентный 5 2 166 4" xfId="25973"/>
    <cellStyle name="Процентный 5 2 166 4 2" xfId="58016"/>
    <cellStyle name="Процентный 5 2 166 5" xfId="36656"/>
    <cellStyle name="Процентный 5 2 167" xfId="4643"/>
    <cellStyle name="Процентный 5 2 167 2" xfId="9984"/>
    <cellStyle name="Процентный 5 2 167 2 2" xfId="20664"/>
    <cellStyle name="Процентный 5 2 167 2 2 2" xfId="52708"/>
    <cellStyle name="Процентный 5 2 167 2 3" xfId="31345"/>
    <cellStyle name="Процентный 5 2 167 2 3 2" xfId="63388"/>
    <cellStyle name="Процентный 5 2 167 2 4" xfId="42028"/>
    <cellStyle name="Процентный 5 2 167 3" xfId="15324"/>
    <cellStyle name="Процентный 5 2 167 3 2" xfId="47368"/>
    <cellStyle name="Процентный 5 2 167 4" xfId="26005"/>
    <cellStyle name="Процентный 5 2 167 4 2" xfId="58048"/>
    <cellStyle name="Процентный 5 2 167 5" xfId="36688"/>
    <cellStyle name="Процентный 5 2 168" xfId="4675"/>
    <cellStyle name="Процентный 5 2 168 2" xfId="10016"/>
    <cellStyle name="Процентный 5 2 168 2 2" xfId="20696"/>
    <cellStyle name="Процентный 5 2 168 2 2 2" xfId="52740"/>
    <cellStyle name="Процентный 5 2 168 2 3" xfId="31377"/>
    <cellStyle name="Процентный 5 2 168 2 3 2" xfId="63420"/>
    <cellStyle name="Процентный 5 2 168 2 4" xfId="42060"/>
    <cellStyle name="Процентный 5 2 168 3" xfId="15356"/>
    <cellStyle name="Процентный 5 2 168 3 2" xfId="47400"/>
    <cellStyle name="Процентный 5 2 168 4" xfId="26037"/>
    <cellStyle name="Процентный 5 2 168 4 2" xfId="58080"/>
    <cellStyle name="Процентный 5 2 168 5" xfId="36720"/>
    <cellStyle name="Процентный 5 2 169" xfId="4709"/>
    <cellStyle name="Процентный 5 2 169 2" xfId="10050"/>
    <cellStyle name="Процентный 5 2 169 2 2" xfId="20730"/>
    <cellStyle name="Процентный 5 2 169 2 2 2" xfId="52774"/>
    <cellStyle name="Процентный 5 2 169 2 3" xfId="31411"/>
    <cellStyle name="Процентный 5 2 169 2 3 2" xfId="63454"/>
    <cellStyle name="Процентный 5 2 169 2 4" xfId="42094"/>
    <cellStyle name="Процентный 5 2 169 3" xfId="15390"/>
    <cellStyle name="Процентный 5 2 169 3 2" xfId="47434"/>
    <cellStyle name="Процентный 5 2 169 4" xfId="26071"/>
    <cellStyle name="Процентный 5 2 169 4 2" xfId="58114"/>
    <cellStyle name="Процентный 5 2 169 5" xfId="36754"/>
    <cellStyle name="Процентный 5 2 17" xfId="227"/>
    <cellStyle name="Процентный 5 2 17 2" xfId="695"/>
    <cellStyle name="Процентный 5 2 17 2 2" xfId="6038"/>
    <cellStyle name="Процентный 5 2 17 2 2 2" xfId="16718"/>
    <cellStyle name="Процентный 5 2 17 2 2 2 2" xfId="48762"/>
    <cellStyle name="Процентный 5 2 17 2 2 3" xfId="27399"/>
    <cellStyle name="Процентный 5 2 17 2 2 3 2" xfId="59442"/>
    <cellStyle name="Процентный 5 2 17 2 2 4" xfId="38082"/>
    <cellStyle name="Процентный 5 2 17 2 3" xfId="11378"/>
    <cellStyle name="Процентный 5 2 17 2 3 2" xfId="43422"/>
    <cellStyle name="Процентный 5 2 17 2 4" xfId="22059"/>
    <cellStyle name="Процентный 5 2 17 2 4 2" xfId="54102"/>
    <cellStyle name="Процентный 5 2 17 2 5" xfId="32742"/>
    <cellStyle name="Процентный 5 2 17 3" xfId="5571"/>
    <cellStyle name="Процентный 5 2 17 3 2" xfId="16251"/>
    <cellStyle name="Процентный 5 2 17 3 2 2" xfId="48295"/>
    <cellStyle name="Процентный 5 2 17 3 3" xfId="26932"/>
    <cellStyle name="Процентный 5 2 17 3 3 2" xfId="58975"/>
    <cellStyle name="Процентный 5 2 17 3 4" xfId="37615"/>
    <cellStyle name="Процентный 5 2 17 4" xfId="10911"/>
    <cellStyle name="Процентный 5 2 17 4 2" xfId="42955"/>
    <cellStyle name="Процентный 5 2 17 5" xfId="21592"/>
    <cellStyle name="Процентный 5 2 17 5 2" xfId="53635"/>
    <cellStyle name="Процентный 5 2 17 6" xfId="32275"/>
    <cellStyle name="Процентный 5 2 170" xfId="4741"/>
    <cellStyle name="Процентный 5 2 170 2" xfId="10082"/>
    <cellStyle name="Процентный 5 2 170 2 2" xfId="20762"/>
    <cellStyle name="Процентный 5 2 170 2 2 2" xfId="52806"/>
    <cellStyle name="Процентный 5 2 170 2 3" xfId="31443"/>
    <cellStyle name="Процентный 5 2 170 2 3 2" xfId="63486"/>
    <cellStyle name="Процентный 5 2 170 2 4" xfId="42126"/>
    <cellStyle name="Процентный 5 2 170 3" xfId="15422"/>
    <cellStyle name="Процентный 5 2 170 3 2" xfId="47466"/>
    <cellStyle name="Процентный 5 2 170 4" xfId="26103"/>
    <cellStyle name="Процентный 5 2 170 4 2" xfId="58146"/>
    <cellStyle name="Процентный 5 2 170 5" xfId="36786"/>
    <cellStyle name="Процентный 5 2 171" xfId="4773"/>
    <cellStyle name="Процентный 5 2 171 2" xfId="10114"/>
    <cellStyle name="Процентный 5 2 171 2 2" xfId="20794"/>
    <cellStyle name="Процентный 5 2 171 2 2 2" xfId="52838"/>
    <cellStyle name="Процентный 5 2 171 2 3" xfId="31475"/>
    <cellStyle name="Процентный 5 2 171 2 3 2" xfId="63518"/>
    <cellStyle name="Процентный 5 2 171 2 4" xfId="42158"/>
    <cellStyle name="Процентный 5 2 171 3" xfId="15454"/>
    <cellStyle name="Процентный 5 2 171 3 2" xfId="47498"/>
    <cellStyle name="Процентный 5 2 171 4" xfId="26135"/>
    <cellStyle name="Процентный 5 2 171 4 2" xfId="58178"/>
    <cellStyle name="Процентный 5 2 171 5" xfId="36818"/>
    <cellStyle name="Процентный 5 2 172" xfId="4805"/>
    <cellStyle name="Процентный 5 2 172 2" xfId="10146"/>
    <cellStyle name="Процентный 5 2 172 2 2" xfId="20826"/>
    <cellStyle name="Процентный 5 2 172 2 2 2" xfId="52870"/>
    <cellStyle name="Процентный 5 2 172 2 3" xfId="31507"/>
    <cellStyle name="Процентный 5 2 172 2 3 2" xfId="63550"/>
    <cellStyle name="Процентный 5 2 172 2 4" xfId="42190"/>
    <cellStyle name="Процентный 5 2 172 3" xfId="15486"/>
    <cellStyle name="Процентный 5 2 172 3 2" xfId="47530"/>
    <cellStyle name="Процентный 5 2 172 4" xfId="26167"/>
    <cellStyle name="Процентный 5 2 172 4 2" xfId="58210"/>
    <cellStyle name="Процентный 5 2 172 5" xfId="36850"/>
    <cellStyle name="Процентный 5 2 173" xfId="4837"/>
    <cellStyle name="Процентный 5 2 173 2" xfId="10178"/>
    <cellStyle name="Процентный 5 2 173 2 2" xfId="20858"/>
    <cellStyle name="Процентный 5 2 173 2 2 2" xfId="52902"/>
    <cellStyle name="Процентный 5 2 173 2 3" xfId="31539"/>
    <cellStyle name="Процентный 5 2 173 2 3 2" xfId="63582"/>
    <cellStyle name="Процентный 5 2 173 2 4" xfId="42222"/>
    <cellStyle name="Процентный 5 2 173 3" xfId="15518"/>
    <cellStyle name="Процентный 5 2 173 3 2" xfId="47562"/>
    <cellStyle name="Процентный 5 2 173 4" xfId="26199"/>
    <cellStyle name="Процентный 5 2 173 4 2" xfId="58242"/>
    <cellStyle name="Процентный 5 2 173 5" xfId="36882"/>
    <cellStyle name="Процентный 5 2 174" xfId="4869"/>
    <cellStyle name="Процентный 5 2 174 2" xfId="10210"/>
    <cellStyle name="Процентный 5 2 174 2 2" xfId="20890"/>
    <cellStyle name="Процентный 5 2 174 2 2 2" xfId="52934"/>
    <cellStyle name="Процентный 5 2 174 2 3" xfId="31571"/>
    <cellStyle name="Процентный 5 2 174 2 3 2" xfId="63614"/>
    <cellStyle name="Процентный 5 2 174 2 4" xfId="42254"/>
    <cellStyle name="Процентный 5 2 174 3" xfId="15550"/>
    <cellStyle name="Процентный 5 2 174 3 2" xfId="47594"/>
    <cellStyle name="Процентный 5 2 174 4" xfId="26231"/>
    <cellStyle name="Процентный 5 2 174 4 2" xfId="58274"/>
    <cellStyle name="Процентный 5 2 174 5" xfId="36914"/>
    <cellStyle name="Процентный 5 2 175" xfId="4901"/>
    <cellStyle name="Процентный 5 2 175 2" xfId="10242"/>
    <cellStyle name="Процентный 5 2 175 2 2" xfId="20922"/>
    <cellStyle name="Процентный 5 2 175 2 2 2" xfId="52966"/>
    <cellStyle name="Процентный 5 2 175 2 3" xfId="31603"/>
    <cellStyle name="Процентный 5 2 175 2 3 2" xfId="63646"/>
    <cellStyle name="Процентный 5 2 175 2 4" xfId="42286"/>
    <cellStyle name="Процентный 5 2 175 3" xfId="15582"/>
    <cellStyle name="Процентный 5 2 175 3 2" xfId="47626"/>
    <cellStyle name="Процентный 5 2 175 4" xfId="26263"/>
    <cellStyle name="Процентный 5 2 175 4 2" xfId="58306"/>
    <cellStyle name="Процентный 5 2 175 5" xfId="36946"/>
    <cellStyle name="Процентный 5 2 176" xfId="4933"/>
    <cellStyle name="Процентный 5 2 176 2" xfId="10274"/>
    <cellStyle name="Процентный 5 2 176 2 2" xfId="20954"/>
    <cellStyle name="Процентный 5 2 176 2 2 2" xfId="52998"/>
    <cellStyle name="Процентный 5 2 176 2 3" xfId="31635"/>
    <cellStyle name="Процентный 5 2 176 2 3 2" xfId="63678"/>
    <cellStyle name="Процентный 5 2 176 2 4" xfId="42318"/>
    <cellStyle name="Процентный 5 2 176 3" xfId="15614"/>
    <cellStyle name="Процентный 5 2 176 3 2" xfId="47658"/>
    <cellStyle name="Процентный 5 2 176 4" xfId="26295"/>
    <cellStyle name="Процентный 5 2 176 4 2" xfId="58338"/>
    <cellStyle name="Процентный 5 2 176 5" xfId="36978"/>
    <cellStyle name="Процентный 5 2 177" xfId="4965"/>
    <cellStyle name="Процентный 5 2 177 2" xfId="10306"/>
    <cellStyle name="Процентный 5 2 177 2 2" xfId="20986"/>
    <cellStyle name="Процентный 5 2 177 2 2 2" xfId="53030"/>
    <cellStyle name="Процентный 5 2 177 2 3" xfId="31667"/>
    <cellStyle name="Процентный 5 2 177 2 3 2" xfId="63710"/>
    <cellStyle name="Процентный 5 2 177 2 4" xfId="42350"/>
    <cellStyle name="Процентный 5 2 177 3" xfId="15646"/>
    <cellStyle name="Процентный 5 2 177 3 2" xfId="47690"/>
    <cellStyle name="Процентный 5 2 177 4" xfId="26327"/>
    <cellStyle name="Процентный 5 2 177 4 2" xfId="58370"/>
    <cellStyle name="Процентный 5 2 177 5" xfId="37010"/>
    <cellStyle name="Процентный 5 2 178" xfId="4997"/>
    <cellStyle name="Процентный 5 2 178 2" xfId="10338"/>
    <cellStyle name="Процентный 5 2 178 2 2" xfId="21018"/>
    <cellStyle name="Процентный 5 2 178 2 2 2" xfId="53062"/>
    <cellStyle name="Процентный 5 2 178 2 3" xfId="31699"/>
    <cellStyle name="Процентный 5 2 178 2 3 2" xfId="63742"/>
    <cellStyle name="Процентный 5 2 178 2 4" xfId="42382"/>
    <cellStyle name="Процентный 5 2 178 3" xfId="15678"/>
    <cellStyle name="Процентный 5 2 178 3 2" xfId="47722"/>
    <cellStyle name="Процентный 5 2 178 4" xfId="26359"/>
    <cellStyle name="Процентный 5 2 178 4 2" xfId="58402"/>
    <cellStyle name="Процентный 5 2 178 5" xfId="37042"/>
    <cellStyle name="Процентный 5 2 179" xfId="5029"/>
    <cellStyle name="Процентный 5 2 179 2" xfId="10370"/>
    <cellStyle name="Процентный 5 2 179 2 2" xfId="21050"/>
    <cellStyle name="Процентный 5 2 179 2 2 2" xfId="53094"/>
    <cellStyle name="Процентный 5 2 179 2 3" xfId="31731"/>
    <cellStyle name="Процентный 5 2 179 2 3 2" xfId="63774"/>
    <cellStyle name="Процентный 5 2 179 2 4" xfId="42414"/>
    <cellStyle name="Процентный 5 2 179 3" xfId="15710"/>
    <cellStyle name="Процентный 5 2 179 3 2" xfId="47754"/>
    <cellStyle name="Процентный 5 2 179 4" xfId="26391"/>
    <cellStyle name="Процентный 5 2 179 4 2" xfId="58434"/>
    <cellStyle name="Процентный 5 2 179 5" xfId="37074"/>
    <cellStyle name="Процентный 5 2 18" xfId="237"/>
    <cellStyle name="Процентный 5 2 18 2" xfId="705"/>
    <cellStyle name="Процентный 5 2 18 2 2" xfId="6048"/>
    <cellStyle name="Процентный 5 2 18 2 2 2" xfId="16728"/>
    <cellStyle name="Процентный 5 2 18 2 2 2 2" xfId="48772"/>
    <cellStyle name="Процентный 5 2 18 2 2 3" xfId="27409"/>
    <cellStyle name="Процентный 5 2 18 2 2 3 2" xfId="59452"/>
    <cellStyle name="Процентный 5 2 18 2 2 4" xfId="38092"/>
    <cellStyle name="Процентный 5 2 18 2 3" xfId="11388"/>
    <cellStyle name="Процентный 5 2 18 2 3 2" xfId="43432"/>
    <cellStyle name="Процентный 5 2 18 2 4" xfId="22069"/>
    <cellStyle name="Процентный 5 2 18 2 4 2" xfId="54112"/>
    <cellStyle name="Процентный 5 2 18 2 5" xfId="32752"/>
    <cellStyle name="Процентный 5 2 18 3" xfId="5581"/>
    <cellStyle name="Процентный 5 2 18 3 2" xfId="16261"/>
    <cellStyle name="Процентный 5 2 18 3 2 2" xfId="48305"/>
    <cellStyle name="Процентный 5 2 18 3 3" xfId="26942"/>
    <cellStyle name="Процентный 5 2 18 3 3 2" xfId="58985"/>
    <cellStyle name="Процентный 5 2 18 3 4" xfId="37625"/>
    <cellStyle name="Процентный 5 2 18 4" xfId="10921"/>
    <cellStyle name="Процентный 5 2 18 4 2" xfId="42965"/>
    <cellStyle name="Процентный 5 2 18 5" xfId="21602"/>
    <cellStyle name="Процентный 5 2 18 5 2" xfId="53645"/>
    <cellStyle name="Процентный 5 2 18 6" xfId="32285"/>
    <cellStyle name="Процентный 5 2 180" xfId="5061"/>
    <cellStyle name="Процентный 5 2 180 2" xfId="10402"/>
    <cellStyle name="Процентный 5 2 180 2 2" xfId="21082"/>
    <cellStyle name="Процентный 5 2 180 2 2 2" xfId="53126"/>
    <cellStyle name="Процентный 5 2 180 2 3" xfId="31763"/>
    <cellStyle name="Процентный 5 2 180 2 3 2" xfId="63806"/>
    <cellStyle name="Процентный 5 2 180 2 4" xfId="42446"/>
    <cellStyle name="Процентный 5 2 180 3" xfId="15742"/>
    <cellStyle name="Процентный 5 2 180 3 2" xfId="47786"/>
    <cellStyle name="Процентный 5 2 180 4" xfId="26423"/>
    <cellStyle name="Процентный 5 2 180 4 2" xfId="58466"/>
    <cellStyle name="Процентный 5 2 180 5" xfId="37106"/>
    <cellStyle name="Процентный 5 2 181" xfId="5093"/>
    <cellStyle name="Процентный 5 2 181 2" xfId="10434"/>
    <cellStyle name="Процентный 5 2 181 2 2" xfId="21114"/>
    <cellStyle name="Процентный 5 2 181 2 2 2" xfId="53158"/>
    <cellStyle name="Процентный 5 2 181 2 3" xfId="31795"/>
    <cellStyle name="Процентный 5 2 181 2 3 2" xfId="63838"/>
    <cellStyle name="Процентный 5 2 181 2 4" xfId="42478"/>
    <cellStyle name="Процентный 5 2 181 3" xfId="15774"/>
    <cellStyle name="Процентный 5 2 181 3 2" xfId="47818"/>
    <cellStyle name="Процентный 5 2 181 4" xfId="26455"/>
    <cellStyle name="Процентный 5 2 181 4 2" xfId="58498"/>
    <cellStyle name="Процентный 5 2 181 5" xfId="37138"/>
    <cellStyle name="Процентный 5 2 182" xfId="5125"/>
    <cellStyle name="Процентный 5 2 182 2" xfId="10466"/>
    <cellStyle name="Процентный 5 2 182 2 2" xfId="21146"/>
    <cellStyle name="Процентный 5 2 182 2 2 2" xfId="53190"/>
    <cellStyle name="Процентный 5 2 182 2 3" xfId="31827"/>
    <cellStyle name="Процентный 5 2 182 2 3 2" xfId="63870"/>
    <cellStyle name="Процентный 5 2 182 2 4" xfId="42510"/>
    <cellStyle name="Процентный 5 2 182 3" xfId="15806"/>
    <cellStyle name="Процентный 5 2 182 3 2" xfId="47850"/>
    <cellStyle name="Процентный 5 2 182 4" xfId="26487"/>
    <cellStyle name="Процентный 5 2 182 4 2" xfId="58530"/>
    <cellStyle name="Процентный 5 2 182 5" xfId="37170"/>
    <cellStyle name="Процентный 5 2 183" xfId="5157"/>
    <cellStyle name="Процентный 5 2 183 2" xfId="10498"/>
    <cellStyle name="Процентный 5 2 183 2 2" xfId="21178"/>
    <cellStyle name="Процентный 5 2 183 2 2 2" xfId="53222"/>
    <cellStyle name="Процентный 5 2 183 2 3" xfId="31859"/>
    <cellStyle name="Процентный 5 2 183 2 3 2" xfId="63902"/>
    <cellStyle name="Процентный 5 2 183 2 4" xfId="42542"/>
    <cellStyle name="Процентный 5 2 183 3" xfId="15838"/>
    <cellStyle name="Процентный 5 2 183 3 2" xfId="47882"/>
    <cellStyle name="Процентный 5 2 183 4" xfId="26519"/>
    <cellStyle name="Процентный 5 2 183 4 2" xfId="58562"/>
    <cellStyle name="Процентный 5 2 183 5" xfId="37202"/>
    <cellStyle name="Процентный 5 2 184" xfId="5189"/>
    <cellStyle name="Процентный 5 2 184 2" xfId="10530"/>
    <cellStyle name="Процентный 5 2 184 2 2" xfId="21210"/>
    <cellStyle name="Процентный 5 2 184 2 2 2" xfId="53254"/>
    <cellStyle name="Процентный 5 2 184 2 3" xfId="31891"/>
    <cellStyle name="Процентный 5 2 184 2 3 2" xfId="63934"/>
    <cellStyle name="Процентный 5 2 184 2 4" xfId="42574"/>
    <cellStyle name="Процентный 5 2 184 3" xfId="15870"/>
    <cellStyle name="Процентный 5 2 184 3 2" xfId="47914"/>
    <cellStyle name="Процентный 5 2 184 4" xfId="26551"/>
    <cellStyle name="Процентный 5 2 184 4 2" xfId="58594"/>
    <cellStyle name="Процентный 5 2 184 5" xfId="37234"/>
    <cellStyle name="Процентный 5 2 185" xfId="5221"/>
    <cellStyle name="Процентный 5 2 185 2" xfId="10562"/>
    <cellStyle name="Процентный 5 2 185 2 2" xfId="21242"/>
    <cellStyle name="Процентный 5 2 185 2 2 2" xfId="53286"/>
    <cellStyle name="Процентный 5 2 185 2 3" xfId="31923"/>
    <cellStyle name="Процентный 5 2 185 2 3 2" xfId="63966"/>
    <cellStyle name="Процентный 5 2 185 2 4" xfId="42606"/>
    <cellStyle name="Процентный 5 2 185 3" xfId="15902"/>
    <cellStyle name="Процентный 5 2 185 3 2" xfId="47946"/>
    <cellStyle name="Процентный 5 2 185 4" xfId="26583"/>
    <cellStyle name="Процентный 5 2 185 4 2" xfId="58626"/>
    <cellStyle name="Процентный 5 2 185 5" xfId="37266"/>
    <cellStyle name="Процентный 5 2 186" xfId="5253"/>
    <cellStyle name="Процентный 5 2 186 2" xfId="10594"/>
    <cellStyle name="Процентный 5 2 186 2 2" xfId="21274"/>
    <cellStyle name="Процентный 5 2 186 2 2 2" xfId="53318"/>
    <cellStyle name="Процентный 5 2 186 2 3" xfId="31955"/>
    <cellStyle name="Процентный 5 2 186 2 3 2" xfId="63998"/>
    <cellStyle name="Процентный 5 2 186 2 4" xfId="42638"/>
    <cellStyle name="Процентный 5 2 186 3" xfId="15934"/>
    <cellStyle name="Процентный 5 2 186 3 2" xfId="47978"/>
    <cellStyle name="Процентный 5 2 186 4" xfId="26615"/>
    <cellStyle name="Процентный 5 2 186 4 2" xfId="58658"/>
    <cellStyle name="Процентный 5 2 186 5" xfId="37298"/>
    <cellStyle name="Процентный 5 2 187" xfId="5285"/>
    <cellStyle name="Процентный 5 2 187 2" xfId="10626"/>
    <cellStyle name="Процентный 5 2 187 2 2" xfId="21306"/>
    <cellStyle name="Процентный 5 2 187 2 2 2" xfId="53350"/>
    <cellStyle name="Процентный 5 2 187 2 3" xfId="31987"/>
    <cellStyle name="Процентный 5 2 187 2 3 2" xfId="64030"/>
    <cellStyle name="Процентный 5 2 187 2 4" xfId="42670"/>
    <cellStyle name="Процентный 5 2 187 3" xfId="15966"/>
    <cellStyle name="Процентный 5 2 187 3 2" xfId="48010"/>
    <cellStyle name="Процентный 5 2 187 4" xfId="26647"/>
    <cellStyle name="Процентный 5 2 187 4 2" xfId="58690"/>
    <cellStyle name="Процентный 5 2 187 5" xfId="37330"/>
    <cellStyle name="Процентный 5 2 188" xfId="5317"/>
    <cellStyle name="Процентный 5 2 188 2" xfId="10658"/>
    <cellStyle name="Процентный 5 2 188 2 2" xfId="21338"/>
    <cellStyle name="Процентный 5 2 188 2 2 2" xfId="53382"/>
    <cellStyle name="Процентный 5 2 188 2 3" xfId="32019"/>
    <cellStyle name="Процентный 5 2 188 2 3 2" xfId="64062"/>
    <cellStyle name="Процентный 5 2 188 2 4" xfId="42702"/>
    <cellStyle name="Процентный 5 2 188 3" xfId="15998"/>
    <cellStyle name="Процентный 5 2 188 3 2" xfId="48042"/>
    <cellStyle name="Процентный 5 2 188 4" xfId="26679"/>
    <cellStyle name="Процентный 5 2 188 4 2" xfId="58722"/>
    <cellStyle name="Процентный 5 2 188 5" xfId="37362"/>
    <cellStyle name="Процентный 5 2 189" xfId="5349"/>
    <cellStyle name="Процентный 5 2 189 2" xfId="10690"/>
    <cellStyle name="Процентный 5 2 189 2 2" xfId="21370"/>
    <cellStyle name="Процентный 5 2 189 2 2 2" xfId="53414"/>
    <cellStyle name="Процентный 5 2 189 2 3" xfId="32051"/>
    <cellStyle name="Процентный 5 2 189 2 3 2" xfId="64094"/>
    <cellStyle name="Процентный 5 2 189 2 4" xfId="42734"/>
    <cellStyle name="Процентный 5 2 189 3" xfId="16030"/>
    <cellStyle name="Процентный 5 2 189 3 2" xfId="48074"/>
    <cellStyle name="Процентный 5 2 189 4" xfId="26711"/>
    <cellStyle name="Процентный 5 2 189 4 2" xfId="58754"/>
    <cellStyle name="Процентный 5 2 189 5" xfId="37394"/>
    <cellStyle name="Процентный 5 2 19" xfId="247"/>
    <cellStyle name="Процентный 5 2 19 2" xfId="715"/>
    <cellStyle name="Процентный 5 2 19 2 2" xfId="6058"/>
    <cellStyle name="Процентный 5 2 19 2 2 2" xfId="16738"/>
    <cellStyle name="Процентный 5 2 19 2 2 2 2" xfId="48782"/>
    <cellStyle name="Процентный 5 2 19 2 2 3" xfId="27419"/>
    <cellStyle name="Процентный 5 2 19 2 2 3 2" xfId="59462"/>
    <cellStyle name="Процентный 5 2 19 2 2 4" xfId="38102"/>
    <cellStyle name="Процентный 5 2 19 2 3" xfId="11398"/>
    <cellStyle name="Процентный 5 2 19 2 3 2" xfId="43442"/>
    <cellStyle name="Процентный 5 2 19 2 4" xfId="22079"/>
    <cellStyle name="Процентный 5 2 19 2 4 2" xfId="54122"/>
    <cellStyle name="Процентный 5 2 19 2 5" xfId="32762"/>
    <cellStyle name="Процентный 5 2 19 3" xfId="5591"/>
    <cellStyle name="Процентный 5 2 19 3 2" xfId="16271"/>
    <cellStyle name="Процентный 5 2 19 3 2 2" xfId="48315"/>
    <cellStyle name="Процентный 5 2 19 3 3" xfId="26952"/>
    <cellStyle name="Процентный 5 2 19 3 3 2" xfId="58995"/>
    <cellStyle name="Процентный 5 2 19 3 4" xfId="37635"/>
    <cellStyle name="Процентный 5 2 19 4" xfId="10931"/>
    <cellStyle name="Процентный 5 2 19 4 2" xfId="42975"/>
    <cellStyle name="Процентный 5 2 19 5" xfId="21612"/>
    <cellStyle name="Процентный 5 2 19 5 2" xfId="53655"/>
    <cellStyle name="Процентный 5 2 19 6" xfId="32295"/>
    <cellStyle name="Процентный 5 2 190" xfId="5397"/>
    <cellStyle name="Процентный 5 2 190 2" xfId="16077"/>
    <cellStyle name="Процентный 5 2 190 2 2" xfId="48121"/>
    <cellStyle name="Процентный 5 2 190 3" xfId="26758"/>
    <cellStyle name="Процентный 5 2 190 3 2" xfId="58801"/>
    <cellStyle name="Процентный 5 2 190 4" xfId="37441"/>
    <cellStyle name="Процентный 5 2 191" xfId="10737"/>
    <cellStyle name="Процентный 5 2 191 2" xfId="42781"/>
    <cellStyle name="Процентный 5 2 192" xfId="21418"/>
    <cellStyle name="Процентный 5 2 192 2" xfId="53461"/>
    <cellStyle name="Процентный 5 2 193" xfId="32101"/>
    <cellStyle name="Процентный 5 2 2" xfId="81"/>
    <cellStyle name="Процентный 5 2 2 10" xfId="1163"/>
    <cellStyle name="Процентный 5 2 2 10 2" xfId="6506"/>
    <cellStyle name="Процентный 5 2 2 10 2 2" xfId="17186"/>
    <cellStyle name="Процентный 5 2 2 10 2 2 2" xfId="49230"/>
    <cellStyle name="Процентный 5 2 2 10 2 3" xfId="27867"/>
    <cellStyle name="Процентный 5 2 2 10 2 3 2" xfId="59910"/>
    <cellStyle name="Процентный 5 2 2 10 2 4" xfId="38550"/>
    <cellStyle name="Процентный 5 2 2 10 3" xfId="11846"/>
    <cellStyle name="Процентный 5 2 2 10 3 2" xfId="43890"/>
    <cellStyle name="Процентный 5 2 2 10 4" xfId="22527"/>
    <cellStyle name="Процентный 5 2 2 10 4 2" xfId="54570"/>
    <cellStyle name="Процентный 5 2 2 10 5" xfId="33210"/>
    <cellStyle name="Процентный 5 2 2 100" xfId="3823"/>
    <cellStyle name="Процентный 5 2 2 100 2" xfId="9164"/>
    <cellStyle name="Процентный 5 2 2 100 2 2" xfId="19844"/>
    <cellStyle name="Процентный 5 2 2 100 2 2 2" xfId="51888"/>
    <cellStyle name="Процентный 5 2 2 100 2 3" xfId="30525"/>
    <cellStyle name="Процентный 5 2 2 100 2 3 2" xfId="62568"/>
    <cellStyle name="Процентный 5 2 2 100 2 4" xfId="41208"/>
    <cellStyle name="Процентный 5 2 2 100 3" xfId="14504"/>
    <cellStyle name="Процентный 5 2 2 100 3 2" xfId="46548"/>
    <cellStyle name="Процентный 5 2 2 100 4" xfId="25185"/>
    <cellStyle name="Процентный 5 2 2 100 4 2" xfId="57228"/>
    <cellStyle name="Процентный 5 2 2 100 5" xfId="35868"/>
    <cellStyle name="Процентный 5 2 2 101" xfId="3855"/>
    <cellStyle name="Процентный 5 2 2 101 2" xfId="9196"/>
    <cellStyle name="Процентный 5 2 2 101 2 2" xfId="19876"/>
    <cellStyle name="Процентный 5 2 2 101 2 2 2" xfId="51920"/>
    <cellStyle name="Процентный 5 2 2 101 2 3" xfId="30557"/>
    <cellStyle name="Процентный 5 2 2 101 2 3 2" xfId="62600"/>
    <cellStyle name="Процентный 5 2 2 101 2 4" xfId="41240"/>
    <cellStyle name="Процентный 5 2 2 101 3" xfId="14536"/>
    <cellStyle name="Процентный 5 2 2 101 3 2" xfId="46580"/>
    <cellStyle name="Процентный 5 2 2 101 4" xfId="25217"/>
    <cellStyle name="Процентный 5 2 2 101 4 2" xfId="57260"/>
    <cellStyle name="Процентный 5 2 2 101 5" xfId="35900"/>
    <cellStyle name="Процентный 5 2 2 102" xfId="3887"/>
    <cellStyle name="Процентный 5 2 2 102 2" xfId="9228"/>
    <cellStyle name="Процентный 5 2 2 102 2 2" xfId="19908"/>
    <cellStyle name="Процентный 5 2 2 102 2 2 2" xfId="51952"/>
    <cellStyle name="Процентный 5 2 2 102 2 3" xfId="30589"/>
    <cellStyle name="Процентный 5 2 2 102 2 3 2" xfId="62632"/>
    <cellStyle name="Процентный 5 2 2 102 2 4" xfId="41272"/>
    <cellStyle name="Процентный 5 2 2 102 3" xfId="14568"/>
    <cellStyle name="Процентный 5 2 2 102 3 2" xfId="46612"/>
    <cellStyle name="Процентный 5 2 2 102 4" xfId="25249"/>
    <cellStyle name="Процентный 5 2 2 102 4 2" xfId="57292"/>
    <cellStyle name="Процентный 5 2 2 102 5" xfId="35932"/>
    <cellStyle name="Процентный 5 2 2 103" xfId="3919"/>
    <cellStyle name="Процентный 5 2 2 103 2" xfId="9260"/>
    <cellStyle name="Процентный 5 2 2 103 2 2" xfId="19940"/>
    <cellStyle name="Процентный 5 2 2 103 2 2 2" xfId="51984"/>
    <cellStyle name="Процентный 5 2 2 103 2 3" xfId="30621"/>
    <cellStyle name="Процентный 5 2 2 103 2 3 2" xfId="62664"/>
    <cellStyle name="Процентный 5 2 2 103 2 4" xfId="41304"/>
    <cellStyle name="Процентный 5 2 2 103 3" xfId="14600"/>
    <cellStyle name="Процентный 5 2 2 103 3 2" xfId="46644"/>
    <cellStyle name="Процентный 5 2 2 103 4" xfId="25281"/>
    <cellStyle name="Процентный 5 2 2 103 4 2" xfId="57324"/>
    <cellStyle name="Процентный 5 2 2 103 5" xfId="35964"/>
    <cellStyle name="Процентный 5 2 2 104" xfId="3951"/>
    <cellStyle name="Процентный 5 2 2 104 2" xfId="9292"/>
    <cellStyle name="Процентный 5 2 2 104 2 2" xfId="19972"/>
    <cellStyle name="Процентный 5 2 2 104 2 2 2" xfId="52016"/>
    <cellStyle name="Процентный 5 2 2 104 2 3" xfId="30653"/>
    <cellStyle name="Процентный 5 2 2 104 2 3 2" xfId="62696"/>
    <cellStyle name="Процентный 5 2 2 104 2 4" xfId="41336"/>
    <cellStyle name="Процентный 5 2 2 104 3" xfId="14632"/>
    <cellStyle name="Процентный 5 2 2 104 3 2" xfId="46676"/>
    <cellStyle name="Процентный 5 2 2 104 4" xfId="25313"/>
    <cellStyle name="Процентный 5 2 2 104 4 2" xfId="57356"/>
    <cellStyle name="Процентный 5 2 2 104 5" xfId="35996"/>
    <cellStyle name="Процентный 5 2 2 105" xfId="3983"/>
    <cellStyle name="Процентный 5 2 2 105 2" xfId="9324"/>
    <cellStyle name="Процентный 5 2 2 105 2 2" xfId="20004"/>
    <cellStyle name="Процентный 5 2 2 105 2 2 2" xfId="52048"/>
    <cellStyle name="Процентный 5 2 2 105 2 3" xfId="30685"/>
    <cellStyle name="Процентный 5 2 2 105 2 3 2" xfId="62728"/>
    <cellStyle name="Процентный 5 2 2 105 2 4" xfId="41368"/>
    <cellStyle name="Процентный 5 2 2 105 3" xfId="14664"/>
    <cellStyle name="Процентный 5 2 2 105 3 2" xfId="46708"/>
    <cellStyle name="Процентный 5 2 2 105 4" xfId="25345"/>
    <cellStyle name="Процентный 5 2 2 105 4 2" xfId="57388"/>
    <cellStyle name="Процентный 5 2 2 105 5" xfId="36028"/>
    <cellStyle name="Процентный 5 2 2 106" xfId="4015"/>
    <cellStyle name="Процентный 5 2 2 106 2" xfId="9356"/>
    <cellStyle name="Процентный 5 2 2 106 2 2" xfId="20036"/>
    <cellStyle name="Процентный 5 2 2 106 2 2 2" xfId="52080"/>
    <cellStyle name="Процентный 5 2 2 106 2 3" xfId="30717"/>
    <cellStyle name="Процентный 5 2 2 106 2 3 2" xfId="62760"/>
    <cellStyle name="Процентный 5 2 2 106 2 4" xfId="41400"/>
    <cellStyle name="Процентный 5 2 2 106 3" xfId="14696"/>
    <cellStyle name="Процентный 5 2 2 106 3 2" xfId="46740"/>
    <cellStyle name="Процентный 5 2 2 106 4" xfId="25377"/>
    <cellStyle name="Процентный 5 2 2 106 4 2" xfId="57420"/>
    <cellStyle name="Процентный 5 2 2 106 5" xfId="36060"/>
    <cellStyle name="Процентный 5 2 2 107" xfId="4047"/>
    <cellStyle name="Процентный 5 2 2 107 2" xfId="9388"/>
    <cellStyle name="Процентный 5 2 2 107 2 2" xfId="20068"/>
    <cellStyle name="Процентный 5 2 2 107 2 2 2" xfId="52112"/>
    <cellStyle name="Процентный 5 2 2 107 2 3" xfId="30749"/>
    <cellStyle name="Процентный 5 2 2 107 2 3 2" xfId="62792"/>
    <cellStyle name="Процентный 5 2 2 107 2 4" xfId="41432"/>
    <cellStyle name="Процентный 5 2 2 107 3" xfId="14728"/>
    <cellStyle name="Процентный 5 2 2 107 3 2" xfId="46772"/>
    <cellStyle name="Процентный 5 2 2 107 4" xfId="25409"/>
    <cellStyle name="Процентный 5 2 2 107 4 2" xfId="57452"/>
    <cellStyle name="Процентный 5 2 2 107 5" xfId="36092"/>
    <cellStyle name="Процентный 5 2 2 108" xfId="4079"/>
    <cellStyle name="Процентный 5 2 2 108 2" xfId="9420"/>
    <cellStyle name="Процентный 5 2 2 108 2 2" xfId="20100"/>
    <cellStyle name="Процентный 5 2 2 108 2 2 2" xfId="52144"/>
    <cellStyle name="Процентный 5 2 2 108 2 3" xfId="30781"/>
    <cellStyle name="Процентный 5 2 2 108 2 3 2" xfId="62824"/>
    <cellStyle name="Процентный 5 2 2 108 2 4" xfId="41464"/>
    <cellStyle name="Процентный 5 2 2 108 3" xfId="14760"/>
    <cellStyle name="Процентный 5 2 2 108 3 2" xfId="46804"/>
    <cellStyle name="Процентный 5 2 2 108 4" xfId="25441"/>
    <cellStyle name="Процентный 5 2 2 108 4 2" xfId="57484"/>
    <cellStyle name="Процентный 5 2 2 108 5" xfId="36124"/>
    <cellStyle name="Процентный 5 2 2 109" xfId="4111"/>
    <cellStyle name="Процентный 5 2 2 109 2" xfId="9452"/>
    <cellStyle name="Процентный 5 2 2 109 2 2" xfId="20132"/>
    <cellStyle name="Процентный 5 2 2 109 2 2 2" xfId="52176"/>
    <cellStyle name="Процентный 5 2 2 109 2 3" xfId="30813"/>
    <cellStyle name="Процентный 5 2 2 109 2 3 2" xfId="62856"/>
    <cellStyle name="Процентный 5 2 2 109 2 4" xfId="41496"/>
    <cellStyle name="Процентный 5 2 2 109 3" xfId="14792"/>
    <cellStyle name="Процентный 5 2 2 109 3 2" xfId="46836"/>
    <cellStyle name="Процентный 5 2 2 109 4" xfId="25473"/>
    <cellStyle name="Процентный 5 2 2 109 4 2" xfId="57516"/>
    <cellStyle name="Процентный 5 2 2 109 5" xfId="36156"/>
    <cellStyle name="Процентный 5 2 2 11" xfId="1189"/>
    <cellStyle name="Процентный 5 2 2 11 2" xfId="6532"/>
    <cellStyle name="Процентный 5 2 2 11 2 2" xfId="17212"/>
    <cellStyle name="Процентный 5 2 2 11 2 2 2" xfId="49256"/>
    <cellStyle name="Процентный 5 2 2 11 2 3" xfId="27893"/>
    <cellStyle name="Процентный 5 2 2 11 2 3 2" xfId="59936"/>
    <cellStyle name="Процентный 5 2 2 11 2 4" xfId="38576"/>
    <cellStyle name="Процентный 5 2 2 11 3" xfId="11872"/>
    <cellStyle name="Процентный 5 2 2 11 3 2" xfId="43916"/>
    <cellStyle name="Процентный 5 2 2 11 4" xfId="22553"/>
    <cellStyle name="Процентный 5 2 2 11 4 2" xfId="54596"/>
    <cellStyle name="Процентный 5 2 2 11 5" xfId="33236"/>
    <cellStyle name="Процентный 5 2 2 110" xfId="4143"/>
    <cellStyle name="Процентный 5 2 2 110 2" xfId="9484"/>
    <cellStyle name="Процентный 5 2 2 110 2 2" xfId="20164"/>
    <cellStyle name="Процентный 5 2 2 110 2 2 2" xfId="52208"/>
    <cellStyle name="Процентный 5 2 2 110 2 3" xfId="30845"/>
    <cellStyle name="Процентный 5 2 2 110 2 3 2" xfId="62888"/>
    <cellStyle name="Процентный 5 2 2 110 2 4" xfId="41528"/>
    <cellStyle name="Процентный 5 2 2 110 3" xfId="14824"/>
    <cellStyle name="Процентный 5 2 2 110 3 2" xfId="46868"/>
    <cellStyle name="Процентный 5 2 2 110 4" xfId="25505"/>
    <cellStyle name="Процентный 5 2 2 110 4 2" xfId="57548"/>
    <cellStyle name="Процентный 5 2 2 110 5" xfId="36188"/>
    <cellStyle name="Процентный 5 2 2 111" xfId="4175"/>
    <cellStyle name="Процентный 5 2 2 111 2" xfId="9516"/>
    <cellStyle name="Процентный 5 2 2 111 2 2" xfId="20196"/>
    <cellStyle name="Процентный 5 2 2 111 2 2 2" xfId="52240"/>
    <cellStyle name="Процентный 5 2 2 111 2 3" xfId="30877"/>
    <cellStyle name="Процентный 5 2 2 111 2 3 2" xfId="62920"/>
    <cellStyle name="Процентный 5 2 2 111 2 4" xfId="41560"/>
    <cellStyle name="Процентный 5 2 2 111 3" xfId="14856"/>
    <cellStyle name="Процентный 5 2 2 111 3 2" xfId="46900"/>
    <cellStyle name="Процентный 5 2 2 111 4" xfId="25537"/>
    <cellStyle name="Процентный 5 2 2 111 4 2" xfId="57580"/>
    <cellStyle name="Процентный 5 2 2 111 5" xfId="36220"/>
    <cellStyle name="Процентный 5 2 2 112" xfId="4207"/>
    <cellStyle name="Процентный 5 2 2 112 2" xfId="9548"/>
    <cellStyle name="Процентный 5 2 2 112 2 2" xfId="20228"/>
    <cellStyle name="Процентный 5 2 2 112 2 2 2" xfId="52272"/>
    <cellStyle name="Процентный 5 2 2 112 2 3" xfId="30909"/>
    <cellStyle name="Процентный 5 2 2 112 2 3 2" xfId="62952"/>
    <cellStyle name="Процентный 5 2 2 112 2 4" xfId="41592"/>
    <cellStyle name="Процентный 5 2 2 112 3" xfId="14888"/>
    <cellStyle name="Процентный 5 2 2 112 3 2" xfId="46932"/>
    <cellStyle name="Процентный 5 2 2 112 4" xfId="25569"/>
    <cellStyle name="Процентный 5 2 2 112 4 2" xfId="57612"/>
    <cellStyle name="Процентный 5 2 2 112 5" xfId="36252"/>
    <cellStyle name="Процентный 5 2 2 113" xfId="4239"/>
    <cellStyle name="Процентный 5 2 2 113 2" xfId="9580"/>
    <cellStyle name="Процентный 5 2 2 113 2 2" xfId="20260"/>
    <cellStyle name="Процентный 5 2 2 113 2 2 2" xfId="52304"/>
    <cellStyle name="Процентный 5 2 2 113 2 3" xfId="30941"/>
    <cellStyle name="Процентный 5 2 2 113 2 3 2" xfId="62984"/>
    <cellStyle name="Процентный 5 2 2 113 2 4" xfId="41624"/>
    <cellStyle name="Процентный 5 2 2 113 3" xfId="14920"/>
    <cellStyle name="Процентный 5 2 2 113 3 2" xfId="46964"/>
    <cellStyle name="Процентный 5 2 2 113 4" xfId="25601"/>
    <cellStyle name="Процентный 5 2 2 113 4 2" xfId="57644"/>
    <cellStyle name="Процентный 5 2 2 113 5" xfId="36284"/>
    <cellStyle name="Процентный 5 2 2 114" xfId="4271"/>
    <cellStyle name="Процентный 5 2 2 114 2" xfId="9612"/>
    <cellStyle name="Процентный 5 2 2 114 2 2" xfId="20292"/>
    <cellStyle name="Процентный 5 2 2 114 2 2 2" xfId="52336"/>
    <cellStyle name="Процентный 5 2 2 114 2 3" xfId="30973"/>
    <cellStyle name="Процентный 5 2 2 114 2 3 2" xfId="63016"/>
    <cellStyle name="Процентный 5 2 2 114 2 4" xfId="41656"/>
    <cellStyle name="Процентный 5 2 2 114 3" xfId="14952"/>
    <cellStyle name="Процентный 5 2 2 114 3 2" xfId="46996"/>
    <cellStyle name="Процентный 5 2 2 114 4" xfId="25633"/>
    <cellStyle name="Процентный 5 2 2 114 4 2" xfId="57676"/>
    <cellStyle name="Процентный 5 2 2 114 5" xfId="36316"/>
    <cellStyle name="Процентный 5 2 2 115" xfId="4303"/>
    <cellStyle name="Процентный 5 2 2 115 2" xfId="9644"/>
    <cellStyle name="Процентный 5 2 2 115 2 2" xfId="20324"/>
    <cellStyle name="Процентный 5 2 2 115 2 2 2" xfId="52368"/>
    <cellStyle name="Процентный 5 2 2 115 2 3" xfId="31005"/>
    <cellStyle name="Процентный 5 2 2 115 2 3 2" xfId="63048"/>
    <cellStyle name="Процентный 5 2 2 115 2 4" xfId="41688"/>
    <cellStyle name="Процентный 5 2 2 115 3" xfId="14984"/>
    <cellStyle name="Процентный 5 2 2 115 3 2" xfId="47028"/>
    <cellStyle name="Процентный 5 2 2 115 4" xfId="25665"/>
    <cellStyle name="Процентный 5 2 2 115 4 2" xfId="57708"/>
    <cellStyle name="Процентный 5 2 2 115 5" xfId="36348"/>
    <cellStyle name="Процентный 5 2 2 116" xfId="4335"/>
    <cellStyle name="Процентный 5 2 2 116 2" xfId="9676"/>
    <cellStyle name="Процентный 5 2 2 116 2 2" xfId="20356"/>
    <cellStyle name="Процентный 5 2 2 116 2 2 2" xfId="52400"/>
    <cellStyle name="Процентный 5 2 2 116 2 3" xfId="31037"/>
    <cellStyle name="Процентный 5 2 2 116 2 3 2" xfId="63080"/>
    <cellStyle name="Процентный 5 2 2 116 2 4" xfId="41720"/>
    <cellStyle name="Процентный 5 2 2 116 3" xfId="15016"/>
    <cellStyle name="Процентный 5 2 2 116 3 2" xfId="47060"/>
    <cellStyle name="Процентный 5 2 2 116 4" xfId="25697"/>
    <cellStyle name="Процентный 5 2 2 116 4 2" xfId="57740"/>
    <cellStyle name="Процентный 5 2 2 116 5" xfId="36380"/>
    <cellStyle name="Процентный 5 2 2 117" xfId="4367"/>
    <cellStyle name="Процентный 5 2 2 117 2" xfId="9708"/>
    <cellStyle name="Процентный 5 2 2 117 2 2" xfId="20388"/>
    <cellStyle name="Процентный 5 2 2 117 2 2 2" xfId="52432"/>
    <cellStyle name="Процентный 5 2 2 117 2 3" xfId="31069"/>
    <cellStyle name="Процентный 5 2 2 117 2 3 2" xfId="63112"/>
    <cellStyle name="Процентный 5 2 2 117 2 4" xfId="41752"/>
    <cellStyle name="Процентный 5 2 2 117 3" xfId="15048"/>
    <cellStyle name="Процентный 5 2 2 117 3 2" xfId="47092"/>
    <cellStyle name="Процентный 5 2 2 117 4" xfId="25729"/>
    <cellStyle name="Процентный 5 2 2 117 4 2" xfId="57772"/>
    <cellStyle name="Процентный 5 2 2 117 5" xfId="36412"/>
    <cellStyle name="Процентный 5 2 2 118" xfId="4399"/>
    <cellStyle name="Процентный 5 2 2 118 2" xfId="9740"/>
    <cellStyle name="Процентный 5 2 2 118 2 2" xfId="20420"/>
    <cellStyle name="Процентный 5 2 2 118 2 2 2" xfId="52464"/>
    <cellStyle name="Процентный 5 2 2 118 2 3" xfId="31101"/>
    <cellStyle name="Процентный 5 2 2 118 2 3 2" xfId="63144"/>
    <cellStyle name="Процентный 5 2 2 118 2 4" xfId="41784"/>
    <cellStyle name="Процентный 5 2 2 118 3" xfId="15080"/>
    <cellStyle name="Процентный 5 2 2 118 3 2" xfId="47124"/>
    <cellStyle name="Процентный 5 2 2 118 4" xfId="25761"/>
    <cellStyle name="Процентный 5 2 2 118 4 2" xfId="57804"/>
    <cellStyle name="Процентный 5 2 2 118 5" xfId="36444"/>
    <cellStyle name="Процентный 5 2 2 119" xfId="4431"/>
    <cellStyle name="Процентный 5 2 2 119 2" xfId="9772"/>
    <cellStyle name="Процентный 5 2 2 119 2 2" xfId="20452"/>
    <cellStyle name="Процентный 5 2 2 119 2 2 2" xfId="52496"/>
    <cellStyle name="Процентный 5 2 2 119 2 3" xfId="31133"/>
    <cellStyle name="Процентный 5 2 2 119 2 3 2" xfId="63176"/>
    <cellStyle name="Процентный 5 2 2 119 2 4" xfId="41816"/>
    <cellStyle name="Процентный 5 2 2 119 3" xfId="15112"/>
    <cellStyle name="Процентный 5 2 2 119 3 2" xfId="47156"/>
    <cellStyle name="Процентный 5 2 2 119 4" xfId="25793"/>
    <cellStyle name="Процентный 5 2 2 119 4 2" xfId="57836"/>
    <cellStyle name="Процентный 5 2 2 119 5" xfId="36476"/>
    <cellStyle name="Процентный 5 2 2 12" xfId="1215"/>
    <cellStyle name="Процентный 5 2 2 12 2" xfId="6558"/>
    <cellStyle name="Процентный 5 2 2 12 2 2" xfId="17238"/>
    <cellStyle name="Процентный 5 2 2 12 2 2 2" xfId="49282"/>
    <cellStyle name="Процентный 5 2 2 12 2 3" xfId="27919"/>
    <cellStyle name="Процентный 5 2 2 12 2 3 2" xfId="59962"/>
    <cellStyle name="Процентный 5 2 2 12 2 4" xfId="38602"/>
    <cellStyle name="Процентный 5 2 2 12 3" xfId="11898"/>
    <cellStyle name="Процентный 5 2 2 12 3 2" xfId="43942"/>
    <cellStyle name="Процентный 5 2 2 12 4" xfId="22579"/>
    <cellStyle name="Процентный 5 2 2 12 4 2" xfId="54622"/>
    <cellStyle name="Процентный 5 2 2 12 5" xfId="33262"/>
    <cellStyle name="Процентный 5 2 2 120" xfId="4463"/>
    <cellStyle name="Процентный 5 2 2 120 2" xfId="9804"/>
    <cellStyle name="Процентный 5 2 2 120 2 2" xfId="20484"/>
    <cellStyle name="Процентный 5 2 2 120 2 2 2" xfId="52528"/>
    <cellStyle name="Процентный 5 2 2 120 2 3" xfId="31165"/>
    <cellStyle name="Процентный 5 2 2 120 2 3 2" xfId="63208"/>
    <cellStyle name="Процентный 5 2 2 120 2 4" xfId="41848"/>
    <cellStyle name="Процентный 5 2 2 120 3" xfId="15144"/>
    <cellStyle name="Процентный 5 2 2 120 3 2" xfId="47188"/>
    <cellStyle name="Процентный 5 2 2 120 4" xfId="25825"/>
    <cellStyle name="Процентный 5 2 2 120 4 2" xfId="57868"/>
    <cellStyle name="Процентный 5 2 2 120 5" xfId="36508"/>
    <cellStyle name="Процентный 5 2 2 121" xfId="4495"/>
    <cellStyle name="Процентный 5 2 2 121 2" xfId="9836"/>
    <cellStyle name="Процентный 5 2 2 121 2 2" xfId="20516"/>
    <cellStyle name="Процентный 5 2 2 121 2 2 2" xfId="52560"/>
    <cellStyle name="Процентный 5 2 2 121 2 3" xfId="31197"/>
    <cellStyle name="Процентный 5 2 2 121 2 3 2" xfId="63240"/>
    <cellStyle name="Процентный 5 2 2 121 2 4" xfId="41880"/>
    <cellStyle name="Процентный 5 2 2 121 3" xfId="15176"/>
    <cellStyle name="Процентный 5 2 2 121 3 2" xfId="47220"/>
    <cellStyle name="Процентный 5 2 2 121 4" xfId="25857"/>
    <cellStyle name="Процентный 5 2 2 121 4 2" xfId="57900"/>
    <cellStyle name="Процентный 5 2 2 121 5" xfId="36540"/>
    <cellStyle name="Процентный 5 2 2 122" xfId="4527"/>
    <cellStyle name="Процентный 5 2 2 122 2" xfId="9868"/>
    <cellStyle name="Процентный 5 2 2 122 2 2" xfId="20548"/>
    <cellStyle name="Процентный 5 2 2 122 2 2 2" xfId="52592"/>
    <cellStyle name="Процентный 5 2 2 122 2 3" xfId="31229"/>
    <cellStyle name="Процентный 5 2 2 122 2 3 2" xfId="63272"/>
    <cellStyle name="Процентный 5 2 2 122 2 4" xfId="41912"/>
    <cellStyle name="Процентный 5 2 2 122 3" xfId="15208"/>
    <cellStyle name="Процентный 5 2 2 122 3 2" xfId="47252"/>
    <cellStyle name="Процентный 5 2 2 122 4" xfId="25889"/>
    <cellStyle name="Процентный 5 2 2 122 4 2" xfId="57932"/>
    <cellStyle name="Процентный 5 2 2 122 5" xfId="36572"/>
    <cellStyle name="Процентный 5 2 2 123" xfId="4559"/>
    <cellStyle name="Процентный 5 2 2 123 2" xfId="9900"/>
    <cellStyle name="Процентный 5 2 2 123 2 2" xfId="20580"/>
    <cellStyle name="Процентный 5 2 2 123 2 2 2" xfId="52624"/>
    <cellStyle name="Процентный 5 2 2 123 2 3" xfId="31261"/>
    <cellStyle name="Процентный 5 2 2 123 2 3 2" xfId="63304"/>
    <cellStyle name="Процентный 5 2 2 123 2 4" xfId="41944"/>
    <cellStyle name="Процентный 5 2 2 123 3" xfId="15240"/>
    <cellStyle name="Процентный 5 2 2 123 3 2" xfId="47284"/>
    <cellStyle name="Процентный 5 2 2 123 4" xfId="25921"/>
    <cellStyle name="Процентный 5 2 2 123 4 2" xfId="57964"/>
    <cellStyle name="Процентный 5 2 2 123 5" xfId="36604"/>
    <cellStyle name="Процентный 5 2 2 124" xfId="4591"/>
    <cellStyle name="Процентный 5 2 2 124 2" xfId="9932"/>
    <cellStyle name="Процентный 5 2 2 124 2 2" xfId="20612"/>
    <cellStyle name="Процентный 5 2 2 124 2 2 2" xfId="52656"/>
    <cellStyle name="Процентный 5 2 2 124 2 3" xfId="31293"/>
    <cellStyle name="Процентный 5 2 2 124 2 3 2" xfId="63336"/>
    <cellStyle name="Процентный 5 2 2 124 2 4" xfId="41976"/>
    <cellStyle name="Процентный 5 2 2 124 3" xfId="15272"/>
    <cellStyle name="Процентный 5 2 2 124 3 2" xfId="47316"/>
    <cellStyle name="Процентный 5 2 2 124 4" xfId="25953"/>
    <cellStyle name="Процентный 5 2 2 124 4 2" xfId="57996"/>
    <cellStyle name="Процентный 5 2 2 124 5" xfId="36636"/>
    <cellStyle name="Процентный 5 2 2 125" xfId="4623"/>
    <cellStyle name="Процентный 5 2 2 125 2" xfId="9964"/>
    <cellStyle name="Процентный 5 2 2 125 2 2" xfId="20644"/>
    <cellStyle name="Процентный 5 2 2 125 2 2 2" xfId="52688"/>
    <cellStyle name="Процентный 5 2 2 125 2 3" xfId="31325"/>
    <cellStyle name="Процентный 5 2 2 125 2 3 2" xfId="63368"/>
    <cellStyle name="Процентный 5 2 2 125 2 4" xfId="42008"/>
    <cellStyle name="Процентный 5 2 2 125 3" xfId="15304"/>
    <cellStyle name="Процентный 5 2 2 125 3 2" xfId="47348"/>
    <cellStyle name="Процентный 5 2 2 125 4" xfId="25985"/>
    <cellStyle name="Процентный 5 2 2 125 4 2" xfId="58028"/>
    <cellStyle name="Процентный 5 2 2 125 5" xfId="36668"/>
    <cellStyle name="Процентный 5 2 2 126" xfId="4655"/>
    <cellStyle name="Процентный 5 2 2 126 2" xfId="9996"/>
    <cellStyle name="Процентный 5 2 2 126 2 2" xfId="20676"/>
    <cellStyle name="Процентный 5 2 2 126 2 2 2" xfId="52720"/>
    <cellStyle name="Процентный 5 2 2 126 2 3" xfId="31357"/>
    <cellStyle name="Процентный 5 2 2 126 2 3 2" xfId="63400"/>
    <cellStyle name="Процентный 5 2 2 126 2 4" xfId="42040"/>
    <cellStyle name="Процентный 5 2 2 126 3" xfId="15336"/>
    <cellStyle name="Процентный 5 2 2 126 3 2" xfId="47380"/>
    <cellStyle name="Процентный 5 2 2 126 4" xfId="26017"/>
    <cellStyle name="Процентный 5 2 2 126 4 2" xfId="58060"/>
    <cellStyle name="Процентный 5 2 2 126 5" xfId="36700"/>
    <cellStyle name="Процентный 5 2 2 127" xfId="4687"/>
    <cellStyle name="Процентный 5 2 2 127 2" xfId="10028"/>
    <cellStyle name="Процентный 5 2 2 127 2 2" xfId="20708"/>
    <cellStyle name="Процентный 5 2 2 127 2 2 2" xfId="52752"/>
    <cellStyle name="Процентный 5 2 2 127 2 3" xfId="31389"/>
    <cellStyle name="Процентный 5 2 2 127 2 3 2" xfId="63432"/>
    <cellStyle name="Процентный 5 2 2 127 2 4" xfId="42072"/>
    <cellStyle name="Процентный 5 2 2 127 3" xfId="15368"/>
    <cellStyle name="Процентный 5 2 2 127 3 2" xfId="47412"/>
    <cellStyle name="Процентный 5 2 2 127 4" xfId="26049"/>
    <cellStyle name="Процентный 5 2 2 127 4 2" xfId="58092"/>
    <cellStyle name="Процентный 5 2 2 127 5" xfId="36732"/>
    <cellStyle name="Процентный 5 2 2 128" xfId="4721"/>
    <cellStyle name="Процентный 5 2 2 128 2" xfId="10062"/>
    <cellStyle name="Процентный 5 2 2 128 2 2" xfId="20742"/>
    <cellStyle name="Процентный 5 2 2 128 2 2 2" xfId="52786"/>
    <cellStyle name="Процентный 5 2 2 128 2 3" xfId="31423"/>
    <cellStyle name="Процентный 5 2 2 128 2 3 2" xfId="63466"/>
    <cellStyle name="Процентный 5 2 2 128 2 4" xfId="42106"/>
    <cellStyle name="Процентный 5 2 2 128 3" xfId="15402"/>
    <cellStyle name="Процентный 5 2 2 128 3 2" xfId="47446"/>
    <cellStyle name="Процентный 5 2 2 128 4" xfId="26083"/>
    <cellStyle name="Процентный 5 2 2 128 4 2" xfId="58126"/>
    <cellStyle name="Процентный 5 2 2 128 5" xfId="36766"/>
    <cellStyle name="Процентный 5 2 2 129" xfId="4753"/>
    <cellStyle name="Процентный 5 2 2 129 2" xfId="10094"/>
    <cellStyle name="Процентный 5 2 2 129 2 2" xfId="20774"/>
    <cellStyle name="Процентный 5 2 2 129 2 2 2" xfId="52818"/>
    <cellStyle name="Процентный 5 2 2 129 2 3" xfId="31455"/>
    <cellStyle name="Процентный 5 2 2 129 2 3 2" xfId="63498"/>
    <cellStyle name="Процентный 5 2 2 129 2 4" xfId="42138"/>
    <cellStyle name="Процентный 5 2 2 129 3" xfId="15434"/>
    <cellStyle name="Процентный 5 2 2 129 3 2" xfId="47478"/>
    <cellStyle name="Процентный 5 2 2 129 4" xfId="26115"/>
    <cellStyle name="Процентный 5 2 2 129 4 2" xfId="58158"/>
    <cellStyle name="Процентный 5 2 2 129 5" xfId="36798"/>
    <cellStyle name="Процентный 5 2 2 13" xfId="1241"/>
    <cellStyle name="Процентный 5 2 2 13 2" xfId="6584"/>
    <cellStyle name="Процентный 5 2 2 13 2 2" xfId="17264"/>
    <cellStyle name="Процентный 5 2 2 13 2 2 2" xfId="49308"/>
    <cellStyle name="Процентный 5 2 2 13 2 3" xfId="27945"/>
    <cellStyle name="Процентный 5 2 2 13 2 3 2" xfId="59988"/>
    <cellStyle name="Процентный 5 2 2 13 2 4" xfId="38628"/>
    <cellStyle name="Процентный 5 2 2 13 3" xfId="11924"/>
    <cellStyle name="Процентный 5 2 2 13 3 2" xfId="43968"/>
    <cellStyle name="Процентный 5 2 2 13 4" xfId="22605"/>
    <cellStyle name="Процентный 5 2 2 13 4 2" xfId="54648"/>
    <cellStyle name="Процентный 5 2 2 13 5" xfId="33288"/>
    <cellStyle name="Процентный 5 2 2 130" xfId="4785"/>
    <cellStyle name="Процентный 5 2 2 130 2" xfId="10126"/>
    <cellStyle name="Процентный 5 2 2 130 2 2" xfId="20806"/>
    <cellStyle name="Процентный 5 2 2 130 2 2 2" xfId="52850"/>
    <cellStyle name="Процентный 5 2 2 130 2 3" xfId="31487"/>
    <cellStyle name="Процентный 5 2 2 130 2 3 2" xfId="63530"/>
    <cellStyle name="Процентный 5 2 2 130 2 4" xfId="42170"/>
    <cellStyle name="Процентный 5 2 2 130 3" xfId="15466"/>
    <cellStyle name="Процентный 5 2 2 130 3 2" xfId="47510"/>
    <cellStyle name="Процентный 5 2 2 130 4" xfId="26147"/>
    <cellStyle name="Процентный 5 2 2 130 4 2" xfId="58190"/>
    <cellStyle name="Процентный 5 2 2 130 5" xfId="36830"/>
    <cellStyle name="Процентный 5 2 2 131" xfId="4817"/>
    <cellStyle name="Процентный 5 2 2 131 2" xfId="10158"/>
    <cellStyle name="Процентный 5 2 2 131 2 2" xfId="20838"/>
    <cellStyle name="Процентный 5 2 2 131 2 2 2" xfId="52882"/>
    <cellStyle name="Процентный 5 2 2 131 2 3" xfId="31519"/>
    <cellStyle name="Процентный 5 2 2 131 2 3 2" xfId="63562"/>
    <cellStyle name="Процентный 5 2 2 131 2 4" xfId="42202"/>
    <cellStyle name="Процентный 5 2 2 131 3" xfId="15498"/>
    <cellStyle name="Процентный 5 2 2 131 3 2" xfId="47542"/>
    <cellStyle name="Процентный 5 2 2 131 4" xfId="26179"/>
    <cellStyle name="Процентный 5 2 2 131 4 2" xfId="58222"/>
    <cellStyle name="Процентный 5 2 2 131 5" xfId="36862"/>
    <cellStyle name="Процентный 5 2 2 132" xfId="4849"/>
    <cellStyle name="Процентный 5 2 2 132 2" xfId="10190"/>
    <cellStyle name="Процентный 5 2 2 132 2 2" xfId="20870"/>
    <cellStyle name="Процентный 5 2 2 132 2 2 2" xfId="52914"/>
    <cellStyle name="Процентный 5 2 2 132 2 3" xfId="31551"/>
    <cellStyle name="Процентный 5 2 2 132 2 3 2" xfId="63594"/>
    <cellStyle name="Процентный 5 2 2 132 2 4" xfId="42234"/>
    <cellStyle name="Процентный 5 2 2 132 3" xfId="15530"/>
    <cellStyle name="Процентный 5 2 2 132 3 2" xfId="47574"/>
    <cellStyle name="Процентный 5 2 2 132 4" xfId="26211"/>
    <cellStyle name="Процентный 5 2 2 132 4 2" xfId="58254"/>
    <cellStyle name="Процентный 5 2 2 132 5" xfId="36894"/>
    <cellStyle name="Процентный 5 2 2 133" xfId="4881"/>
    <cellStyle name="Процентный 5 2 2 133 2" xfId="10222"/>
    <cellStyle name="Процентный 5 2 2 133 2 2" xfId="20902"/>
    <cellStyle name="Процентный 5 2 2 133 2 2 2" xfId="52946"/>
    <cellStyle name="Процентный 5 2 2 133 2 3" xfId="31583"/>
    <cellStyle name="Процентный 5 2 2 133 2 3 2" xfId="63626"/>
    <cellStyle name="Процентный 5 2 2 133 2 4" xfId="42266"/>
    <cellStyle name="Процентный 5 2 2 133 3" xfId="15562"/>
    <cellStyle name="Процентный 5 2 2 133 3 2" xfId="47606"/>
    <cellStyle name="Процентный 5 2 2 133 4" xfId="26243"/>
    <cellStyle name="Процентный 5 2 2 133 4 2" xfId="58286"/>
    <cellStyle name="Процентный 5 2 2 133 5" xfId="36926"/>
    <cellStyle name="Процентный 5 2 2 134" xfId="4913"/>
    <cellStyle name="Процентный 5 2 2 134 2" xfId="10254"/>
    <cellStyle name="Процентный 5 2 2 134 2 2" xfId="20934"/>
    <cellStyle name="Процентный 5 2 2 134 2 2 2" xfId="52978"/>
    <cellStyle name="Процентный 5 2 2 134 2 3" xfId="31615"/>
    <cellStyle name="Процентный 5 2 2 134 2 3 2" xfId="63658"/>
    <cellStyle name="Процентный 5 2 2 134 2 4" xfId="42298"/>
    <cellStyle name="Процентный 5 2 2 134 3" xfId="15594"/>
    <cellStyle name="Процентный 5 2 2 134 3 2" xfId="47638"/>
    <cellStyle name="Процентный 5 2 2 134 4" xfId="26275"/>
    <cellStyle name="Процентный 5 2 2 134 4 2" xfId="58318"/>
    <cellStyle name="Процентный 5 2 2 134 5" xfId="36958"/>
    <cellStyle name="Процентный 5 2 2 135" xfId="4945"/>
    <cellStyle name="Процентный 5 2 2 135 2" xfId="10286"/>
    <cellStyle name="Процентный 5 2 2 135 2 2" xfId="20966"/>
    <cellStyle name="Процентный 5 2 2 135 2 2 2" xfId="53010"/>
    <cellStyle name="Процентный 5 2 2 135 2 3" xfId="31647"/>
    <cellStyle name="Процентный 5 2 2 135 2 3 2" xfId="63690"/>
    <cellStyle name="Процентный 5 2 2 135 2 4" xfId="42330"/>
    <cellStyle name="Процентный 5 2 2 135 3" xfId="15626"/>
    <cellStyle name="Процентный 5 2 2 135 3 2" xfId="47670"/>
    <cellStyle name="Процентный 5 2 2 135 4" xfId="26307"/>
    <cellStyle name="Процентный 5 2 2 135 4 2" xfId="58350"/>
    <cellStyle name="Процентный 5 2 2 135 5" xfId="36990"/>
    <cellStyle name="Процентный 5 2 2 136" xfId="4977"/>
    <cellStyle name="Процентный 5 2 2 136 2" xfId="10318"/>
    <cellStyle name="Процентный 5 2 2 136 2 2" xfId="20998"/>
    <cellStyle name="Процентный 5 2 2 136 2 2 2" xfId="53042"/>
    <cellStyle name="Процентный 5 2 2 136 2 3" xfId="31679"/>
    <cellStyle name="Процентный 5 2 2 136 2 3 2" xfId="63722"/>
    <cellStyle name="Процентный 5 2 2 136 2 4" xfId="42362"/>
    <cellStyle name="Процентный 5 2 2 136 3" xfId="15658"/>
    <cellStyle name="Процентный 5 2 2 136 3 2" xfId="47702"/>
    <cellStyle name="Процентный 5 2 2 136 4" xfId="26339"/>
    <cellStyle name="Процентный 5 2 2 136 4 2" xfId="58382"/>
    <cellStyle name="Процентный 5 2 2 136 5" xfId="37022"/>
    <cellStyle name="Процентный 5 2 2 137" xfId="5009"/>
    <cellStyle name="Процентный 5 2 2 137 2" xfId="10350"/>
    <cellStyle name="Процентный 5 2 2 137 2 2" xfId="21030"/>
    <cellStyle name="Процентный 5 2 2 137 2 2 2" xfId="53074"/>
    <cellStyle name="Процентный 5 2 2 137 2 3" xfId="31711"/>
    <cellStyle name="Процентный 5 2 2 137 2 3 2" xfId="63754"/>
    <cellStyle name="Процентный 5 2 2 137 2 4" xfId="42394"/>
    <cellStyle name="Процентный 5 2 2 137 3" xfId="15690"/>
    <cellStyle name="Процентный 5 2 2 137 3 2" xfId="47734"/>
    <cellStyle name="Процентный 5 2 2 137 4" xfId="26371"/>
    <cellStyle name="Процентный 5 2 2 137 4 2" xfId="58414"/>
    <cellStyle name="Процентный 5 2 2 137 5" xfId="37054"/>
    <cellStyle name="Процентный 5 2 2 138" xfId="5041"/>
    <cellStyle name="Процентный 5 2 2 138 2" xfId="10382"/>
    <cellStyle name="Процентный 5 2 2 138 2 2" xfId="21062"/>
    <cellStyle name="Процентный 5 2 2 138 2 2 2" xfId="53106"/>
    <cellStyle name="Процентный 5 2 2 138 2 3" xfId="31743"/>
    <cellStyle name="Процентный 5 2 2 138 2 3 2" xfId="63786"/>
    <cellStyle name="Процентный 5 2 2 138 2 4" xfId="42426"/>
    <cellStyle name="Процентный 5 2 2 138 3" xfId="15722"/>
    <cellStyle name="Процентный 5 2 2 138 3 2" xfId="47766"/>
    <cellStyle name="Процентный 5 2 2 138 4" xfId="26403"/>
    <cellStyle name="Процентный 5 2 2 138 4 2" xfId="58446"/>
    <cellStyle name="Процентный 5 2 2 138 5" xfId="37086"/>
    <cellStyle name="Процентный 5 2 2 139" xfId="5073"/>
    <cellStyle name="Процентный 5 2 2 139 2" xfId="10414"/>
    <cellStyle name="Процентный 5 2 2 139 2 2" xfId="21094"/>
    <cellStyle name="Процентный 5 2 2 139 2 2 2" xfId="53138"/>
    <cellStyle name="Процентный 5 2 2 139 2 3" xfId="31775"/>
    <cellStyle name="Процентный 5 2 2 139 2 3 2" xfId="63818"/>
    <cellStyle name="Процентный 5 2 2 139 2 4" xfId="42458"/>
    <cellStyle name="Процентный 5 2 2 139 3" xfId="15754"/>
    <cellStyle name="Процентный 5 2 2 139 3 2" xfId="47798"/>
    <cellStyle name="Процентный 5 2 2 139 4" xfId="26435"/>
    <cellStyle name="Процентный 5 2 2 139 4 2" xfId="58478"/>
    <cellStyle name="Процентный 5 2 2 139 5" xfId="37118"/>
    <cellStyle name="Процентный 5 2 2 14" xfId="1267"/>
    <cellStyle name="Процентный 5 2 2 14 2" xfId="6610"/>
    <cellStyle name="Процентный 5 2 2 14 2 2" xfId="17290"/>
    <cellStyle name="Процентный 5 2 2 14 2 2 2" xfId="49334"/>
    <cellStyle name="Процентный 5 2 2 14 2 3" xfId="27971"/>
    <cellStyle name="Процентный 5 2 2 14 2 3 2" xfId="60014"/>
    <cellStyle name="Процентный 5 2 2 14 2 4" xfId="38654"/>
    <cellStyle name="Процентный 5 2 2 14 3" xfId="11950"/>
    <cellStyle name="Процентный 5 2 2 14 3 2" xfId="43994"/>
    <cellStyle name="Процентный 5 2 2 14 4" xfId="22631"/>
    <cellStyle name="Процентный 5 2 2 14 4 2" xfId="54674"/>
    <cellStyle name="Процентный 5 2 2 14 5" xfId="33314"/>
    <cellStyle name="Процентный 5 2 2 140" xfId="5105"/>
    <cellStyle name="Процентный 5 2 2 140 2" xfId="10446"/>
    <cellStyle name="Процентный 5 2 2 140 2 2" xfId="21126"/>
    <cellStyle name="Процентный 5 2 2 140 2 2 2" xfId="53170"/>
    <cellStyle name="Процентный 5 2 2 140 2 3" xfId="31807"/>
    <cellStyle name="Процентный 5 2 2 140 2 3 2" xfId="63850"/>
    <cellStyle name="Процентный 5 2 2 140 2 4" xfId="42490"/>
    <cellStyle name="Процентный 5 2 2 140 3" xfId="15786"/>
    <cellStyle name="Процентный 5 2 2 140 3 2" xfId="47830"/>
    <cellStyle name="Процентный 5 2 2 140 4" xfId="26467"/>
    <cellStyle name="Процентный 5 2 2 140 4 2" xfId="58510"/>
    <cellStyle name="Процентный 5 2 2 140 5" xfId="37150"/>
    <cellStyle name="Процентный 5 2 2 141" xfId="5137"/>
    <cellStyle name="Процентный 5 2 2 141 2" xfId="10478"/>
    <cellStyle name="Процентный 5 2 2 141 2 2" xfId="21158"/>
    <cellStyle name="Процентный 5 2 2 141 2 2 2" xfId="53202"/>
    <cellStyle name="Процентный 5 2 2 141 2 3" xfId="31839"/>
    <cellStyle name="Процентный 5 2 2 141 2 3 2" xfId="63882"/>
    <cellStyle name="Процентный 5 2 2 141 2 4" xfId="42522"/>
    <cellStyle name="Процентный 5 2 2 141 3" xfId="15818"/>
    <cellStyle name="Процентный 5 2 2 141 3 2" xfId="47862"/>
    <cellStyle name="Процентный 5 2 2 141 4" xfId="26499"/>
    <cellStyle name="Процентный 5 2 2 141 4 2" xfId="58542"/>
    <cellStyle name="Процентный 5 2 2 141 5" xfId="37182"/>
    <cellStyle name="Процентный 5 2 2 142" xfId="5169"/>
    <cellStyle name="Процентный 5 2 2 142 2" xfId="10510"/>
    <cellStyle name="Процентный 5 2 2 142 2 2" xfId="21190"/>
    <cellStyle name="Процентный 5 2 2 142 2 2 2" xfId="53234"/>
    <cellStyle name="Процентный 5 2 2 142 2 3" xfId="31871"/>
    <cellStyle name="Процентный 5 2 2 142 2 3 2" xfId="63914"/>
    <cellStyle name="Процентный 5 2 2 142 2 4" xfId="42554"/>
    <cellStyle name="Процентный 5 2 2 142 3" xfId="15850"/>
    <cellStyle name="Процентный 5 2 2 142 3 2" xfId="47894"/>
    <cellStyle name="Процентный 5 2 2 142 4" xfId="26531"/>
    <cellStyle name="Процентный 5 2 2 142 4 2" xfId="58574"/>
    <cellStyle name="Процентный 5 2 2 142 5" xfId="37214"/>
    <cellStyle name="Процентный 5 2 2 143" xfId="5201"/>
    <cellStyle name="Процентный 5 2 2 143 2" xfId="10542"/>
    <cellStyle name="Процентный 5 2 2 143 2 2" xfId="21222"/>
    <cellStyle name="Процентный 5 2 2 143 2 2 2" xfId="53266"/>
    <cellStyle name="Процентный 5 2 2 143 2 3" xfId="31903"/>
    <cellStyle name="Процентный 5 2 2 143 2 3 2" xfId="63946"/>
    <cellStyle name="Процентный 5 2 2 143 2 4" xfId="42586"/>
    <cellStyle name="Процентный 5 2 2 143 3" xfId="15882"/>
    <cellStyle name="Процентный 5 2 2 143 3 2" xfId="47926"/>
    <cellStyle name="Процентный 5 2 2 143 4" xfId="26563"/>
    <cellStyle name="Процентный 5 2 2 143 4 2" xfId="58606"/>
    <cellStyle name="Процентный 5 2 2 143 5" xfId="37246"/>
    <cellStyle name="Процентный 5 2 2 144" xfId="5233"/>
    <cellStyle name="Процентный 5 2 2 144 2" xfId="10574"/>
    <cellStyle name="Процентный 5 2 2 144 2 2" xfId="21254"/>
    <cellStyle name="Процентный 5 2 2 144 2 2 2" xfId="53298"/>
    <cellStyle name="Процентный 5 2 2 144 2 3" xfId="31935"/>
    <cellStyle name="Процентный 5 2 2 144 2 3 2" xfId="63978"/>
    <cellStyle name="Процентный 5 2 2 144 2 4" xfId="42618"/>
    <cellStyle name="Процентный 5 2 2 144 3" xfId="15914"/>
    <cellStyle name="Процентный 5 2 2 144 3 2" xfId="47958"/>
    <cellStyle name="Процентный 5 2 2 144 4" xfId="26595"/>
    <cellStyle name="Процентный 5 2 2 144 4 2" xfId="58638"/>
    <cellStyle name="Процентный 5 2 2 144 5" xfId="37278"/>
    <cellStyle name="Процентный 5 2 2 145" xfId="5265"/>
    <cellStyle name="Процентный 5 2 2 145 2" xfId="10606"/>
    <cellStyle name="Процентный 5 2 2 145 2 2" xfId="21286"/>
    <cellStyle name="Процентный 5 2 2 145 2 2 2" xfId="53330"/>
    <cellStyle name="Процентный 5 2 2 145 2 3" xfId="31967"/>
    <cellStyle name="Процентный 5 2 2 145 2 3 2" xfId="64010"/>
    <cellStyle name="Процентный 5 2 2 145 2 4" xfId="42650"/>
    <cellStyle name="Процентный 5 2 2 145 3" xfId="15946"/>
    <cellStyle name="Процентный 5 2 2 145 3 2" xfId="47990"/>
    <cellStyle name="Процентный 5 2 2 145 4" xfId="26627"/>
    <cellStyle name="Процентный 5 2 2 145 4 2" xfId="58670"/>
    <cellStyle name="Процентный 5 2 2 145 5" xfId="37310"/>
    <cellStyle name="Процентный 5 2 2 146" xfId="5297"/>
    <cellStyle name="Процентный 5 2 2 146 2" xfId="10638"/>
    <cellStyle name="Процентный 5 2 2 146 2 2" xfId="21318"/>
    <cellStyle name="Процентный 5 2 2 146 2 2 2" xfId="53362"/>
    <cellStyle name="Процентный 5 2 2 146 2 3" xfId="31999"/>
    <cellStyle name="Процентный 5 2 2 146 2 3 2" xfId="64042"/>
    <cellStyle name="Процентный 5 2 2 146 2 4" xfId="42682"/>
    <cellStyle name="Процентный 5 2 2 146 3" xfId="15978"/>
    <cellStyle name="Процентный 5 2 2 146 3 2" xfId="48022"/>
    <cellStyle name="Процентный 5 2 2 146 4" xfId="26659"/>
    <cellStyle name="Процентный 5 2 2 146 4 2" xfId="58702"/>
    <cellStyle name="Процентный 5 2 2 146 5" xfId="37342"/>
    <cellStyle name="Процентный 5 2 2 147" xfId="5329"/>
    <cellStyle name="Процентный 5 2 2 147 2" xfId="10670"/>
    <cellStyle name="Процентный 5 2 2 147 2 2" xfId="21350"/>
    <cellStyle name="Процентный 5 2 2 147 2 2 2" xfId="53394"/>
    <cellStyle name="Процентный 5 2 2 147 2 3" xfId="32031"/>
    <cellStyle name="Процентный 5 2 2 147 2 3 2" xfId="64074"/>
    <cellStyle name="Процентный 5 2 2 147 2 4" xfId="42714"/>
    <cellStyle name="Процентный 5 2 2 147 3" xfId="16010"/>
    <cellStyle name="Процентный 5 2 2 147 3 2" xfId="48054"/>
    <cellStyle name="Процентный 5 2 2 147 4" xfId="26691"/>
    <cellStyle name="Процентный 5 2 2 147 4 2" xfId="58734"/>
    <cellStyle name="Процентный 5 2 2 147 5" xfId="37374"/>
    <cellStyle name="Процентный 5 2 2 148" xfId="5361"/>
    <cellStyle name="Процентный 5 2 2 148 2" xfId="10702"/>
    <cellStyle name="Процентный 5 2 2 148 2 2" xfId="21382"/>
    <cellStyle name="Процентный 5 2 2 148 2 2 2" xfId="53426"/>
    <cellStyle name="Процентный 5 2 2 148 2 3" xfId="32063"/>
    <cellStyle name="Процентный 5 2 2 148 2 3 2" xfId="64106"/>
    <cellStyle name="Процентный 5 2 2 148 2 4" xfId="42746"/>
    <cellStyle name="Процентный 5 2 2 148 3" xfId="16042"/>
    <cellStyle name="Процентный 5 2 2 148 3 2" xfId="48086"/>
    <cellStyle name="Процентный 5 2 2 148 4" xfId="26723"/>
    <cellStyle name="Процентный 5 2 2 148 4 2" xfId="58766"/>
    <cellStyle name="Процентный 5 2 2 148 5" xfId="37406"/>
    <cellStyle name="Процентный 5 2 2 149" xfId="5425"/>
    <cellStyle name="Процентный 5 2 2 149 2" xfId="16105"/>
    <cellStyle name="Процентный 5 2 2 149 2 2" xfId="48149"/>
    <cellStyle name="Процентный 5 2 2 149 3" xfId="26786"/>
    <cellStyle name="Процентный 5 2 2 149 3 2" xfId="58829"/>
    <cellStyle name="Процентный 5 2 2 149 4" xfId="37469"/>
    <cellStyle name="Процентный 5 2 2 15" xfId="1293"/>
    <cellStyle name="Процентный 5 2 2 15 2" xfId="6636"/>
    <cellStyle name="Процентный 5 2 2 15 2 2" xfId="17316"/>
    <cellStyle name="Процентный 5 2 2 15 2 2 2" xfId="49360"/>
    <cellStyle name="Процентный 5 2 2 15 2 3" xfId="27997"/>
    <cellStyle name="Процентный 5 2 2 15 2 3 2" xfId="60040"/>
    <cellStyle name="Процентный 5 2 2 15 2 4" xfId="38680"/>
    <cellStyle name="Процентный 5 2 2 15 3" xfId="11976"/>
    <cellStyle name="Процентный 5 2 2 15 3 2" xfId="44020"/>
    <cellStyle name="Процентный 5 2 2 15 4" xfId="22657"/>
    <cellStyle name="Процентный 5 2 2 15 4 2" xfId="54700"/>
    <cellStyle name="Процентный 5 2 2 15 5" xfId="33340"/>
    <cellStyle name="Процентный 5 2 2 150" xfId="10765"/>
    <cellStyle name="Процентный 5 2 2 150 2" xfId="42809"/>
    <cellStyle name="Процентный 5 2 2 151" xfId="21446"/>
    <cellStyle name="Процентный 5 2 2 151 2" xfId="53489"/>
    <cellStyle name="Процентный 5 2 2 152" xfId="32129"/>
    <cellStyle name="Процентный 5 2 2 16" xfId="1320"/>
    <cellStyle name="Процентный 5 2 2 16 2" xfId="6662"/>
    <cellStyle name="Процентный 5 2 2 16 2 2" xfId="17342"/>
    <cellStyle name="Процентный 5 2 2 16 2 2 2" xfId="49386"/>
    <cellStyle name="Процентный 5 2 2 16 2 3" xfId="28023"/>
    <cellStyle name="Процентный 5 2 2 16 2 3 2" xfId="60066"/>
    <cellStyle name="Процентный 5 2 2 16 2 4" xfId="38706"/>
    <cellStyle name="Процентный 5 2 2 16 3" xfId="12002"/>
    <cellStyle name="Процентный 5 2 2 16 3 2" xfId="44046"/>
    <cellStyle name="Процентный 5 2 2 16 4" xfId="22683"/>
    <cellStyle name="Процентный 5 2 2 16 4 2" xfId="54726"/>
    <cellStyle name="Процентный 5 2 2 16 5" xfId="33366"/>
    <cellStyle name="Процентный 5 2 2 17" xfId="1346"/>
    <cellStyle name="Процентный 5 2 2 17 2" xfId="6688"/>
    <cellStyle name="Процентный 5 2 2 17 2 2" xfId="17368"/>
    <cellStyle name="Процентный 5 2 2 17 2 2 2" xfId="49412"/>
    <cellStyle name="Процентный 5 2 2 17 2 3" xfId="28049"/>
    <cellStyle name="Процентный 5 2 2 17 2 3 2" xfId="60092"/>
    <cellStyle name="Процентный 5 2 2 17 2 4" xfId="38732"/>
    <cellStyle name="Процентный 5 2 2 17 3" xfId="12028"/>
    <cellStyle name="Процентный 5 2 2 17 3 2" xfId="44072"/>
    <cellStyle name="Процентный 5 2 2 17 4" xfId="22709"/>
    <cellStyle name="Процентный 5 2 2 17 4 2" xfId="54752"/>
    <cellStyle name="Процентный 5 2 2 17 5" xfId="33392"/>
    <cellStyle name="Процентный 5 2 2 18" xfId="1372"/>
    <cellStyle name="Процентный 5 2 2 18 2" xfId="6714"/>
    <cellStyle name="Процентный 5 2 2 18 2 2" xfId="17394"/>
    <cellStyle name="Процентный 5 2 2 18 2 2 2" xfId="49438"/>
    <cellStyle name="Процентный 5 2 2 18 2 3" xfId="28075"/>
    <cellStyle name="Процентный 5 2 2 18 2 3 2" xfId="60118"/>
    <cellStyle name="Процентный 5 2 2 18 2 4" xfId="38758"/>
    <cellStyle name="Процентный 5 2 2 18 3" xfId="12054"/>
    <cellStyle name="Процентный 5 2 2 18 3 2" xfId="44098"/>
    <cellStyle name="Процентный 5 2 2 18 4" xfId="22735"/>
    <cellStyle name="Процентный 5 2 2 18 4 2" xfId="54778"/>
    <cellStyle name="Процентный 5 2 2 18 5" xfId="33418"/>
    <cellStyle name="Процентный 5 2 2 19" xfId="1398"/>
    <cellStyle name="Процентный 5 2 2 19 2" xfId="6740"/>
    <cellStyle name="Процентный 5 2 2 19 2 2" xfId="17420"/>
    <cellStyle name="Процентный 5 2 2 19 2 2 2" xfId="49464"/>
    <cellStyle name="Процентный 5 2 2 19 2 3" xfId="28101"/>
    <cellStyle name="Процентный 5 2 2 19 2 3 2" xfId="60144"/>
    <cellStyle name="Процентный 5 2 2 19 2 4" xfId="38784"/>
    <cellStyle name="Процентный 5 2 2 19 3" xfId="12080"/>
    <cellStyle name="Процентный 5 2 2 19 3 2" xfId="44124"/>
    <cellStyle name="Процентный 5 2 2 19 4" xfId="22761"/>
    <cellStyle name="Процентный 5 2 2 19 4 2" xfId="54804"/>
    <cellStyle name="Процентный 5 2 2 19 5" xfId="33444"/>
    <cellStyle name="Процентный 5 2 2 2" xfId="549"/>
    <cellStyle name="Процентный 5 2 2 2 2" xfId="5892"/>
    <cellStyle name="Процентный 5 2 2 2 2 2" xfId="16572"/>
    <cellStyle name="Процентный 5 2 2 2 2 2 2" xfId="48616"/>
    <cellStyle name="Процентный 5 2 2 2 2 3" xfId="27253"/>
    <cellStyle name="Процентный 5 2 2 2 2 3 2" xfId="59296"/>
    <cellStyle name="Процентный 5 2 2 2 2 4" xfId="37936"/>
    <cellStyle name="Процентный 5 2 2 2 3" xfId="11232"/>
    <cellStyle name="Процентный 5 2 2 2 3 2" xfId="43276"/>
    <cellStyle name="Процентный 5 2 2 2 4" xfId="21913"/>
    <cellStyle name="Процентный 5 2 2 2 4 2" xfId="53956"/>
    <cellStyle name="Процентный 5 2 2 2 5" xfId="32596"/>
    <cellStyle name="Процентный 5 2 2 20" xfId="1424"/>
    <cellStyle name="Процентный 5 2 2 20 2" xfId="6766"/>
    <cellStyle name="Процентный 5 2 2 20 2 2" xfId="17446"/>
    <cellStyle name="Процентный 5 2 2 20 2 2 2" xfId="49490"/>
    <cellStyle name="Процентный 5 2 2 20 2 3" xfId="28127"/>
    <cellStyle name="Процентный 5 2 2 20 2 3 2" xfId="60170"/>
    <cellStyle name="Процентный 5 2 2 20 2 4" xfId="38810"/>
    <cellStyle name="Процентный 5 2 2 20 3" xfId="12106"/>
    <cellStyle name="Процентный 5 2 2 20 3 2" xfId="44150"/>
    <cellStyle name="Процентный 5 2 2 20 4" xfId="22787"/>
    <cellStyle name="Процентный 5 2 2 20 4 2" xfId="54830"/>
    <cellStyle name="Процентный 5 2 2 20 5" xfId="33470"/>
    <cellStyle name="Процентный 5 2 2 21" xfId="1450"/>
    <cellStyle name="Процентный 5 2 2 21 2" xfId="6792"/>
    <cellStyle name="Процентный 5 2 2 21 2 2" xfId="17472"/>
    <cellStyle name="Процентный 5 2 2 21 2 2 2" xfId="49516"/>
    <cellStyle name="Процентный 5 2 2 21 2 3" xfId="28153"/>
    <cellStyle name="Процентный 5 2 2 21 2 3 2" xfId="60196"/>
    <cellStyle name="Процентный 5 2 2 21 2 4" xfId="38836"/>
    <cellStyle name="Процентный 5 2 2 21 3" xfId="12132"/>
    <cellStyle name="Процентный 5 2 2 21 3 2" xfId="44176"/>
    <cellStyle name="Процентный 5 2 2 21 4" xfId="22813"/>
    <cellStyle name="Процентный 5 2 2 21 4 2" xfId="54856"/>
    <cellStyle name="Процентный 5 2 2 21 5" xfId="33496"/>
    <cellStyle name="Процентный 5 2 2 22" xfId="1476"/>
    <cellStyle name="Процентный 5 2 2 22 2" xfId="6818"/>
    <cellStyle name="Процентный 5 2 2 22 2 2" xfId="17498"/>
    <cellStyle name="Процентный 5 2 2 22 2 2 2" xfId="49542"/>
    <cellStyle name="Процентный 5 2 2 22 2 3" xfId="28179"/>
    <cellStyle name="Процентный 5 2 2 22 2 3 2" xfId="60222"/>
    <cellStyle name="Процентный 5 2 2 22 2 4" xfId="38862"/>
    <cellStyle name="Процентный 5 2 2 22 3" xfId="12158"/>
    <cellStyle name="Процентный 5 2 2 22 3 2" xfId="44202"/>
    <cellStyle name="Процентный 5 2 2 22 4" xfId="22839"/>
    <cellStyle name="Процентный 5 2 2 22 4 2" xfId="54882"/>
    <cellStyle name="Процентный 5 2 2 22 5" xfId="33522"/>
    <cellStyle name="Процентный 5 2 2 23" xfId="1502"/>
    <cellStyle name="Процентный 5 2 2 23 2" xfId="6844"/>
    <cellStyle name="Процентный 5 2 2 23 2 2" xfId="17524"/>
    <cellStyle name="Процентный 5 2 2 23 2 2 2" xfId="49568"/>
    <cellStyle name="Процентный 5 2 2 23 2 3" xfId="28205"/>
    <cellStyle name="Процентный 5 2 2 23 2 3 2" xfId="60248"/>
    <cellStyle name="Процентный 5 2 2 23 2 4" xfId="38888"/>
    <cellStyle name="Процентный 5 2 2 23 3" xfId="12184"/>
    <cellStyle name="Процентный 5 2 2 23 3 2" xfId="44228"/>
    <cellStyle name="Процентный 5 2 2 23 4" xfId="22865"/>
    <cellStyle name="Процентный 5 2 2 23 4 2" xfId="54908"/>
    <cellStyle name="Процентный 5 2 2 23 5" xfId="33548"/>
    <cellStyle name="Процентный 5 2 2 24" xfId="1528"/>
    <cellStyle name="Процентный 5 2 2 24 2" xfId="6870"/>
    <cellStyle name="Процентный 5 2 2 24 2 2" xfId="17550"/>
    <cellStyle name="Процентный 5 2 2 24 2 2 2" xfId="49594"/>
    <cellStyle name="Процентный 5 2 2 24 2 3" xfId="28231"/>
    <cellStyle name="Процентный 5 2 2 24 2 3 2" xfId="60274"/>
    <cellStyle name="Процентный 5 2 2 24 2 4" xfId="38914"/>
    <cellStyle name="Процентный 5 2 2 24 3" xfId="12210"/>
    <cellStyle name="Процентный 5 2 2 24 3 2" xfId="44254"/>
    <cellStyle name="Процентный 5 2 2 24 4" xfId="22891"/>
    <cellStyle name="Процентный 5 2 2 24 4 2" xfId="54934"/>
    <cellStyle name="Процентный 5 2 2 24 5" xfId="33574"/>
    <cellStyle name="Процентный 5 2 2 25" xfId="1554"/>
    <cellStyle name="Процентный 5 2 2 25 2" xfId="6896"/>
    <cellStyle name="Процентный 5 2 2 25 2 2" xfId="17576"/>
    <cellStyle name="Процентный 5 2 2 25 2 2 2" xfId="49620"/>
    <cellStyle name="Процентный 5 2 2 25 2 3" xfId="28257"/>
    <cellStyle name="Процентный 5 2 2 25 2 3 2" xfId="60300"/>
    <cellStyle name="Процентный 5 2 2 25 2 4" xfId="38940"/>
    <cellStyle name="Процентный 5 2 2 25 3" xfId="12236"/>
    <cellStyle name="Процентный 5 2 2 25 3 2" xfId="44280"/>
    <cellStyle name="Процентный 5 2 2 25 4" xfId="22917"/>
    <cellStyle name="Процентный 5 2 2 25 4 2" xfId="54960"/>
    <cellStyle name="Процентный 5 2 2 25 5" xfId="33600"/>
    <cellStyle name="Процентный 5 2 2 26" xfId="1580"/>
    <cellStyle name="Процентный 5 2 2 26 2" xfId="6922"/>
    <cellStyle name="Процентный 5 2 2 26 2 2" xfId="17602"/>
    <cellStyle name="Процентный 5 2 2 26 2 2 2" xfId="49646"/>
    <cellStyle name="Процентный 5 2 2 26 2 3" xfId="28283"/>
    <cellStyle name="Процентный 5 2 2 26 2 3 2" xfId="60326"/>
    <cellStyle name="Процентный 5 2 2 26 2 4" xfId="38966"/>
    <cellStyle name="Процентный 5 2 2 26 3" xfId="12262"/>
    <cellStyle name="Процентный 5 2 2 26 3 2" xfId="44306"/>
    <cellStyle name="Процентный 5 2 2 26 4" xfId="22943"/>
    <cellStyle name="Процентный 5 2 2 26 4 2" xfId="54986"/>
    <cellStyle name="Процентный 5 2 2 26 5" xfId="33626"/>
    <cellStyle name="Процентный 5 2 2 27" xfId="1606"/>
    <cellStyle name="Процентный 5 2 2 27 2" xfId="6948"/>
    <cellStyle name="Процентный 5 2 2 27 2 2" xfId="17628"/>
    <cellStyle name="Процентный 5 2 2 27 2 2 2" xfId="49672"/>
    <cellStyle name="Процентный 5 2 2 27 2 3" xfId="28309"/>
    <cellStyle name="Процентный 5 2 2 27 2 3 2" xfId="60352"/>
    <cellStyle name="Процентный 5 2 2 27 2 4" xfId="38992"/>
    <cellStyle name="Процентный 5 2 2 27 3" xfId="12288"/>
    <cellStyle name="Процентный 5 2 2 27 3 2" xfId="44332"/>
    <cellStyle name="Процентный 5 2 2 27 4" xfId="22969"/>
    <cellStyle name="Процентный 5 2 2 27 4 2" xfId="55012"/>
    <cellStyle name="Процентный 5 2 2 27 5" xfId="33652"/>
    <cellStyle name="Процентный 5 2 2 28" xfId="1632"/>
    <cellStyle name="Процентный 5 2 2 28 2" xfId="6974"/>
    <cellStyle name="Процентный 5 2 2 28 2 2" xfId="17654"/>
    <cellStyle name="Процентный 5 2 2 28 2 2 2" xfId="49698"/>
    <cellStyle name="Процентный 5 2 2 28 2 3" xfId="28335"/>
    <cellStyle name="Процентный 5 2 2 28 2 3 2" xfId="60378"/>
    <cellStyle name="Процентный 5 2 2 28 2 4" xfId="39018"/>
    <cellStyle name="Процентный 5 2 2 28 3" xfId="12314"/>
    <cellStyle name="Процентный 5 2 2 28 3 2" xfId="44358"/>
    <cellStyle name="Процентный 5 2 2 28 4" xfId="22995"/>
    <cellStyle name="Процентный 5 2 2 28 4 2" xfId="55038"/>
    <cellStyle name="Процентный 5 2 2 28 5" xfId="33678"/>
    <cellStyle name="Процентный 5 2 2 29" xfId="1658"/>
    <cellStyle name="Процентный 5 2 2 29 2" xfId="7000"/>
    <cellStyle name="Процентный 5 2 2 29 2 2" xfId="17680"/>
    <cellStyle name="Процентный 5 2 2 29 2 2 2" xfId="49724"/>
    <cellStyle name="Процентный 5 2 2 29 2 3" xfId="28361"/>
    <cellStyle name="Процентный 5 2 2 29 2 3 2" xfId="60404"/>
    <cellStyle name="Процентный 5 2 2 29 2 4" xfId="39044"/>
    <cellStyle name="Процентный 5 2 2 29 3" xfId="12340"/>
    <cellStyle name="Процентный 5 2 2 29 3 2" xfId="44384"/>
    <cellStyle name="Процентный 5 2 2 29 4" xfId="23021"/>
    <cellStyle name="Процентный 5 2 2 29 4 2" xfId="55064"/>
    <cellStyle name="Процентный 5 2 2 29 5" xfId="33704"/>
    <cellStyle name="Процентный 5 2 2 3" xfId="985"/>
    <cellStyle name="Процентный 5 2 2 3 2" xfId="6328"/>
    <cellStyle name="Процентный 5 2 2 3 2 2" xfId="17008"/>
    <cellStyle name="Процентный 5 2 2 3 2 2 2" xfId="49052"/>
    <cellStyle name="Процентный 5 2 2 3 2 3" xfId="27689"/>
    <cellStyle name="Процентный 5 2 2 3 2 3 2" xfId="59732"/>
    <cellStyle name="Процентный 5 2 2 3 2 4" xfId="38372"/>
    <cellStyle name="Процентный 5 2 2 3 3" xfId="11668"/>
    <cellStyle name="Процентный 5 2 2 3 3 2" xfId="43712"/>
    <cellStyle name="Процентный 5 2 2 3 4" xfId="22349"/>
    <cellStyle name="Процентный 5 2 2 3 4 2" xfId="54392"/>
    <cellStyle name="Процентный 5 2 2 3 5" xfId="33032"/>
    <cellStyle name="Процентный 5 2 2 30" xfId="1684"/>
    <cellStyle name="Процентный 5 2 2 30 2" xfId="7026"/>
    <cellStyle name="Процентный 5 2 2 30 2 2" xfId="17706"/>
    <cellStyle name="Процентный 5 2 2 30 2 2 2" xfId="49750"/>
    <cellStyle name="Процентный 5 2 2 30 2 3" xfId="28387"/>
    <cellStyle name="Процентный 5 2 2 30 2 3 2" xfId="60430"/>
    <cellStyle name="Процентный 5 2 2 30 2 4" xfId="39070"/>
    <cellStyle name="Процентный 5 2 2 30 3" xfId="12366"/>
    <cellStyle name="Процентный 5 2 2 30 3 2" xfId="44410"/>
    <cellStyle name="Процентный 5 2 2 30 4" xfId="23047"/>
    <cellStyle name="Процентный 5 2 2 30 4 2" xfId="55090"/>
    <cellStyle name="Процентный 5 2 2 30 5" xfId="33730"/>
    <cellStyle name="Процентный 5 2 2 31" xfId="1710"/>
    <cellStyle name="Процентный 5 2 2 31 2" xfId="7052"/>
    <cellStyle name="Процентный 5 2 2 31 2 2" xfId="17732"/>
    <cellStyle name="Процентный 5 2 2 31 2 2 2" xfId="49776"/>
    <cellStyle name="Процентный 5 2 2 31 2 3" xfId="28413"/>
    <cellStyle name="Процентный 5 2 2 31 2 3 2" xfId="60456"/>
    <cellStyle name="Процентный 5 2 2 31 2 4" xfId="39096"/>
    <cellStyle name="Процентный 5 2 2 31 3" xfId="12392"/>
    <cellStyle name="Процентный 5 2 2 31 3 2" xfId="44436"/>
    <cellStyle name="Процентный 5 2 2 31 4" xfId="23073"/>
    <cellStyle name="Процентный 5 2 2 31 4 2" xfId="55116"/>
    <cellStyle name="Процентный 5 2 2 31 5" xfId="33756"/>
    <cellStyle name="Процентный 5 2 2 32" xfId="1736"/>
    <cellStyle name="Процентный 5 2 2 32 2" xfId="7078"/>
    <cellStyle name="Процентный 5 2 2 32 2 2" xfId="17758"/>
    <cellStyle name="Процентный 5 2 2 32 2 2 2" xfId="49802"/>
    <cellStyle name="Процентный 5 2 2 32 2 3" xfId="28439"/>
    <cellStyle name="Процентный 5 2 2 32 2 3 2" xfId="60482"/>
    <cellStyle name="Процентный 5 2 2 32 2 4" xfId="39122"/>
    <cellStyle name="Процентный 5 2 2 32 3" xfId="12418"/>
    <cellStyle name="Процентный 5 2 2 32 3 2" xfId="44462"/>
    <cellStyle name="Процентный 5 2 2 32 4" xfId="23099"/>
    <cellStyle name="Процентный 5 2 2 32 4 2" xfId="55142"/>
    <cellStyle name="Процентный 5 2 2 32 5" xfId="33782"/>
    <cellStyle name="Процентный 5 2 2 33" xfId="1762"/>
    <cellStyle name="Процентный 5 2 2 33 2" xfId="7104"/>
    <cellStyle name="Процентный 5 2 2 33 2 2" xfId="17784"/>
    <cellStyle name="Процентный 5 2 2 33 2 2 2" xfId="49828"/>
    <cellStyle name="Процентный 5 2 2 33 2 3" xfId="28465"/>
    <cellStyle name="Процентный 5 2 2 33 2 3 2" xfId="60508"/>
    <cellStyle name="Процентный 5 2 2 33 2 4" xfId="39148"/>
    <cellStyle name="Процентный 5 2 2 33 3" xfId="12444"/>
    <cellStyle name="Процентный 5 2 2 33 3 2" xfId="44488"/>
    <cellStyle name="Процентный 5 2 2 33 4" xfId="23125"/>
    <cellStyle name="Процентный 5 2 2 33 4 2" xfId="55168"/>
    <cellStyle name="Процентный 5 2 2 33 5" xfId="33808"/>
    <cellStyle name="Процентный 5 2 2 34" xfId="1788"/>
    <cellStyle name="Процентный 5 2 2 34 2" xfId="7130"/>
    <cellStyle name="Процентный 5 2 2 34 2 2" xfId="17810"/>
    <cellStyle name="Процентный 5 2 2 34 2 2 2" xfId="49854"/>
    <cellStyle name="Процентный 5 2 2 34 2 3" xfId="28491"/>
    <cellStyle name="Процентный 5 2 2 34 2 3 2" xfId="60534"/>
    <cellStyle name="Процентный 5 2 2 34 2 4" xfId="39174"/>
    <cellStyle name="Процентный 5 2 2 34 3" xfId="12470"/>
    <cellStyle name="Процентный 5 2 2 34 3 2" xfId="44514"/>
    <cellStyle name="Процентный 5 2 2 34 4" xfId="23151"/>
    <cellStyle name="Процентный 5 2 2 34 4 2" xfId="55194"/>
    <cellStyle name="Процентный 5 2 2 34 5" xfId="33834"/>
    <cellStyle name="Процентный 5 2 2 35" xfId="1814"/>
    <cellStyle name="Процентный 5 2 2 35 2" xfId="7156"/>
    <cellStyle name="Процентный 5 2 2 35 2 2" xfId="17836"/>
    <cellStyle name="Процентный 5 2 2 35 2 2 2" xfId="49880"/>
    <cellStyle name="Процентный 5 2 2 35 2 3" xfId="28517"/>
    <cellStyle name="Процентный 5 2 2 35 2 3 2" xfId="60560"/>
    <cellStyle name="Процентный 5 2 2 35 2 4" xfId="39200"/>
    <cellStyle name="Процентный 5 2 2 35 3" xfId="12496"/>
    <cellStyle name="Процентный 5 2 2 35 3 2" xfId="44540"/>
    <cellStyle name="Процентный 5 2 2 35 4" xfId="23177"/>
    <cellStyle name="Процентный 5 2 2 35 4 2" xfId="55220"/>
    <cellStyle name="Процентный 5 2 2 35 5" xfId="33860"/>
    <cellStyle name="Процентный 5 2 2 36" xfId="1840"/>
    <cellStyle name="Процентный 5 2 2 36 2" xfId="7182"/>
    <cellStyle name="Процентный 5 2 2 36 2 2" xfId="17862"/>
    <cellStyle name="Процентный 5 2 2 36 2 2 2" xfId="49906"/>
    <cellStyle name="Процентный 5 2 2 36 2 3" xfId="28543"/>
    <cellStyle name="Процентный 5 2 2 36 2 3 2" xfId="60586"/>
    <cellStyle name="Процентный 5 2 2 36 2 4" xfId="39226"/>
    <cellStyle name="Процентный 5 2 2 36 3" xfId="12522"/>
    <cellStyle name="Процентный 5 2 2 36 3 2" xfId="44566"/>
    <cellStyle name="Процентный 5 2 2 36 4" xfId="23203"/>
    <cellStyle name="Процентный 5 2 2 36 4 2" xfId="55246"/>
    <cellStyle name="Процентный 5 2 2 36 5" xfId="33886"/>
    <cellStyle name="Процентный 5 2 2 37" xfId="1866"/>
    <cellStyle name="Процентный 5 2 2 37 2" xfId="7208"/>
    <cellStyle name="Процентный 5 2 2 37 2 2" xfId="17888"/>
    <cellStyle name="Процентный 5 2 2 37 2 2 2" xfId="49932"/>
    <cellStyle name="Процентный 5 2 2 37 2 3" xfId="28569"/>
    <cellStyle name="Процентный 5 2 2 37 2 3 2" xfId="60612"/>
    <cellStyle name="Процентный 5 2 2 37 2 4" xfId="39252"/>
    <cellStyle name="Процентный 5 2 2 37 3" xfId="12548"/>
    <cellStyle name="Процентный 5 2 2 37 3 2" xfId="44592"/>
    <cellStyle name="Процентный 5 2 2 37 4" xfId="23229"/>
    <cellStyle name="Процентный 5 2 2 37 4 2" xfId="55272"/>
    <cellStyle name="Процентный 5 2 2 37 5" xfId="33912"/>
    <cellStyle name="Процентный 5 2 2 38" xfId="1892"/>
    <cellStyle name="Процентный 5 2 2 38 2" xfId="7234"/>
    <cellStyle name="Процентный 5 2 2 38 2 2" xfId="17914"/>
    <cellStyle name="Процентный 5 2 2 38 2 2 2" xfId="49958"/>
    <cellStyle name="Процентный 5 2 2 38 2 3" xfId="28595"/>
    <cellStyle name="Процентный 5 2 2 38 2 3 2" xfId="60638"/>
    <cellStyle name="Процентный 5 2 2 38 2 4" xfId="39278"/>
    <cellStyle name="Процентный 5 2 2 38 3" xfId="12574"/>
    <cellStyle name="Процентный 5 2 2 38 3 2" xfId="44618"/>
    <cellStyle name="Процентный 5 2 2 38 4" xfId="23255"/>
    <cellStyle name="Процентный 5 2 2 38 4 2" xfId="55298"/>
    <cellStyle name="Процентный 5 2 2 38 5" xfId="33938"/>
    <cellStyle name="Процентный 5 2 2 39" xfId="1918"/>
    <cellStyle name="Процентный 5 2 2 39 2" xfId="7260"/>
    <cellStyle name="Процентный 5 2 2 39 2 2" xfId="17940"/>
    <cellStyle name="Процентный 5 2 2 39 2 2 2" xfId="49984"/>
    <cellStyle name="Процентный 5 2 2 39 2 3" xfId="28621"/>
    <cellStyle name="Процентный 5 2 2 39 2 3 2" xfId="60664"/>
    <cellStyle name="Процентный 5 2 2 39 2 4" xfId="39304"/>
    <cellStyle name="Процентный 5 2 2 39 3" xfId="12600"/>
    <cellStyle name="Процентный 5 2 2 39 3 2" xfId="44644"/>
    <cellStyle name="Процентный 5 2 2 39 4" xfId="23281"/>
    <cellStyle name="Процентный 5 2 2 39 4 2" xfId="55324"/>
    <cellStyle name="Процентный 5 2 2 39 5" xfId="33964"/>
    <cellStyle name="Процентный 5 2 2 4" xfId="1009"/>
    <cellStyle name="Процентный 5 2 2 4 2" xfId="6352"/>
    <cellStyle name="Процентный 5 2 2 4 2 2" xfId="17032"/>
    <cellStyle name="Процентный 5 2 2 4 2 2 2" xfId="49076"/>
    <cellStyle name="Процентный 5 2 2 4 2 3" xfId="27713"/>
    <cellStyle name="Процентный 5 2 2 4 2 3 2" xfId="59756"/>
    <cellStyle name="Процентный 5 2 2 4 2 4" xfId="38396"/>
    <cellStyle name="Процентный 5 2 2 4 3" xfId="11692"/>
    <cellStyle name="Процентный 5 2 2 4 3 2" xfId="43736"/>
    <cellStyle name="Процентный 5 2 2 4 4" xfId="22373"/>
    <cellStyle name="Процентный 5 2 2 4 4 2" xfId="54416"/>
    <cellStyle name="Процентный 5 2 2 4 5" xfId="33056"/>
    <cellStyle name="Процентный 5 2 2 40" xfId="1946"/>
    <cellStyle name="Процентный 5 2 2 40 2" xfId="7288"/>
    <cellStyle name="Процентный 5 2 2 40 2 2" xfId="17968"/>
    <cellStyle name="Процентный 5 2 2 40 2 2 2" xfId="50012"/>
    <cellStyle name="Процентный 5 2 2 40 2 3" xfId="28649"/>
    <cellStyle name="Процентный 5 2 2 40 2 3 2" xfId="60692"/>
    <cellStyle name="Процентный 5 2 2 40 2 4" xfId="39332"/>
    <cellStyle name="Процентный 5 2 2 40 3" xfId="12628"/>
    <cellStyle name="Процентный 5 2 2 40 3 2" xfId="44672"/>
    <cellStyle name="Процентный 5 2 2 40 4" xfId="23309"/>
    <cellStyle name="Процентный 5 2 2 40 4 2" xfId="55352"/>
    <cellStyle name="Процентный 5 2 2 40 5" xfId="33992"/>
    <cellStyle name="Процентный 5 2 2 41" xfId="1974"/>
    <cellStyle name="Процентный 5 2 2 41 2" xfId="7316"/>
    <cellStyle name="Процентный 5 2 2 41 2 2" xfId="17996"/>
    <cellStyle name="Процентный 5 2 2 41 2 2 2" xfId="50040"/>
    <cellStyle name="Процентный 5 2 2 41 2 3" xfId="28677"/>
    <cellStyle name="Процентный 5 2 2 41 2 3 2" xfId="60720"/>
    <cellStyle name="Процентный 5 2 2 41 2 4" xfId="39360"/>
    <cellStyle name="Процентный 5 2 2 41 3" xfId="12656"/>
    <cellStyle name="Процентный 5 2 2 41 3 2" xfId="44700"/>
    <cellStyle name="Процентный 5 2 2 41 4" xfId="23337"/>
    <cellStyle name="Процентный 5 2 2 41 4 2" xfId="55380"/>
    <cellStyle name="Процентный 5 2 2 41 5" xfId="34020"/>
    <cellStyle name="Процентный 5 2 2 42" xfId="2002"/>
    <cellStyle name="Процентный 5 2 2 42 2" xfId="7344"/>
    <cellStyle name="Процентный 5 2 2 42 2 2" xfId="18024"/>
    <cellStyle name="Процентный 5 2 2 42 2 2 2" xfId="50068"/>
    <cellStyle name="Процентный 5 2 2 42 2 3" xfId="28705"/>
    <cellStyle name="Процентный 5 2 2 42 2 3 2" xfId="60748"/>
    <cellStyle name="Процентный 5 2 2 42 2 4" xfId="39388"/>
    <cellStyle name="Процентный 5 2 2 42 3" xfId="12684"/>
    <cellStyle name="Процентный 5 2 2 42 3 2" xfId="44728"/>
    <cellStyle name="Процентный 5 2 2 42 4" xfId="23365"/>
    <cellStyle name="Процентный 5 2 2 42 4 2" xfId="55408"/>
    <cellStyle name="Процентный 5 2 2 42 5" xfId="34048"/>
    <cellStyle name="Процентный 5 2 2 43" xfId="2030"/>
    <cellStyle name="Процентный 5 2 2 43 2" xfId="7372"/>
    <cellStyle name="Процентный 5 2 2 43 2 2" xfId="18052"/>
    <cellStyle name="Процентный 5 2 2 43 2 2 2" xfId="50096"/>
    <cellStyle name="Процентный 5 2 2 43 2 3" xfId="28733"/>
    <cellStyle name="Процентный 5 2 2 43 2 3 2" xfId="60776"/>
    <cellStyle name="Процентный 5 2 2 43 2 4" xfId="39416"/>
    <cellStyle name="Процентный 5 2 2 43 3" xfId="12712"/>
    <cellStyle name="Процентный 5 2 2 43 3 2" xfId="44756"/>
    <cellStyle name="Процентный 5 2 2 43 4" xfId="23393"/>
    <cellStyle name="Процентный 5 2 2 43 4 2" xfId="55436"/>
    <cellStyle name="Процентный 5 2 2 43 5" xfId="34076"/>
    <cellStyle name="Процентный 5 2 2 44" xfId="2058"/>
    <cellStyle name="Процентный 5 2 2 44 2" xfId="7400"/>
    <cellStyle name="Процентный 5 2 2 44 2 2" xfId="18080"/>
    <cellStyle name="Процентный 5 2 2 44 2 2 2" xfId="50124"/>
    <cellStyle name="Процентный 5 2 2 44 2 3" xfId="28761"/>
    <cellStyle name="Процентный 5 2 2 44 2 3 2" xfId="60804"/>
    <cellStyle name="Процентный 5 2 2 44 2 4" xfId="39444"/>
    <cellStyle name="Процентный 5 2 2 44 3" xfId="12740"/>
    <cellStyle name="Процентный 5 2 2 44 3 2" xfId="44784"/>
    <cellStyle name="Процентный 5 2 2 44 4" xfId="23421"/>
    <cellStyle name="Процентный 5 2 2 44 4 2" xfId="55464"/>
    <cellStyle name="Процентный 5 2 2 44 5" xfId="34104"/>
    <cellStyle name="Процентный 5 2 2 45" xfId="2086"/>
    <cellStyle name="Процентный 5 2 2 45 2" xfId="7428"/>
    <cellStyle name="Процентный 5 2 2 45 2 2" xfId="18108"/>
    <cellStyle name="Процентный 5 2 2 45 2 2 2" xfId="50152"/>
    <cellStyle name="Процентный 5 2 2 45 2 3" xfId="28789"/>
    <cellStyle name="Процентный 5 2 2 45 2 3 2" xfId="60832"/>
    <cellStyle name="Процентный 5 2 2 45 2 4" xfId="39472"/>
    <cellStyle name="Процентный 5 2 2 45 3" xfId="12768"/>
    <cellStyle name="Процентный 5 2 2 45 3 2" xfId="44812"/>
    <cellStyle name="Процентный 5 2 2 45 4" xfId="23449"/>
    <cellStyle name="Процентный 5 2 2 45 4 2" xfId="55492"/>
    <cellStyle name="Процентный 5 2 2 45 5" xfId="34132"/>
    <cellStyle name="Процентный 5 2 2 46" xfId="2114"/>
    <cellStyle name="Процентный 5 2 2 46 2" xfId="7456"/>
    <cellStyle name="Процентный 5 2 2 46 2 2" xfId="18136"/>
    <cellStyle name="Процентный 5 2 2 46 2 2 2" xfId="50180"/>
    <cellStyle name="Процентный 5 2 2 46 2 3" xfId="28817"/>
    <cellStyle name="Процентный 5 2 2 46 2 3 2" xfId="60860"/>
    <cellStyle name="Процентный 5 2 2 46 2 4" xfId="39500"/>
    <cellStyle name="Процентный 5 2 2 46 3" xfId="12796"/>
    <cellStyle name="Процентный 5 2 2 46 3 2" xfId="44840"/>
    <cellStyle name="Процентный 5 2 2 46 4" xfId="23477"/>
    <cellStyle name="Процентный 5 2 2 46 4 2" xfId="55520"/>
    <cellStyle name="Процентный 5 2 2 46 5" xfId="34160"/>
    <cellStyle name="Процентный 5 2 2 47" xfId="2144"/>
    <cellStyle name="Процентный 5 2 2 47 2" xfId="7486"/>
    <cellStyle name="Процентный 5 2 2 47 2 2" xfId="18166"/>
    <cellStyle name="Процентный 5 2 2 47 2 2 2" xfId="50210"/>
    <cellStyle name="Процентный 5 2 2 47 2 3" xfId="28847"/>
    <cellStyle name="Процентный 5 2 2 47 2 3 2" xfId="60890"/>
    <cellStyle name="Процентный 5 2 2 47 2 4" xfId="39530"/>
    <cellStyle name="Процентный 5 2 2 47 3" xfId="12826"/>
    <cellStyle name="Процентный 5 2 2 47 3 2" xfId="44870"/>
    <cellStyle name="Процентный 5 2 2 47 4" xfId="23507"/>
    <cellStyle name="Процентный 5 2 2 47 4 2" xfId="55550"/>
    <cellStyle name="Процентный 5 2 2 47 5" xfId="34190"/>
    <cellStyle name="Процентный 5 2 2 48" xfId="2174"/>
    <cellStyle name="Процентный 5 2 2 48 2" xfId="7516"/>
    <cellStyle name="Процентный 5 2 2 48 2 2" xfId="18196"/>
    <cellStyle name="Процентный 5 2 2 48 2 2 2" xfId="50240"/>
    <cellStyle name="Процентный 5 2 2 48 2 3" xfId="28877"/>
    <cellStyle name="Процентный 5 2 2 48 2 3 2" xfId="60920"/>
    <cellStyle name="Процентный 5 2 2 48 2 4" xfId="39560"/>
    <cellStyle name="Процентный 5 2 2 48 3" xfId="12856"/>
    <cellStyle name="Процентный 5 2 2 48 3 2" xfId="44900"/>
    <cellStyle name="Процентный 5 2 2 48 4" xfId="23537"/>
    <cellStyle name="Процентный 5 2 2 48 4 2" xfId="55580"/>
    <cellStyle name="Процентный 5 2 2 48 5" xfId="34220"/>
    <cellStyle name="Процентный 5 2 2 49" xfId="2204"/>
    <cellStyle name="Процентный 5 2 2 49 2" xfId="7546"/>
    <cellStyle name="Процентный 5 2 2 49 2 2" xfId="18226"/>
    <cellStyle name="Процентный 5 2 2 49 2 2 2" xfId="50270"/>
    <cellStyle name="Процентный 5 2 2 49 2 3" xfId="28907"/>
    <cellStyle name="Процентный 5 2 2 49 2 3 2" xfId="60950"/>
    <cellStyle name="Процентный 5 2 2 49 2 4" xfId="39590"/>
    <cellStyle name="Процентный 5 2 2 49 3" xfId="12886"/>
    <cellStyle name="Процентный 5 2 2 49 3 2" xfId="44930"/>
    <cellStyle name="Процентный 5 2 2 49 4" xfId="23567"/>
    <cellStyle name="Процентный 5 2 2 49 4 2" xfId="55610"/>
    <cellStyle name="Процентный 5 2 2 49 5" xfId="34250"/>
    <cellStyle name="Процентный 5 2 2 5" xfId="1033"/>
    <cellStyle name="Процентный 5 2 2 5 2" xfId="6376"/>
    <cellStyle name="Процентный 5 2 2 5 2 2" xfId="17056"/>
    <cellStyle name="Процентный 5 2 2 5 2 2 2" xfId="49100"/>
    <cellStyle name="Процентный 5 2 2 5 2 3" xfId="27737"/>
    <cellStyle name="Процентный 5 2 2 5 2 3 2" xfId="59780"/>
    <cellStyle name="Процентный 5 2 2 5 2 4" xfId="38420"/>
    <cellStyle name="Процентный 5 2 2 5 3" xfId="11716"/>
    <cellStyle name="Процентный 5 2 2 5 3 2" xfId="43760"/>
    <cellStyle name="Процентный 5 2 2 5 4" xfId="22397"/>
    <cellStyle name="Процентный 5 2 2 5 4 2" xfId="54440"/>
    <cellStyle name="Процентный 5 2 2 5 5" xfId="33080"/>
    <cellStyle name="Процентный 5 2 2 50" xfId="2234"/>
    <cellStyle name="Процентный 5 2 2 50 2" xfId="7576"/>
    <cellStyle name="Процентный 5 2 2 50 2 2" xfId="18256"/>
    <cellStyle name="Процентный 5 2 2 50 2 2 2" xfId="50300"/>
    <cellStyle name="Процентный 5 2 2 50 2 3" xfId="28937"/>
    <cellStyle name="Процентный 5 2 2 50 2 3 2" xfId="60980"/>
    <cellStyle name="Процентный 5 2 2 50 2 4" xfId="39620"/>
    <cellStyle name="Процентный 5 2 2 50 3" xfId="12916"/>
    <cellStyle name="Процентный 5 2 2 50 3 2" xfId="44960"/>
    <cellStyle name="Процентный 5 2 2 50 4" xfId="23597"/>
    <cellStyle name="Процентный 5 2 2 50 4 2" xfId="55640"/>
    <cellStyle name="Процентный 5 2 2 50 5" xfId="34280"/>
    <cellStyle name="Процентный 5 2 2 51" xfId="2264"/>
    <cellStyle name="Процентный 5 2 2 51 2" xfId="7606"/>
    <cellStyle name="Процентный 5 2 2 51 2 2" xfId="18286"/>
    <cellStyle name="Процентный 5 2 2 51 2 2 2" xfId="50330"/>
    <cellStyle name="Процентный 5 2 2 51 2 3" xfId="28967"/>
    <cellStyle name="Процентный 5 2 2 51 2 3 2" xfId="61010"/>
    <cellStyle name="Процентный 5 2 2 51 2 4" xfId="39650"/>
    <cellStyle name="Процентный 5 2 2 51 3" xfId="12946"/>
    <cellStyle name="Процентный 5 2 2 51 3 2" xfId="44990"/>
    <cellStyle name="Процентный 5 2 2 51 4" xfId="23627"/>
    <cellStyle name="Процентный 5 2 2 51 4 2" xfId="55670"/>
    <cellStyle name="Процентный 5 2 2 51 5" xfId="34310"/>
    <cellStyle name="Процентный 5 2 2 52" xfId="2294"/>
    <cellStyle name="Процентный 5 2 2 52 2" xfId="7636"/>
    <cellStyle name="Процентный 5 2 2 52 2 2" xfId="18316"/>
    <cellStyle name="Процентный 5 2 2 52 2 2 2" xfId="50360"/>
    <cellStyle name="Процентный 5 2 2 52 2 3" xfId="28997"/>
    <cellStyle name="Процентный 5 2 2 52 2 3 2" xfId="61040"/>
    <cellStyle name="Процентный 5 2 2 52 2 4" xfId="39680"/>
    <cellStyle name="Процентный 5 2 2 52 3" xfId="12976"/>
    <cellStyle name="Процентный 5 2 2 52 3 2" xfId="45020"/>
    <cellStyle name="Процентный 5 2 2 52 4" xfId="23657"/>
    <cellStyle name="Процентный 5 2 2 52 4 2" xfId="55700"/>
    <cellStyle name="Процентный 5 2 2 52 5" xfId="34340"/>
    <cellStyle name="Процентный 5 2 2 53" xfId="2324"/>
    <cellStyle name="Процентный 5 2 2 53 2" xfId="7666"/>
    <cellStyle name="Процентный 5 2 2 53 2 2" xfId="18346"/>
    <cellStyle name="Процентный 5 2 2 53 2 2 2" xfId="50390"/>
    <cellStyle name="Процентный 5 2 2 53 2 3" xfId="29027"/>
    <cellStyle name="Процентный 5 2 2 53 2 3 2" xfId="61070"/>
    <cellStyle name="Процентный 5 2 2 53 2 4" xfId="39710"/>
    <cellStyle name="Процентный 5 2 2 53 3" xfId="13006"/>
    <cellStyle name="Процентный 5 2 2 53 3 2" xfId="45050"/>
    <cellStyle name="Процентный 5 2 2 53 4" xfId="23687"/>
    <cellStyle name="Процентный 5 2 2 53 4 2" xfId="55730"/>
    <cellStyle name="Процентный 5 2 2 53 5" xfId="34370"/>
    <cellStyle name="Процентный 5 2 2 54" xfId="2354"/>
    <cellStyle name="Процентный 5 2 2 54 2" xfId="7696"/>
    <cellStyle name="Процентный 5 2 2 54 2 2" xfId="18376"/>
    <cellStyle name="Процентный 5 2 2 54 2 2 2" xfId="50420"/>
    <cellStyle name="Процентный 5 2 2 54 2 3" xfId="29057"/>
    <cellStyle name="Процентный 5 2 2 54 2 3 2" xfId="61100"/>
    <cellStyle name="Процентный 5 2 2 54 2 4" xfId="39740"/>
    <cellStyle name="Процентный 5 2 2 54 3" xfId="13036"/>
    <cellStyle name="Процентный 5 2 2 54 3 2" xfId="45080"/>
    <cellStyle name="Процентный 5 2 2 54 4" xfId="23717"/>
    <cellStyle name="Процентный 5 2 2 54 4 2" xfId="55760"/>
    <cellStyle name="Процентный 5 2 2 54 5" xfId="34400"/>
    <cellStyle name="Процентный 5 2 2 55" xfId="2384"/>
    <cellStyle name="Процентный 5 2 2 55 2" xfId="7726"/>
    <cellStyle name="Процентный 5 2 2 55 2 2" xfId="18406"/>
    <cellStyle name="Процентный 5 2 2 55 2 2 2" xfId="50450"/>
    <cellStyle name="Процентный 5 2 2 55 2 3" xfId="29087"/>
    <cellStyle name="Процентный 5 2 2 55 2 3 2" xfId="61130"/>
    <cellStyle name="Процентный 5 2 2 55 2 4" xfId="39770"/>
    <cellStyle name="Процентный 5 2 2 55 3" xfId="13066"/>
    <cellStyle name="Процентный 5 2 2 55 3 2" xfId="45110"/>
    <cellStyle name="Процентный 5 2 2 55 4" xfId="23747"/>
    <cellStyle name="Процентный 5 2 2 55 4 2" xfId="55790"/>
    <cellStyle name="Процентный 5 2 2 55 5" xfId="34430"/>
    <cellStyle name="Процентный 5 2 2 56" xfId="2414"/>
    <cellStyle name="Процентный 5 2 2 56 2" xfId="7756"/>
    <cellStyle name="Процентный 5 2 2 56 2 2" xfId="18436"/>
    <cellStyle name="Процентный 5 2 2 56 2 2 2" xfId="50480"/>
    <cellStyle name="Процентный 5 2 2 56 2 3" xfId="29117"/>
    <cellStyle name="Процентный 5 2 2 56 2 3 2" xfId="61160"/>
    <cellStyle name="Процентный 5 2 2 56 2 4" xfId="39800"/>
    <cellStyle name="Процентный 5 2 2 56 3" xfId="13096"/>
    <cellStyle name="Процентный 5 2 2 56 3 2" xfId="45140"/>
    <cellStyle name="Процентный 5 2 2 56 4" xfId="23777"/>
    <cellStyle name="Процентный 5 2 2 56 4 2" xfId="55820"/>
    <cellStyle name="Процентный 5 2 2 56 5" xfId="34460"/>
    <cellStyle name="Процентный 5 2 2 57" xfId="2444"/>
    <cellStyle name="Процентный 5 2 2 57 2" xfId="7786"/>
    <cellStyle name="Процентный 5 2 2 57 2 2" xfId="18466"/>
    <cellStyle name="Процентный 5 2 2 57 2 2 2" xfId="50510"/>
    <cellStyle name="Процентный 5 2 2 57 2 3" xfId="29147"/>
    <cellStyle name="Процентный 5 2 2 57 2 3 2" xfId="61190"/>
    <cellStyle name="Процентный 5 2 2 57 2 4" xfId="39830"/>
    <cellStyle name="Процентный 5 2 2 57 3" xfId="13126"/>
    <cellStyle name="Процентный 5 2 2 57 3 2" xfId="45170"/>
    <cellStyle name="Процентный 5 2 2 57 4" xfId="23807"/>
    <cellStyle name="Процентный 5 2 2 57 4 2" xfId="55850"/>
    <cellStyle name="Процентный 5 2 2 57 5" xfId="34490"/>
    <cellStyle name="Процентный 5 2 2 58" xfId="2474"/>
    <cellStyle name="Процентный 5 2 2 58 2" xfId="7816"/>
    <cellStyle name="Процентный 5 2 2 58 2 2" xfId="18496"/>
    <cellStyle name="Процентный 5 2 2 58 2 2 2" xfId="50540"/>
    <cellStyle name="Процентный 5 2 2 58 2 3" xfId="29177"/>
    <cellStyle name="Процентный 5 2 2 58 2 3 2" xfId="61220"/>
    <cellStyle name="Процентный 5 2 2 58 2 4" xfId="39860"/>
    <cellStyle name="Процентный 5 2 2 58 3" xfId="13156"/>
    <cellStyle name="Процентный 5 2 2 58 3 2" xfId="45200"/>
    <cellStyle name="Процентный 5 2 2 58 4" xfId="23837"/>
    <cellStyle name="Процентный 5 2 2 58 4 2" xfId="55880"/>
    <cellStyle name="Процентный 5 2 2 58 5" xfId="34520"/>
    <cellStyle name="Процентный 5 2 2 59" xfId="2506"/>
    <cellStyle name="Процентный 5 2 2 59 2" xfId="7848"/>
    <cellStyle name="Процентный 5 2 2 59 2 2" xfId="18528"/>
    <cellStyle name="Процентный 5 2 2 59 2 2 2" xfId="50572"/>
    <cellStyle name="Процентный 5 2 2 59 2 3" xfId="29209"/>
    <cellStyle name="Процентный 5 2 2 59 2 3 2" xfId="61252"/>
    <cellStyle name="Процентный 5 2 2 59 2 4" xfId="39892"/>
    <cellStyle name="Процентный 5 2 2 59 3" xfId="13188"/>
    <cellStyle name="Процентный 5 2 2 59 3 2" xfId="45232"/>
    <cellStyle name="Процентный 5 2 2 59 4" xfId="23869"/>
    <cellStyle name="Процентный 5 2 2 59 4 2" xfId="55912"/>
    <cellStyle name="Процентный 5 2 2 59 5" xfId="34552"/>
    <cellStyle name="Процентный 5 2 2 6" xfId="1059"/>
    <cellStyle name="Процентный 5 2 2 6 2" xfId="6402"/>
    <cellStyle name="Процентный 5 2 2 6 2 2" xfId="17082"/>
    <cellStyle name="Процентный 5 2 2 6 2 2 2" xfId="49126"/>
    <cellStyle name="Процентный 5 2 2 6 2 3" xfId="27763"/>
    <cellStyle name="Процентный 5 2 2 6 2 3 2" xfId="59806"/>
    <cellStyle name="Процентный 5 2 2 6 2 4" xfId="38446"/>
    <cellStyle name="Процентный 5 2 2 6 3" xfId="11742"/>
    <cellStyle name="Процентный 5 2 2 6 3 2" xfId="43786"/>
    <cellStyle name="Процентный 5 2 2 6 4" xfId="22423"/>
    <cellStyle name="Процентный 5 2 2 6 4 2" xfId="54466"/>
    <cellStyle name="Процентный 5 2 2 6 5" xfId="33106"/>
    <cellStyle name="Процентный 5 2 2 60" xfId="2540"/>
    <cellStyle name="Процентный 5 2 2 60 2" xfId="7882"/>
    <cellStyle name="Процентный 5 2 2 60 2 2" xfId="18562"/>
    <cellStyle name="Процентный 5 2 2 60 2 2 2" xfId="50606"/>
    <cellStyle name="Процентный 5 2 2 60 2 3" xfId="29243"/>
    <cellStyle name="Процентный 5 2 2 60 2 3 2" xfId="61286"/>
    <cellStyle name="Процентный 5 2 2 60 2 4" xfId="39926"/>
    <cellStyle name="Процентный 5 2 2 60 3" xfId="13222"/>
    <cellStyle name="Процентный 5 2 2 60 3 2" xfId="45266"/>
    <cellStyle name="Процентный 5 2 2 60 4" xfId="23903"/>
    <cellStyle name="Процентный 5 2 2 60 4 2" xfId="55946"/>
    <cellStyle name="Процентный 5 2 2 60 5" xfId="34586"/>
    <cellStyle name="Процентный 5 2 2 61" xfId="2572"/>
    <cellStyle name="Процентный 5 2 2 61 2" xfId="7914"/>
    <cellStyle name="Процентный 5 2 2 61 2 2" xfId="18594"/>
    <cellStyle name="Процентный 5 2 2 61 2 2 2" xfId="50638"/>
    <cellStyle name="Процентный 5 2 2 61 2 3" xfId="29275"/>
    <cellStyle name="Процентный 5 2 2 61 2 3 2" xfId="61318"/>
    <cellStyle name="Процентный 5 2 2 61 2 4" xfId="39958"/>
    <cellStyle name="Процентный 5 2 2 61 3" xfId="13254"/>
    <cellStyle name="Процентный 5 2 2 61 3 2" xfId="45298"/>
    <cellStyle name="Процентный 5 2 2 61 4" xfId="23935"/>
    <cellStyle name="Процентный 5 2 2 61 4 2" xfId="55978"/>
    <cellStyle name="Процентный 5 2 2 61 5" xfId="34618"/>
    <cellStyle name="Процентный 5 2 2 62" xfId="2604"/>
    <cellStyle name="Процентный 5 2 2 62 2" xfId="7946"/>
    <cellStyle name="Процентный 5 2 2 62 2 2" xfId="18626"/>
    <cellStyle name="Процентный 5 2 2 62 2 2 2" xfId="50670"/>
    <cellStyle name="Процентный 5 2 2 62 2 3" xfId="29307"/>
    <cellStyle name="Процентный 5 2 2 62 2 3 2" xfId="61350"/>
    <cellStyle name="Процентный 5 2 2 62 2 4" xfId="39990"/>
    <cellStyle name="Процентный 5 2 2 62 3" xfId="13286"/>
    <cellStyle name="Процентный 5 2 2 62 3 2" xfId="45330"/>
    <cellStyle name="Процентный 5 2 2 62 4" xfId="23967"/>
    <cellStyle name="Процентный 5 2 2 62 4 2" xfId="56010"/>
    <cellStyle name="Процентный 5 2 2 62 5" xfId="34650"/>
    <cellStyle name="Процентный 5 2 2 63" xfId="2636"/>
    <cellStyle name="Процентный 5 2 2 63 2" xfId="7978"/>
    <cellStyle name="Процентный 5 2 2 63 2 2" xfId="18658"/>
    <cellStyle name="Процентный 5 2 2 63 2 2 2" xfId="50702"/>
    <cellStyle name="Процентный 5 2 2 63 2 3" xfId="29339"/>
    <cellStyle name="Процентный 5 2 2 63 2 3 2" xfId="61382"/>
    <cellStyle name="Процентный 5 2 2 63 2 4" xfId="40022"/>
    <cellStyle name="Процентный 5 2 2 63 3" xfId="13318"/>
    <cellStyle name="Процентный 5 2 2 63 3 2" xfId="45362"/>
    <cellStyle name="Процентный 5 2 2 63 4" xfId="23999"/>
    <cellStyle name="Процентный 5 2 2 63 4 2" xfId="56042"/>
    <cellStyle name="Процентный 5 2 2 63 5" xfId="34682"/>
    <cellStyle name="Процентный 5 2 2 64" xfId="2668"/>
    <cellStyle name="Процентный 5 2 2 64 2" xfId="8010"/>
    <cellStyle name="Процентный 5 2 2 64 2 2" xfId="18690"/>
    <cellStyle name="Процентный 5 2 2 64 2 2 2" xfId="50734"/>
    <cellStyle name="Процентный 5 2 2 64 2 3" xfId="29371"/>
    <cellStyle name="Процентный 5 2 2 64 2 3 2" xfId="61414"/>
    <cellStyle name="Процентный 5 2 2 64 2 4" xfId="40054"/>
    <cellStyle name="Процентный 5 2 2 64 3" xfId="13350"/>
    <cellStyle name="Процентный 5 2 2 64 3 2" xfId="45394"/>
    <cellStyle name="Процентный 5 2 2 64 4" xfId="24031"/>
    <cellStyle name="Процентный 5 2 2 64 4 2" xfId="56074"/>
    <cellStyle name="Процентный 5 2 2 64 5" xfId="34714"/>
    <cellStyle name="Процентный 5 2 2 65" xfId="2700"/>
    <cellStyle name="Процентный 5 2 2 65 2" xfId="8042"/>
    <cellStyle name="Процентный 5 2 2 65 2 2" xfId="18722"/>
    <cellStyle name="Процентный 5 2 2 65 2 2 2" xfId="50766"/>
    <cellStyle name="Процентный 5 2 2 65 2 3" xfId="29403"/>
    <cellStyle name="Процентный 5 2 2 65 2 3 2" xfId="61446"/>
    <cellStyle name="Процентный 5 2 2 65 2 4" xfId="40086"/>
    <cellStyle name="Процентный 5 2 2 65 3" xfId="13382"/>
    <cellStyle name="Процентный 5 2 2 65 3 2" xfId="45426"/>
    <cellStyle name="Процентный 5 2 2 65 4" xfId="24063"/>
    <cellStyle name="Процентный 5 2 2 65 4 2" xfId="56106"/>
    <cellStyle name="Процентный 5 2 2 65 5" xfId="34746"/>
    <cellStyle name="Процентный 5 2 2 66" xfId="2732"/>
    <cellStyle name="Процентный 5 2 2 66 2" xfId="8074"/>
    <cellStyle name="Процентный 5 2 2 66 2 2" xfId="18754"/>
    <cellStyle name="Процентный 5 2 2 66 2 2 2" xfId="50798"/>
    <cellStyle name="Процентный 5 2 2 66 2 3" xfId="29435"/>
    <cellStyle name="Процентный 5 2 2 66 2 3 2" xfId="61478"/>
    <cellStyle name="Процентный 5 2 2 66 2 4" xfId="40118"/>
    <cellStyle name="Процентный 5 2 2 66 3" xfId="13414"/>
    <cellStyle name="Процентный 5 2 2 66 3 2" xfId="45458"/>
    <cellStyle name="Процентный 5 2 2 66 4" xfId="24095"/>
    <cellStyle name="Процентный 5 2 2 66 4 2" xfId="56138"/>
    <cellStyle name="Процентный 5 2 2 66 5" xfId="34778"/>
    <cellStyle name="Процентный 5 2 2 67" xfId="2766"/>
    <cellStyle name="Процентный 5 2 2 67 2" xfId="8108"/>
    <cellStyle name="Процентный 5 2 2 67 2 2" xfId="18788"/>
    <cellStyle name="Процентный 5 2 2 67 2 2 2" xfId="50832"/>
    <cellStyle name="Процентный 5 2 2 67 2 3" xfId="29469"/>
    <cellStyle name="Процентный 5 2 2 67 2 3 2" xfId="61512"/>
    <cellStyle name="Процентный 5 2 2 67 2 4" xfId="40152"/>
    <cellStyle name="Процентный 5 2 2 67 3" xfId="13448"/>
    <cellStyle name="Процентный 5 2 2 67 3 2" xfId="45492"/>
    <cellStyle name="Процентный 5 2 2 67 4" xfId="24129"/>
    <cellStyle name="Процентный 5 2 2 67 4 2" xfId="56172"/>
    <cellStyle name="Процентный 5 2 2 67 5" xfId="34812"/>
    <cellStyle name="Процентный 5 2 2 68" xfId="2798"/>
    <cellStyle name="Процентный 5 2 2 68 2" xfId="8140"/>
    <cellStyle name="Процентный 5 2 2 68 2 2" xfId="18820"/>
    <cellStyle name="Процентный 5 2 2 68 2 2 2" xfId="50864"/>
    <cellStyle name="Процентный 5 2 2 68 2 3" xfId="29501"/>
    <cellStyle name="Процентный 5 2 2 68 2 3 2" xfId="61544"/>
    <cellStyle name="Процентный 5 2 2 68 2 4" xfId="40184"/>
    <cellStyle name="Процентный 5 2 2 68 3" xfId="13480"/>
    <cellStyle name="Процентный 5 2 2 68 3 2" xfId="45524"/>
    <cellStyle name="Процентный 5 2 2 68 4" xfId="24161"/>
    <cellStyle name="Процентный 5 2 2 68 4 2" xfId="56204"/>
    <cellStyle name="Процентный 5 2 2 68 5" xfId="34844"/>
    <cellStyle name="Процентный 5 2 2 69" xfId="2830"/>
    <cellStyle name="Процентный 5 2 2 69 2" xfId="8172"/>
    <cellStyle name="Процентный 5 2 2 69 2 2" xfId="18852"/>
    <cellStyle name="Процентный 5 2 2 69 2 2 2" xfId="50896"/>
    <cellStyle name="Процентный 5 2 2 69 2 3" xfId="29533"/>
    <cellStyle name="Процентный 5 2 2 69 2 3 2" xfId="61576"/>
    <cellStyle name="Процентный 5 2 2 69 2 4" xfId="40216"/>
    <cellStyle name="Процентный 5 2 2 69 3" xfId="13512"/>
    <cellStyle name="Процентный 5 2 2 69 3 2" xfId="45556"/>
    <cellStyle name="Процентный 5 2 2 69 4" xfId="24193"/>
    <cellStyle name="Процентный 5 2 2 69 4 2" xfId="56236"/>
    <cellStyle name="Процентный 5 2 2 69 5" xfId="34876"/>
    <cellStyle name="Процентный 5 2 2 7" xfId="1085"/>
    <cellStyle name="Процентный 5 2 2 7 2" xfId="6428"/>
    <cellStyle name="Процентный 5 2 2 7 2 2" xfId="17108"/>
    <cellStyle name="Процентный 5 2 2 7 2 2 2" xfId="49152"/>
    <cellStyle name="Процентный 5 2 2 7 2 3" xfId="27789"/>
    <cellStyle name="Процентный 5 2 2 7 2 3 2" xfId="59832"/>
    <cellStyle name="Процентный 5 2 2 7 2 4" xfId="38472"/>
    <cellStyle name="Процентный 5 2 2 7 3" xfId="11768"/>
    <cellStyle name="Процентный 5 2 2 7 3 2" xfId="43812"/>
    <cellStyle name="Процентный 5 2 2 7 4" xfId="22449"/>
    <cellStyle name="Процентный 5 2 2 7 4 2" xfId="54492"/>
    <cellStyle name="Процентный 5 2 2 7 5" xfId="33132"/>
    <cellStyle name="Процентный 5 2 2 70" xfId="2862"/>
    <cellStyle name="Процентный 5 2 2 70 2" xfId="8204"/>
    <cellStyle name="Процентный 5 2 2 70 2 2" xfId="18884"/>
    <cellStyle name="Процентный 5 2 2 70 2 2 2" xfId="50928"/>
    <cellStyle name="Процентный 5 2 2 70 2 3" xfId="29565"/>
    <cellStyle name="Процентный 5 2 2 70 2 3 2" xfId="61608"/>
    <cellStyle name="Процентный 5 2 2 70 2 4" xfId="40248"/>
    <cellStyle name="Процентный 5 2 2 70 3" xfId="13544"/>
    <cellStyle name="Процентный 5 2 2 70 3 2" xfId="45588"/>
    <cellStyle name="Процентный 5 2 2 70 4" xfId="24225"/>
    <cellStyle name="Процентный 5 2 2 70 4 2" xfId="56268"/>
    <cellStyle name="Процентный 5 2 2 70 5" xfId="34908"/>
    <cellStyle name="Процентный 5 2 2 71" xfId="2894"/>
    <cellStyle name="Процентный 5 2 2 71 2" xfId="8236"/>
    <cellStyle name="Процентный 5 2 2 71 2 2" xfId="18916"/>
    <cellStyle name="Процентный 5 2 2 71 2 2 2" xfId="50960"/>
    <cellStyle name="Процентный 5 2 2 71 2 3" xfId="29597"/>
    <cellStyle name="Процентный 5 2 2 71 2 3 2" xfId="61640"/>
    <cellStyle name="Процентный 5 2 2 71 2 4" xfId="40280"/>
    <cellStyle name="Процентный 5 2 2 71 3" xfId="13576"/>
    <cellStyle name="Процентный 5 2 2 71 3 2" xfId="45620"/>
    <cellStyle name="Процентный 5 2 2 71 4" xfId="24257"/>
    <cellStyle name="Процентный 5 2 2 71 4 2" xfId="56300"/>
    <cellStyle name="Процентный 5 2 2 71 5" xfId="34940"/>
    <cellStyle name="Процентный 5 2 2 72" xfId="2926"/>
    <cellStyle name="Процентный 5 2 2 72 2" xfId="8268"/>
    <cellStyle name="Процентный 5 2 2 72 2 2" xfId="18948"/>
    <cellStyle name="Процентный 5 2 2 72 2 2 2" xfId="50992"/>
    <cellStyle name="Процентный 5 2 2 72 2 3" xfId="29629"/>
    <cellStyle name="Процентный 5 2 2 72 2 3 2" xfId="61672"/>
    <cellStyle name="Процентный 5 2 2 72 2 4" xfId="40312"/>
    <cellStyle name="Процентный 5 2 2 72 3" xfId="13608"/>
    <cellStyle name="Процентный 5 2 2 72 3 2" xfId="45652"/>
    <cellStyle name="Процентный 5 2 2 72 4" xfId="24289"/>
    <cellStyle name="Процентный 5 2 2 72 4 2" xfId="56332"/>
    <cellStyle name="Процентный 5 2 2 72 5" xfId="34972"/>
    <cellStyle name="Процентный 5 2 2 73" xfId="2958"/>
    <cellStyle name="Процентный 5 2 2 73 2" xfId="8300"/>
    <cellStyle name="Процентный 5 2 2 73 2 2" xfId="18980"/>
    <cellStyle name="Процентный 5 2 2 73 2 2 2" xfId="51024"/>
    <cellStyle name="Процентный 5 2 2 73 2 3" xfId="29661"/>
    <cellStyle name="Процентный 5 2 2 73 2 3 2" xfId="61704"/>
    <cellStyle name="Процентный 5 2 2 73 2 4" xfId="40344"/>
    <cellStyle name="Процентный 5 2 2 73 3" xfId="13640"/>
    <cellStyle name="Процентный 5 2 2 73 3 2" xfId="45684"/>
    <cellStyle name="Процентный 5 2 2 73 4" xfId="24321"/>
    <cellStyle name="Процентный 5 2 2 73 4 2" xfId="56364"/>
    <cellStyle name="Процентный 5 2 2 73 5" xfId="35004"/>
    <cellStyle name="Процентный 5 2 2 74" xfId="2990"/>
    <cellStyle name="Процентный 5 2 2 74 2" xfId="8332"/>
    <cellStyle name="Процентный 5 2 2 74 2 2" xfId="19012"/>
    <cellStyle name="Процентный 5 2 2 74 2 2 2" xfId="51056"/>
    <cellStyle name="Процентный 5 2 2 74 2 3" xfId="29693"/>
    <cellStyle name="Процентный 5 2 2 74 2 3 2" xfId="61736"/>
    <cellStyle name="Процентный 5 2 2 74 2 4" xfId="40376"/>
    <cellStyle name="Процентный 5 2 2 74 3" xfId="13672"/>
    <cellStyle name="Процентный 5 2 2 74 3 2" xfId="45716"/>
    <cellStyle name="Процентный 5 2 2 74 4" xfId="24353"/>
    <cellStyle name="Процентный 5 2 2 74 4 2" xfId="56396"/>
    <cellStyle name="Процентный 5 2 2 74 5" xfId="35036"/>
    <cellStyle name="Процентный 5 2 2 75" xfId="3022"/>
    <cellStyle name="Процентный 5 2 2 75 2" xfId="8364"/>
    <cellStyle name="Процентный 5 2 2 75 2 2" xfId="19044"/>
    <cellStyle name="Процентный 5 2 2 75 2 2 2" xfId="51088"/>
    <cellStyle name="Процентный 5 2 2 75 2 3" xfId="29725"/>
    <cellStyle name="Процентный 5 2 2 75 2 3 2" xfId="61768"/>
    <cellStyle name="Процентный 5 2 2 75 2 4" xfId="40408"/>
    <cellStyle name="Процентный 5 2 2 75 3" xfId="13704"/>
    <cellStyle name="Процентный 5 2 2 75 3 2" xfId="45748"/>
    <cellStyle name="Процентный 5 2 2 75 4" xfId="24385"/>
    <cellStyle name="Процентный 5 2 2 75 4 2" xfId="56428"/>
    <cellStyle name="Процентный 5 2 2 75 5" xfId="35068"/>
    <cellStyle name="Процентный 5 2 2 76" xfId="3054"/>
    <cellStyle name="Процентный 5 2 2 76 2" xfId="8396"/>
    <cellStyle name="Процентный 5 2 2 76 2 2" xfId="19076"/>
    <cellStyle name="Процентный 5 2 2 76 2 2 2" xfId="51120"/>
    <cellStyle name="Процентный 5 2 2 76 2 3" xfId="29757"/>
    <cellStyle name="Процентный 5 2 2 76 2 3 2" xfId="61800"/>
    <cellStyle name="Процентный 5 2 2 76 2 4" xfId="40440"/>
    <cellStyle name="Процентный 5 2 2 76 3" xfId="13736"/>
    <cellStyle name="Процентный 5 2 2 76 3 2" xfId="45780"/>
    <cellStyle name="Процентный 5 2 2 76 4" xfId="24417"/>
    <cellStyle name="Процентный 5 2 2 76 4 2" xfId="56460"/>
    <cellStyle name="Процентный 5 2 2 76 5" xfId="35100"/>
    <cellStyle name="Процентный 5 2 2 77" xfId="3086"/>
    <cellStyle name="Процентный 5 2 2 77 2" xfId="8428"/>
    <cellStyle name="Процентный 5 2 2 77 2 2" xfId="19108"/>
    <cellStyle name="Процентный 5 2 2 77 2 2 2" xfId="51152"/>
    <cellStyle name="Процентный 5 2 2 77 2 3" xfId="29789"/>
    <cellStyle name="Процентный 5 2 2 77 2 3 2" xfId="61832"/>
    <cellStyle name="Процентный 5 2 2 77 2 4" xfId="40472"/>
    <cellStyle name="Процентный 5 2 2 77 3" xfId="13768"/>
    <cellStyle name="Процентный 5 2 2 77 3 2" xfId="45812"/>
    <cellStyle name="Процентный 5 2 2 77 4" xfId="24449"/>
    <cellStyle name="Процентный 5 2 2 77 4 2" xfId="56492"/>
    <cellStyle name="Процентный 5 2 2 77 5" xfId="35132"/>
    <cellStyle name="Процентный 5 2 2 78" xfId="3119"/>
    <cellStyle name="Процентный 5 2 2 78 2" xfId="8460"/>
    <cellStyle name="Процентный 5 2 2 78 2 2" xfId="19140"/>
    <cellStyle name="Процентный 5 2 2 78 2 2 2" xfId="51184"/>
    <cellStyle name="Процентный 5 2 2 78 2 3" xfId="29821"/>
    <cellStyle name="Процентный 5 2 2 78 2 3 2" xfId="61864"/>
    <cellStyle name="Процентный 5 2 2 78 2 4" xfId="40504"/>
    <cellStyle name="Процентный 5 2 2 78 3" xfId="13800"/>
    <cellStyle name="Процентный 5 2 2 78 3 2" xfId="45844"/>
    <cellStyle name="Процентный 5 2 2 78 4" xfId="24481"/>
    <cellStyle name="Процентный 5 2 2 78 4 2" xfId="56524"/>
    <cellStyle name="Процентный 5 2 2 78 5" xfId="35164"/>
    <cellStyle name="Процентный 5 2 2 79" xfId="3151"/>
    <cellStyle name="Процентный 5 2 2 79 2" xfId="8492"/>
    <cellStyle name="Процентный 5 2 2 79 2 2" xfId="19172"/>
    <cellStyle name="Процентный 5 2 2 79 2 2 2" xfId="51216"/>
    <cellStyle name="Процентный 5 2 2 79 2 3" xfId="29853"/>
    <cellStyle name="Процентный 5 2 2 79 2 3 2" xfId="61896"/>
    <cellStyle name="Процентный 5 2 2 79 2 4" xfId="40536"/>
    <cellStyle name="Процентный 5 2 2 79 3" xfId="13832"/>
    <cellStyle name="Процентный 5 2 2 79 3 2" xfId="45876"/>
    <cellStyle name="Процентный 5 2 2 79 4" xfId="24513"/>
    <cellStyle name="Процентный 5 2 2 79 4 2" xfId="56556"/>
    <cellStyle name="Процентный 5 2 2 79 5" xfId="35196"/>
    <cellStyle name="Процентный 5 2 2 8" xfId="1111"/>
    <cellStyle name="Процентный 5 2 2 8 2" xfId="6454"/>
    <cellStyle name="Процентный 5 2 2 8 2 2" xfId="17134"/>
    <cellStyle name="Процентный 5 2 2 8 2 2 2" xfId="49178"/>
    <cellStyle name="Процентный 5 2 2 8 2 3" xfId="27815"/>
    <cellStyle name="Процентный 5 2 2 8 2 3 2" xfId="59858"/>
    <cellStyle name="Процентный 5 2 2 8 2 4" xfId="38498"/>
    <cellStyle name="Процентный 5 2 2 8 3" xfId="11794"/>
    <cellStyle name="Процентный 5 2 2 8 3 2" xfId="43838"/>
    <cellStyle name="Процентный 5 2 2 8 4" xfId="22475"/>
    <cellStyle name="Процентный 5 2 2 8 4 2" xfId="54518"/>
    <cellStyle name="Процентный 5 2 2 8 5" xfId="33158"/>
    <cellStyle name="Процентный 5 2 2 80" xfId="3183"/>
    <cellStyle name="Процентный 5 2 2 80 2" xfId="8524"/>
    <cellStyle name="Процентный 5 2 2 80 2 2" xfId="19204"/>
    <cellStyle name="Процентный 5 2 2 80 2 2 2" xfId="51248"/>
    <cellStyle name="Процентный 5 2 2 80 2 3" xfId="29885"/>
    <cellStyle name="Процентный 5 2 2 80 2 3 2" xfId="61928"/>
    <cellStyle name="Процентный 5 2 2 80 2 4" xfId="40568"/>
    <cellStyle name="Процентный 5 2 2 80 3" xfId="13864"/>
    <cellStyle name="Процентный 5 2 2 80 3 2" xfId="45908"/>
    <cellStyle name="Процентный 5 2 2 80 4" xfId="24545"/>
    <cellStyle name="Процентный 5 2 2 80 4 2" xfId="56588"/>
    <cellStyle name="Процентный 5 2 2 80 5" xfId="35228"/>
    <cellStyle name="Процентный 5 2 2 81" xfId="3215"/>
    <cellStyle name="Процентный 5 2 2 81 2" xfId="8556"/>
    <cellStyle name="Процентный 5 2 2 81 2 2" xfId="19236"/>
    <cellStyle name="Процентный 5 2 2 81 2 2 2" xfId="51280"/>
    <cellStyle name="Процентный 5 2 2 81 2 3" xfId="29917"/>
    <cellStyle name="Процентный 5 2 2 81 2 3 2" xfId="61960"/>
    <cellStyle name="Процентный 5 2 2 81 2 4" xfId="40600"/>
    <cellStyle name="Процентный 5 2 2 81 3" xfId="13896"/>
    <cellStyle name="Процентный 5 2 2 81 3 2" xfId="45940"/>
    <cellStyle name="Процентный 5 2 2 81 4" xfId="24577"/>
    <cellStyle name="Процентный 5 2 2 81 4 2" xfId="56620"/>
    <cellStyle name="Процентный 5 2 2 81 5" xfId="35260"/>
    <cellStyle name="Процентный 5 2 2 82" xfId="3247"/>
    <cellStyle name="Процентный 5 2 2 82 2" xfId="8588"/>
    <cellStyle name="Процентный 5 2 2 82 2 2" xfId="19268"/>
    <cellStyle name="Процентный 5 2 2 82 2 2 2" xfId="51312"/>
    <cellStyle name="Процентный 5 2 2 82 2 3" xfId="29949"/>
    <cellStyle name="Процентный 5 2 2 82 2 3 2" xfId="61992"/>
    <cellStyle name="Процентный 5 2 2 82 2 4" xfId="40632"/>
    <cellStyle name="Процентный 5 2 2 82 3" xfId="13928"/>
    <cellStyle name="Процентный 5 2 2 82 3 2" xfId="45972"/>
    <cellStyle name="Процентный 5 2 2 82 4" xfId="24609"/>
    <cellStyle name="Процентный 5 2 2 82 4 2" xfId="56652"/>
    <cellStyle name="Процентный 5 2 2 82 5" xfId="35292"/>
    <cellStyle name="Процентный 5 2 2 83" xfId="3279"/>
    <cellStyle name="Процентный 5 2 2 83 2" xfId="8620"/>
    <cellStyle name="Процентный 5 2 2 83 2 2" xfId="19300"/>
    <cellStyle name="Процентный 5 2 2 83 2 2 2" xfId="51344"/>
    <cellStyle name="Процентный 5 2 2 83 2 3" xfId="29981"/>
    <cellStyle name="Процентный 5 2 2 83 2 3 2" xfId="62024"/>
    <cellStyle name="Процентный 5 2 2 83 2 4" xfId="40664"/>
    <cellStyle name="Процентный 5 2 2 83 3" xfId="13960"/>
    <cellStyle name="Процентный 5 2 2 83 3 2" xfId="46004"/>
    <cellStyle name="Процентный 5 2 2 83 4" xfId="24641"/>
    <cellStyle name="Процентный 5 2 2 83 4 2" xfId="56684"/>
    <cellStyle name="Процентный 5 2 2 83 5" xfId="35324"/>
    <cellStyle name="Процентный 5 2 2 84" xfId="3311"/>
    <cellStyle name="Процентный 5 2 2 84 2" xfId="8652"/>
    <cellStyle name="Процентный 5 2 2 84 2 2" xfId="19332"/>
    <cellStyle name="Процентный 5 2 2 84 2 2 2" xfId="51376"/>
    <cellStyle name="Процентный 5 2 2 84 2 3" xfId="30013"/>
    <cellStyle name="Процентный 5 2 2 84 2 3 2" xfId="62056"/>
    <cellStyle name="Процентный 5 2 2 84 2 4" xfId="40696"/>
    <cellStyle name="Процентный 5 2 2 84 3" xfId="13992"/>
    <cellStyle name="Процентный 5 2 2 84 3 2" xfId="46036"/>
    <cellStyle name="Процентный 5 2 2 84 4" xfId="24673"/>
    <cellStyle name="Процентный 5 2 2 84 4 2" xfId="56716"/>
    <cellStyle name="Процентный 5 2 2 84 5" xfId="35356"/>
    <cellStyle name="Процентный 5 2 2 85" xfId="3343"/>
    <cellStyle name="Процентный 5 2 2 85 2" xfId="8684"/>
    <cellStyle name="Процентный 5 2 2 85 2 2" xfId="19364"/>
    <cellStyle name="Процентный 5 2 2 85 2 2 2" xfId="51408"/>
    <cellStyle name="Процентный 5 2 2 85 2 3" xfId="30045"/>
    <cellStyle name="Процентный 5 2 2 85 2 3 2" xfId="62088"/>
    <cellStyle name="Процентный 5 2 2 85 2 4" xfId="40728"/>
    <cellStyle name="Процентный 5 2 2 85 3" xfId="14024"/>
    <cellStyle name="Процентный 5 2 2 85 3 2" xfId="46068"/>
    <cellStyle name="Процентный 5 2 2 85 4" xfId="24705"/>
    <cellStyle name="Процентный 5 2 2 85 4 2" xfId="56748"/>
    <cellStyle name="Процентный 5 2 2 85 5" xfId="35388"/>
    <cellStyle name="Процентный 5 2 2 86" xfId="3375"/>
    <cellStyle name="Процентный 5 2 2 86 2" xfId="8716"/>
    <cellStyle name="Процентный 5 2 2 86 2 2" xfId="19396"/>
    <cellStyle name="Процентный 5 2 2 86 2 2 2" xfId="51440"/>
    <cellStyle name="Процентный 5 2 2 86 2 3" xfId="30077"/>
    <cellStyle name="Процентный 5 2 2 86 2 3 2" xfId="62120"/>
    <cellStyle name="Процентный 5 2 2 86 2 4" xfId="40760"/>
    <cellStyle name="Процентный 5 2 2 86 3" xfId="14056"/>
    <cellStyle name="Процентный 5 2 2 86 3 2" xfId="46100"/>
    <cellStyle name="Процентный 5 2 2 86 4" xfId="24737"/>
    <cellStyle name="Процентный 5 2 2 86 4 2" xfId="56780"/>
    <cellStyle name="Процентный 5 2 2 86 5" xfId="35420"/>
    <cellStyle name="Процентный 5 2 2 87" xfId="3407"/>
    <cellStyle name="Процентный 5 2 2 87 2" xfId="8748"/>
    <cellStyle name="Процентный 5 2 2 87 2 2" xfId="19428"/>
    <cellStyle name="Процентный 5 2 2 87 2 2 2" xfId="51472"/>
    <cellStyle name="Процентный 5 2 2 87 2 3" xfId="30109"/>
    <cellStyle name="Процентный 5 2 2 87 2 3 2" xfId="62152"/>
    <cellStyle name="Процентный 5 2 2 87 2 4" xfId="40792"/>
    <cellStyle name="Процентный 5 2 2 87 3" xfId="14088"/>
    <cellStyle name="Процентный 5 2 2 87 3 2" xfId="46132"/>
    <cellStyle name="Процентный 5 2 2 87 4" xfId="24769"/>
    <cellStyle name="Процентный 5 2 2 87 4 2" xfId="56812"/>
    <cellStyle name="Процентный 5 2 2 87 5" xfId="35452"/>
    <cellStyle name="Процентный 5 2 2 88" xfId="3439"/>
    <cellStyle name="Процентный 5 2 2 88 2" xfId="8780"/>
    <cellStyle name="Процентный 5 2 2 88 2 2" xfId="19460"/>
    <cellStyle name="Процентный 5 2 2 88 2 2 2" xfId="51504"/>
    <cellStyle name="Процентный 5 2 2 88 2 3" xfId="30141"/>
    <cellStyle name="Процентный 5 2 2 88 2 3 2" xfId="62184"/>
    <cellStyle name="Процентный 5 2 2 88 2 4" xfId="40824"/>
    <cellStyle name="Процентный 5 2 2 88 3" xfId="14120"/>
    <cellStyle name="Процентный 5 2 2 88 3 2" xfId="46164"/>
    <cellStyle name="Процентный 5 2 2 88 4" xfId="24801"/>
    <cellStyle name="Процентный 5 2 2 88 4 2" xfId="56844"/>
    <cellStyle name="Процентный 5 2 2 88 5" xfId="35484"/>
    <cellStyle name="Процентный 5 2 2 89" xfId="3471"/>
    <cellStyle name="Процентный 5 2 2 89 2" xfId="8812"/>
    <cellStyle name="Процентный 5 2 2 89 2 2" xfId="19492"/>
    <cellStyle name="Процентный 5 2 2 89 2 2 2" xfId="51536"/>
    <cellStyle name="Процентный 5 2 2 89 2 3" xfId="30173"/>
    <cellStyle name="Процентный 5 2 2 89 2 3 2" xfId="62216"/>
    <cellStyle name="Процентный 5 2 2 89 2 4" xfId="40856"/>
    <cellStyle name="Процентный 5 2 2 89 3" xfId="14152"/>
    <cellStyle name="Процентный 5 2 2 89 3 2" xfId="46196"/>
    <cellStyle name="Процентный 5 2 2 89 4" xfId="24833"/>
    <cellStyle name="Процентный 5 2 2 89 4 2" xfId="56876"/>
    <cellStyle name="Процентный 5 2 2 89 5" xfId="35516"/>
    <cellStyle name="Процентный 5 2 2 9" xfId="1137"/>
    <cellStyle name="Процентный 5 2 2 9 2" xfId="6480"/>
    <cellStyle name="Процентный 5 2 2 9 2 2" xfId="17160"/>
    <cellStyle name="Процентный 5 2 2 9 2 2 2" xfId="49204"/>
    <cellStyle name="Процентный 5 2 2 9 2 3" xfId="27841"/>
    <cellStyle name="Процентный 5 2 2 9 2 3 2" xfId="59884"/>
    <cellStyle name="Процентный 5 2 2 9 2 4" xfId="38524"/>
    <cellStyle name="Процентный 5 2 2 9 3" xfId="11820"/>
    <cellStyle name="Процентный 5 2 2 9 3 2" xfId="43864"/>
    <cellStyle name="Процентный 5 2 2 9 4" xfId="22501"/>
    <cellStyle name="Процентный 5 2 2 9 4 2" xfId="54544"/>
    <cellStyle name="Процентный 5 2 2 9 5" xfId="33184"/>
    <cellStyle name="Процентный 5 2 2 90" xfId="3503"/>
    <cellStyle name="Процентный 5 2 2 90 2" xfId="8844"/>
    <cellStyle name="Процентный 5 2 2 90 2 2" xfId="19524"/>
    <cellStyle name="Процентный 5 2 2 90 2 2 2" xfId="51568"/>
    <cellStyle name="Процентный 5 2 2 90 2 3" xfId="30205"/>
    <cellStyle name="Процентный 5 2 2 90 2 3 2" xfId="62248"/>
    <cellStyle name="Процентный 5 2 2 90 2 4" xfId="40888"/>
    <cellStyle name="Процентный 5 2 2 90 3" xfId="14184"/>
    <cellStyle name="Процентный 5 2 2 90 3 2" xfId="46228"/>
    <cellStyle name="Процентный 5 2 2 90 4" xfId="24865"/>
    <cellStyle name="Процентный 5 2 2 90 4 2" xfId="56908"/>
    <cellStyle name="Процентный 5 2 2 90 5" xfId="35548"/>
    <cellStyle name="Процентный 5 2 2 91" xfId="3535"/>
    <cellStyle name="Процентный 5 2 2 91 2" xfId="8876"/>
    <cellStyle name="Процентный 5 2 2 91 2 2" xfId="19556"/>
    <cellStyle name="Процентный 5 2 2 91 2 2 2" xfId="51600"/>
    <cellStyle name="Процентный 5 2 2 91 2 3" xfId="30237"/>
    <cellStyle name="Процентный 5 2 2 91 2 3 2" xfId="62280"/>
    <cellStyle name="Процентный 5 2 2 91 2 4" xfId="40920"/>
    <cellStyle name="Процентный 5 2 2 91 3" xfId="14216"/>
    <cellStyle name="Процентный 5 2 2 91 3 2" xfId="46260"/>
    <cellStyle name="Процентный 5 2 2 91 4" xfId="24897"/>
    <cellStyle name="Процентный 5 2 2 91 4 2" xfId="56940"/>
    <cellStyle name="Процентный 5 2 2 91 5" xfId="35580"/>
    <cellStyle name="Процентный 5 2 2 92" xfId="3567"/>
    <cellStyle name="Процентный 5 2 2 92 2" xfId="8908"/>
    <cellStyle name="Процентный 5 2 2 92 2 2" xfId="19588"/>
    <cellStyle name="Процентный 5 2 2 92 2 2 2" xfId="51632"/>
    <cellStyle name="Процентный 5 2 2 92 2 3" xfId="30269"/>
    <cellStyle name="Процентный 5 2 2 92 2 3 2" xfId="62312"/>
    <cellStyle name="Процентный 5 2 2 92 2 4" xfId="40952"/>
    <cellStyle name="Процентный 5 2 2 92 3" xfId="14248"/>
    <cellStyle name="Процентный 5 2 2 92 3 2" xfId="46292"/>
    <cellStyle name="Процентный 5 2 2 92 4" xfId="24929"/>
    <cellStyle name="Процентный 5 2 2 92 4 2" xfId="56972"/>
    <cellStyle name="Процентный 5 2 2 92 5" xfId="35612"/>
    <cellStyle name="Процентный 5 2 2 93" xfId="3599"/>
    <cellStyle name="Процентный 5 2 2 93 2" xfId="8940"/>
    <cellStyle name="Процентный 5 2 2 93 2 2" xfId="19620"/>
    <cellStyle name="Процентный 5 2 2 93 2 2 2" xfId="51664"/>
    <cellStyle name="Процентный 5 2 2 93 2 3" xfId="30301"/>
    <cellStyle name="Процентный 5 2 2 93 2 3 2" xfId="62344"/>
    <cellStyle name="Процентный 5 2 2 93 2 4" xfId="40984"/>
    <cellStyle name="Процентный 5 2 2 93 3" xfId="14280"/>
    <cellStyle name="Процентный 5 2 2 93 3 2" xfId="46324"/>
    <cellStyle name="Процентный 5 2 2 93 4" xfId="24961"/>
    <cellStyle name="Процентный 5 2 2 93 4 2" xfId="57004"/>
    <cellStyle name="Процентный 5 2 2 93 5" xfId="35644"/>
    <cellStyle name="Процентный 5 2 2 94" xfId="3631"/>
    <cellStyle name="Процентный 5 2 2 94 2" xfId="8972"/>
    <cellStyle name="Процентный 5 2 2 94 2 2" xfId="19652"/>
    <cellStyle name="Процентный 5 2 2 94 2 2 2" xfId="51696"/>
    <cellStyle name="Процентный 5 2 2 94 2 3" xfId="30333"/>
    <cellStyle name="Процентный 5 2 2 94 2 3 2" xfId="62376"/>
    <cellStyle name="Процентный 5 2 2 94 2 4" xfId="41016"/>
    <cellStyle name="Процентный 5 2 2 94 3" xfId="14312"/>
    <cellStyle name="Процентный 5 2 2 94 3 2" xfId="46356"/>
    <cellStyle name="Процентный 5 2 2 94 4" xfId="24993"/>
    <cellStyle name="Процентный 5 2 2 94 4 2" xfId="57036"/>
    <cellStyle name="Процентный 5 2 2 94 5" xfId="35676"/>
    <cellStyle name="Процентный 5 2 2 95" xfId="3663"/>
    <cellStyle name="Процентный 5 2 2 95 2" xfId="9004"/>
    <cellStyle name="Процентный 5 2 2 95 2 2" xfId="19684"/>
    <cellStyle name="Процентный 5 2 2 95 2 2 2" xfId="51728"/>
    <cellStyle name="Процентный 5 2 2 95 2 3" xfId="30365"/>
    <cellStyle name="Процентный 5 2 2 95 2 3 2" xfId="62408"/>
    <cellStyle name="Процентный 5 2 2 95 2 4" xfId="41048"/>
    <cellStyle name="Процентный 5 2 2 95 3" xfId="14344"/>
    <cellStyle name="Процентный 5 2 2 95 3 2" xfId="46388"/>
    <cellStyle name="Процентный 5 2 2 95 4" xfId="25025"/>
    <cellStyle name="Процентный 5 2 2 95 4 2" xfId="57068"/>
    <cellStyle name="Процентный 5 2 2 95 5" xfId="35708"/>
    <cellStyle name="Процентный 5 2 2 96" xfId="3695"/>
    <cellStyle name="Процентный 5 2 2 96 2" xfId="9036"/>
    <cellStyle name="Процентный 5 2 2 96 2 2" xfId="19716"/>
    <cellStyle name="Процентный 5 2 2 96 2 2 2" xfId="51760"/>
    <cellStyle name="Процентный 5 2 2 96 2 3" xfId="30397"/>
    <cellStyle name="Процентный 5 2 2 96 2 3 2" xfId="62440"/>
    <cellStyle name="Процентный 5 2 2 96 2 4" xfId="41080"/>
    <cellStyle name="Процентный 5 2 2 96 3" xfId="14376"/>
    <cellStyle name="Процентный 5 2 2 96 3 2" xfId="46420"/>
    <cellStyle name="Процентный 5 2 2 96 4" xfId="25057"/>
    <cellStyle name="Процентный 5 2 2 96 4 2" xfId="57100"/>
    <cellStyle name="Процентный 5 2 2 96 5" xfId="35740"/>
    <cellStyle name="Процентный 5 2 2 97" xfId="3727"/>
    <cellStyle name="Процентный 5 2 2 97 2" xfId="9068"/>
    <cellStyle name="Процентный 5 2 2 97 2 2" xfId="19748"/>
    <cellStyle name="Процентный 5 2 2 97 2 2 2" xfId="51792"/>
    <cellStyle name="Процентный 5 2 2 97 2 3" xfId="30429"/>
    <cellStyle name="Процентный 5 2 2 97 2 3 2" xfId="62472"/>
    <cellStyle name="Процентный 5 2 2 97 2 4" xfId="41112"/>
    <cellStyle name="Процентный 5 2 2 97 3" xfId="14408"/>
    <cellStyle name="Процентный 5 2 2 97 3 2" xfId="46452"/>
    <cellStyle name="Процентный 5 2 2 97 4" xfId="25089"/>
    <cellStyle name="Процентный 5 2 2 97 4 2" xfId="57132"/>
    <cellStyle name="Процентный 5 2 2 97 5" xfId="35772"/>
    <cellStyle name="Процентный 5 2 2 98" xfId="3759"/>
    <cellStyle name="Процентный 5 2 2 98 2" xfId="9100"/>
    <cellStyle name="Процентный 5 2 2 98 2 2" xfId="19780"/>
    <cellStyle name="Процентный 5 2 2 98 2 2 2" xfId="51824"/>
    <cellStyle name="Процентный 5 2 2 98 2 3" xfId="30461"/>
    <cellStyle name="Процентный 5 2 2 98 2 3 2" xfId="62504"/>
    <cellStyle name="Процентный 5 2 2 98 2 4" xfId="41144"/>
    <cellStyle name="Процентный 5 2 2 98 3" xfId="14440"/>
    <cellStyle name="Процентный 5 2 2 98 3 2" xfId="46484"/>
    <cellStyle name="Процентный 5 2 2 98 4" xfId="25121"/>
    <cellStyle name="Процентный 5 2 2 98 4 2" xfId="57164"/>
    <cellStyle name="Процентный 5 2 2 98 5" xfId="35804"/>
    <cellStyle name="Процентный 5 2 2 99" xfId="3791"/>
    <cellStyle name="Процентный 5 2 2 99 2" xfId="9132"/>
    <cellStyle name="Процентный 5 2 2 99 2 2" xfId="19812"/>
    <cellStyle name="Процентный 5 2 2 99 2 2 2" xfId="51856"/>
    <cellStyle name="Процентный 5 2 2 99 2 3" xfId="30493"/>
    <cellStyle name="Процентный 5 2 2 99 2 3 2" xfId="62536"/>
    <cellStyle name="Процентный 5 2 2 99 2 4" xfId="41176"/>
    <cellStyle name="Процентный 5 2 2 99 3" xfId="14472"/>
    <cellStyle name="Процентный 5 2 2 99 3 2" xfId="46516"/>
    <cellStyle name="Процентный 5 2 2 99 4" xfId="25153"/>
    <cellStyle name="Процентный 5 2 2 99 4 2" xfId="57196"/>
    <cellStyle name="Процентный 5 2 2 99 5" xfId="35836"/>
    <cellStyle name="Процентный 5 2 20" xfId="257"/>
    <cellStyle name="Процентный 5 2 20 2" xfId="725"/>
    <cellStyle name="Процентный 5 2 20 2 2" xfId="6068"/>
    <cellStyle name="Процентный 5 2 20 2 2 2" xfId="16748"/>
    <cellStyle name="Процентный 5 2 20 2 2 2 2" xfId="48792"/>
    <cellStyle name="Процентный 5 2 20 2 2 3" xfId="27429"/>
    <cellStyle name="Процентный 5 2 20 2 2 3 2" xfId="59472"/>
    <cellStyle name="Процентный 5 2 20 2 2 4" xfId="38112"/>
    <cellStyle name="Процентный 5 2 20 2 3" xfId="11408"/>
    <cellStyle name="Процентный 5 2 20 2 3 2" xfId="43452"/>
    <cellStyle name="Процентный 5 2 20 2 4" xfId="22089"/>
    <cellStyle name="Процентный 5 2 20 2 4 2" xfId="54132"/>
    <cellStyle name="Процентный 5 2 20 2 5" xfId="32772"/>
    <cellStyle name="Процентный 5 2 20 3" xfId="5601"/>
    <cellStyle name="Процентный 5 2 20 3 2" xfId="16281"/>
    <cellStyle name="Процентный 5 2 20 3 2 2" xfId="48325"/>
    <cellStyle name="Процентный 5 2 20 3 3" xfId="26962"/>
    <cellStyle name="Процентный 5 2 20 3 3 2" xfId="59005"/>
    <cellStyle name="Процентный 5 2 20 3 4" xfId="37645"/>
    <cellStyle name="Процентный 5 2 20 4" xfId="10941"/>
    <cellStyle name="Процентный 5 2 20 4 2" xfId="42985"/>
    <cellStyle name="Процентный 5 2 20 5" xfId="21622"/>
    <cellStyle name="Процентный 5 2 20 5 2" xfId="53665"/>
    <cellStyle name="Процентный 5 2 20 6" xfId="32305"/>
    <cellStyle name="Процентный 5 2 21" xfId="267"/>
    <cellStyle name="Процентный 5 2 21 2" xfId="735"/>
    <cellStyle name="Процентный 5 2 21 2 2" xfId="6078"/>
    <cellStyle name="Процентный 5 2 21 2 2 2" xfId="16758"/>
    <cellStyle name="Процентный 5 2 21 2 2 2 2" xfId="48802"/>
    <cellStyle name="Процентный 5 2 21 2 2 3" xfId="27439"/>
    <cellStyle name="Процентный 5 2 21 2 2 3 2" xfId="59482"/>
    <cellStyle name="Процентный 5 2 21 2 2 4" xfId="38122"/>
    <cellStyle name="Процентный 5 2 21 2 3" xfId="11418"/>
    <cellStyle name="Процентный 5 2 21 2 3 2" xfId="43462"/>
    <cellStyle name="Процентный 5 2 21 2 4" xfId="22099"/>
    <cellStyle name="Процентный 5 2 21 2 4 2" xfId="54142"/>
    <cellStyle name="Процентный 5 2 21 2 5" xfId="32782"/>
    <cellStyle name="Процентный 5 2 21 3" xfId="5611"/>
    <cellStyle name="Процентный 5 2 21 3 2" xfId="16291"/>
    <cellStyle name="Процентный 5 2 21 3 2 2" xfId="48335"/>
    <cellStyle name="Процентный 5 2 21 3 3" xfId="26972"/>
    <cellStyle name="Процентный 5 2 21 3 3 2" xfId="59015"/>
    <cellStyle name="Процентный 5 2 21 3 4" xfId="37655"/>
    <cellStyle name="Процентный 5 2 21 4" xfId="10951"/>
    <cellStyle name="Процентный 5 2 21 4 2" xfId="42995"/>
    <cellStyle name="Процентный 5 2 21 5" xfId="21632"/>
    <cellStyle name="Процентный 5 2 21 5 2" xfId="53675"/>
    <cellStyle name="Процентный 5 2 21 6" xfId="32315"/>
    <cellStyle name="Процентный 5 2 22" xfId="277"/>
    <cellStyle name="Процентный 5 2 22 2" xfId="745"/>
    <cellStyle name="Процентный 5 2 22 2 2" xfId="6088"/>
    <cellStyle name="Процентный 5 2 22 2 2 2" xfId="16768"/>
    <cellStyle name="Процентный 5 2 22 2 2 2 2" xfId="48812"/>
    <cellStyle name="Процентный 5 2 22 2 2 3" xfId="27449"/>
    <cellStyle name="Процентный 5 2 22 2 2 3 2" xfId="59492"/>
    <cellStyle name="Процентный 5 2 22 2 2 4" xfId="38132"/>
    <cellStyle name="Процентный 5 2 22 2 3" xfId="11428"/>
    <cellStyle name="Процентный 5 2 22 2 3 2" xfId="43472"/>
    <cellStyle name="Процентный 5 2 22 2 4" xfId="22109"/>
    <cellStyle name="Процентный 5 2 22 2 4 2" xfId="54152"/>
    <cellStyle name="Процентный 5 2 22 2 5" xfId="32792"/>
    <cellStyle name="Процентный 5 2 22 3" xfId="5621"/>
    <cellStyle name="Процентный 5 2 22 3 2" xfId="16301"/>
    <cellStyle name="Процентный 5 2 22 3 2 2" xfId="48345"/>
    <cellStyle name="Процентный 5 2 22 3 3" xfId="26982"/>
    <cellStyle name="Процентный 5 2 22 3 3 2" xfId="59025"/>
    <cellStyle name="Процентный 5 2 22 3 4" xfId="37665"/>
    <cellStyle name="Процентный 5 2 22 4" xfId="10961"/>
    <cellStyle name="Процентный 5 2 22 4 2" xfId="43005"/>
    <cellStyle name="Процентный 5 2 22 5" xfId="21642"/>
    <cellStyle name="Процентный 5 2 22 5 2" xfId="53685"/>
    <cellStyle name="Процентный 5 2 22 6" xfId="32325"/>
    <cellStyle name="Процентный 5 2 23" xfId="287"/>
    <cellStyle name="Процентный 5 2 23 2" xfId="755"/>
    <cellStyle name="Процентный 5 2 23 2 2" xfId="6098"/>
    <cellStyle name="Процентный 5 2 23 2 2 2" xfId="16778"/>
    <cellStyle name="Процентный 5 2 23 2 2 2 2" xfId="48822"/>
    <cellStyle name="Процентный 5 2 23 2 2 3" xfId="27459"/>
    <cellStyle name="Процентный 5 2 23 2 2 3 2" xfId="59502"/>
    <cellStyle name="Процентный 5 2 23 2 2 4" xfId="38142"/>
    <cellStyle name="Процентный 5 2 23 2 3" xfId="11438"/>
    <cellStyle name="Процентный 5 2 23 2 3 2" xfId="43482"/>
    <cellStyle name="Процентный 5 2 23 2 4" xfId="22119"/>
    <cellStyle name="Процентный 5 2 23 2 4 2" xfId="54162"/>
    <cellStyle name="Процентный 5 2 23 2 5" xfId="32802"/>
    <cellStyle name="Процентный 5 2 23 3" xfId="5631"/>
    <cellStyle name="Процентный 5 2 23 3 2" xfId="16311"/>
    <cellStyle name="Процентный 5 2 23 3 2 2" xfId="48355"/>
    <cellStyle name="Процентный 5 2 23 3 3" xfId="26992"/>
    <cellStyle name="Процентный 5 2 23 3 3 2" xfId="59035"/>
    <cellStyle name="Процентный 5 2 23 3 4" xfId="37675"/>
    <cellStyle name="Процентный 5 2 23 4" xfId="10971"/>
    <cellStyle name="Процентный 5 2 23 4 2" xfId="43015"/>
    <cellStyle name="Процентный 5 2 23 5" xfId="21652"/>
    <cellStyle name="Процентный 5 2 23 5 2" xfId="53695"/>
    <cellStyle name="Процентный 5 2 23 6" xfId="32335"/>
    <cellStyle name="Процентный 5 2 24" xfId="297"/>
    <cellStyle name="Процентный 5 2 24 2" xfId="765"/>
    <cellStyle name="Процентный 5 2 24 2 2" xfId="6108"/>
    <cellStyle name="Процентный 5 2 24 2 2 2" xfId="16788"/>
    <cellStyle name="Процентный 5 2 24 2 2 2 2" xfId="48832"/>
    <cellStyle name="Процентный 5 2 24 2 2 3" xfId="27469"/>
    <cellStyle name="Процентный 5 2 24 2 2 3 2" xfId="59512"/>
    <cellStyle name="Процентный 5 2 24 2 2 4" xfId="38152"/>
    <cellStyle name="Процентный 5 2 24 2 3" xfId="11448"/>
    <cellStyle name="Процентный 5 2 24 2 3 2" xfId="43492"/>
    <cellStyle name="Процентный 5 2 24 2 4" xfId="22129"/>
    <cellStyle name="Процентный 5 2 24 2 4 2" xfId="54172"/>
    <cellStyle name="Процентный 5 2 24 2 5" xfId="32812"/>
    <cellStyle name="Процентный 5 2 24 3" xfId="5641"/>
    <cellStyle name="Процентный 5 2 24 3 2" xfId="16321"/>
    <cellStyle name="Процентный 5 2 24 3 2 2" xfId="48365"/>
    <cellStyle name="Процентный 5 2 24 3 3" xfId="27002"/>
    <cellStyle name="Процентный 5 2 24 3 3 2" xfId="59045"/>
    <cellStyle name="Процентный 5 2 24 3 4" xfId="37685"/>
    <cellStyle name="Процентный 5 2 24 4" xfId="10981"/>
    <cellStyle name="Процентный 5 2 24 4 2" xfId="43025"/>
    <cellStyle name="Процентный 5 2 24 5" xfId="21662"/>
    <cellStyle name="Процентный 5 2 24 5 2" xfId="53705"/>
    <cellStyle name="Процентный 5 2 24 6" xfId="32345"/>
    <cellStyle name="Процентный 5 2 25" xfId="307"/>
    <cellStyle name="Процентный 5 2 25 2" xfId="775"/>
    <cellStyle name="Процентный 5 2 25 2 2" xfId="6118"/>
    <cellStyle name="Процентный 5 2 25 2 2 2" xfId="16798"/>
    <cellStyle name="Процентный 5 2 25 2 2 2 2" xfId="48842"/>
    <cellStyle name="Процентный 5 2 25 2 2 3" xfId="27479"/>
    <cellStyle name="Процентный 5 2 25 2 2 3 2" xfId="59522"/>
    <cellStyle name="Процентный 5 2 25 2 2 4" xfId="38162"/>
    <cellStyle name="Процентный 5 2 25 2 3" xfId="11458"/>
    <cellStyle name="Процентный 5 2 25 2 3 2" xfId="43502"/>
    <cellStyle name="Процентный 5 2 25 2 4" xfId="22139"/>
    <cellStyle name="Процентный 5 2 25 2 4 2" xfId="54182"/>
    <cellStyle name="Процентный 5 2 25 2 5" xfId="32822"/>
    <cellStyle name="Процентный 5 2 25 3" xfId="5651"/>
    <cellStyle name="Процентный 5 2 25 3 2" xfId="16331"/>
    <cellStyle name="Процентный 5 2 25 3 2 2" xfId="48375"/>
    <cellStyle name="Процентный 5 2 25 3 3" xfId="27012"/>
    <cellStyle name="Процентный 5 2 25 3 3 2" xfId="59055"/>
    <cellStyle name="Процентный 5 2 25 3 4" xfId="37695"/>
    <cellStyle name="Процентный 5 2 25 4" xfId="10991"/>
    <cellStyle name="Процентный 5 2 25 4 2" xfId="43035"/>
    <cellStyle name="Процентный 5 2 25 5" xfId="21672"/>
    <cellStyle name="Процентный 5 2 25 5 2" xfId="53715"/>
    <cellStyle name="Процентный 5 2 25 6" xfId="32355"/>
    <cellStyle name="Процентный 5 2 26" xfId="317"/>
    <cellStyle name="Процентный 5 2 26 2" xfId="785"/>
    <cellStyle name="Процентный 5 2 26 2 2" xfId="6128"/>
    <cellStyle name="Процентный 5 2 26 2 2 2" xfId="16808"/>
    <cellStyle name="Процентный 5 2 26 2 2 2 2" xfId="48852"/>
    <cellStyle name="Процентный 5 2 26 2 2 3" xfId="27489"/>
    <cellStyle name="Процентный 5 2 26 2 2 3 2" xfId="59532"/>
    <cellStyle name="Процентный 5 2 26 2 2 4" xfId="38172"/>
    <cellStyle name="Процентный 5 2 26 2 3" xfId="11468"/>
    <cellStyle name="Процентный 5 2 26 2 3 2" xfId="43512"/>
    <cellStyle name="Процентный 5 2 26 2 4" xfId="22149"/>
    <cellStyle name="Процентный 5 2 26 2 4 2" xfId="54192"/>
    <cellStyle name="Процентный 5 2 26 2 5" xfId="32832"/>
    <cellStyle name="Процентный 5 2 26 3" xfId="5661"/>
    <cellStyle name="Процентный 5 2 26 3 2" xfId="16341"/>
    <cellStyle name="Процентный 5 2 26 3 2 2" xfId="48385"/>
    <cellStyle name="Процентный 5 2 26 3 3" xfId="27022"/>
    <cellStyle name="Процентный 5 2 26 3 3 2" xfId="59065"/>
    <cellStyle name="Процентный 5 2 26 3 4" xfId="37705"/>
    <cellStyle name="Процентный 5 2 26 4" xfId="11001"/>
    <cellStyle name="Процентный 5 2 26 4 2" xfId="43045"/>
    <cellStyle name="Процентный 5 2 26 5" xfId="21682"/>
    <cellStyle name="Процентный 5 2 26 5 2" xfId="53725"/>
    <cellStyle name="Процентный 5 2 26 6" xfId="32365"/>
    <cellStyle name="Процентный 5 2 27" xfId="327"/>
    <cellStyle name="Процентный 5 2 27 2" xfId="795"/>
    <cellStyle name="Процентный 5 2 27 2 2" xfId="6138"/>
    <cellStyle name="Процентный 5 2 27 2 2 2" xfId="16818"/>
    <cellStyle name="Процентный 5 2 27 2 2 2 2" xfId="48862"/>
    <cellStyle name="Процентный 5 2 27 2 2 3" xfId="27499"/>
    <cellStyle name="Процентный 5 2 27 2 2 3 2" xfId="59542"/>
    <cellStyle name="Процентный 5 2 27 2 2 4" xfId="38182"/>
    <cellStyle name="Процентный 5 2 27 2 3" xfId="11478"/>
    <cellStyle name="Процентный 5 2 27 2 3 2" xfId="43522"/>
    <cellStyle name="Процентный 5 2 27 2 4" xfId="22159"/>
    <cellStyle name="Процентный 5 2 27 2 4 2" xfId="54202"/>
    <cellStyle name="Процентный 5 2 27 2 5" xfId="32842"/>
    <cellStyle name="Процентный 5 2 27 3" xfId="5671"/>
    <cellStyle name="Процентный 5 2 27 3 2" xfId="16351"/>
    <cellStyle name="Процентный 5 2 27 3 2 2" xfId="48395"/>
    <cellStyle name="Процентный 5 2 27 3 3" xfId="27032"/>
    <cellStyle name="Процентный 5 2 27 3 3 2" xfId="59075"/>
    <cellStyle name="Процентный 5 2 27 3 4" xfId="37715"/>
    <cellStyle name="Процентный 5 2 27 4" xfId="11011"/>
    <cellStyle name="Процентный 5 2 27 4 2" xfId="43055"/>
    <cellStyle name="Процентный 5 2 27 5" xfId="21692"/>
    <cellStyle name="Процентный 5 2 27 5 2" xfId="53735"/>
    <cellStyle name="Процентный 5 2 27 6" xfId="32375"/>
    <cellStyle name="Процентный 5 2 28" xfId="337"/>
    <cellStyle name="Процентный 5 2 28 2" xfId="805"/>
    <cellStyle name="Процентный 5 2 28 2 2" xfId="6148"/>
    <cellStyle name="Процентный 5 2 28 2 2 2" xfId="16828"/>
    <cellStyle name="Процентный 5 2 28 2 2 2 2" xfId="48872"/>
    <cellStyle name="Процентный 5 2 28 2 2 3" xfId="27509"/>
    <cellStyle name="Процентный 5 2 28 2 2 3 2" xfId="59552"/>
    <cellStyle name="Процентный 5 2 28 2 2 4" xfId="38192"/>
    <cellStyle name="Процентный 5 2 28 2 3" xfId="11488"/>
    <cellStyle name="Процентный 5 2 28 2 3 2" xfId="43532"/>
    <cellStyle name="Процентный 5 2 28 2 4" xfId="22169"/>
    <cellStyle name="Процентный 5 2 28 2 4 2" xfId="54212"/>
    <cellStyle name="Процентный 5 2 28 2 5" xfId="32852"/>
    <cellStyle name="Процентный 5 2 28 3" xfId="5681"/>
    <cellStyle name="Процентный 5 2 28 3 2" xfId="16361"/>
    <cellStyle name="Процентный 5 2 28 3 2 2" xfId="48405"/>
    <cellStyle name="Процентный 5 2 28 3 3" xfId="27042"/>
    <cellStyle name="Процентный 5 2 28 3 3 2" xfId="59085"/>
    <cellStyle name="Процентный 5 2 28 3 4" xfId="37725"/>
    <cellStyle name="Процентный 5 2 28 4" xfId="11021"/>
    <cellStyle name="Процентный 5 2 28 4 2" xfId="43065"/>
    <cellStyle name="Процентный 5 2 28 5" xfId="21702"/>
    <cellStyle name="Процентный 5 2 28 5 2" xfId="53745"/>
    <cellStyle name="Процентный 5 2 28 6" xfId="32385"/>
    <cellStyle name="Процентный 5 2 29" xfId="347"/>
    <cellStyle name="Процентный 5 2 29 2" xfId="815"/>
    <cellStyle name="Процентный 5 2 29 2 2" xfId="6158"/>
    <cellStyle name="Процентный 5 2 29 2 2 2" xfId="16838"/>
    <cellStyle name="Процентный 5 2 29 2 2 2 2" xfId="48882"/>
    <cellStyle name="Процентный 5 2 29 2 2 3" xfId="27519"/>
    <cellStyle name="Процентный 5 2 29 2 2 3 2" xfId="59562"/>
    <cellStyle name="Процентный 5 2 29 2 2 4" xfId="38202"/>
    <cellStyle name="Процентный 5 2 29 2 3" xfId="11498"/>
    <cellStyle name="Процентный 5 2 29 2 3 2" xfId="43542"/>
    <cellStyle name="Процентный 5 2 29 2 4" xfId="22179"/>
    <cellStyle name="Процентный 5 2 29 2 4 2" xfId="54222"/>
    <cellStyle name="Процентный 5 2 29 2 5" xfId="32862"/>
    <cellStyle name="Процентный 5 2 29 3" xfId="5691"/>
    <cellStyle name="Процентный 5 2 29 3 2" xfId="16371"/>
    <cellStyle name="Процентный 5 2 29 3 2 2" xfId="48415"/>
    <cellStyle name="Процентный 5 2 29 3 3" xfId="27052"/>
    <cellStyle name="Процентный 5 2 29 3 3 2" xfId="59095"/>
    <cellStyle name="Процентный 5 2 29 3 4" xfId="37735"/>
    <cellStyle name="Процентный 5 2 29 4" xfId="11031"/>
    <cellStyle name="Процентный 5 2 29 4 2" xfId="43075"/>
    <cellStyle name="Процентный 5 2 29 5" xfId="21712"/>
    <cellStyle name="Процентный 5 2 29 5 2" xfId="53755"/>
    <cellStyle name="Процентный 5 2 29 6" xfId="32395"/>
    <cellStyle name="Процентный 5 2 3" xfId="89"/>
    <cellStyle name="Процентный 5 2 3 2" xfId="557"/>
    <cellStyle name="Процентный 5 2 3 2 2" xfId="5900"/>
    <cellStyle name="Процентный 5 2 3 2 2 2" xfId="16580"/>
    <cellStyle name="Процентный 5 2 3 2 2 2 2" xfId="48624"/>
    <cellStyle name="Процентный 5 2 3 2 2 3" xfId="27261"/>
    <cellStyle name="Процентный 5 2 3 2 2 3 2" xfId="59304"/>
    <cellStyle name="Процентный 5 2 3 2 2 4" xfId="37944"/>
    <cellStyle name="Процентный 5 2 3 2 3" xfId="11240"/>
    <cellStyle name="Процентный 5 2 3 2 3 2" xfId="43284"/>
    <cellStyle name="Процентный 5 2 3 2 4" xfId="21921"/>
    <cellStyle name="Процентный 5 2 3 2 4 2" xfId="53964"/>
    <cellStyle name="Процентный 5 2 3 2 5" xfId="32604"/>
    <cellStyle name="Процентный 5 2 3 3" xfId="5433"/>
    <cellStyle name="Процентный 5 2 3 3 2" xfId="16113"/>
    <cellStyle name="Процентный 5 2 3 3 2 2" xfId="48157"/>
    <cellStyle name="Процентный 5 2 3 3 3" xfId="26794"/>
    <cellStyle name="Процентный 5 2 3 3 3 2" xfId="58837"/>
    <cellStyle name="Процентный 5 2 3 3 4" xfId="37477"/>
    <cellStyle name="Процентный 5 2 3 4" xfId="10773"/>
    <cellStyle name="Процентный 5 2 3 4 2" xfId="42817"/>
    <cellStyle name="Процентный 5 2 3 5" xfId="21454"/>
    <cellStyle name="Процентный 5 2 3 5 2" xfId="53497"/>
    <cellStyle name="Процентный 5 2 3 6" xfId="32137"/>
    <cellStyle name="Процентный 5 2 30" xfId="357"/>
    <cellStyle name="Процентный 5 2 30 2" xfId="825"/>
    <cellStyle name="Процентный 5 2 30 2 2" xfId="6168"/>
    <cellStyle name="Процентный 5 2 30 2 2 2" xfId="16848"/>
    <cellStyle name="Процентный 5 2 30 2 2 2 2" xfId="48892"/>
    <cellStyle name="Процентный 5 2 30 2 2 3" xfId="27529"/>
    <cellStyle name="Процентный 5 2 30 2 2 3 2" xfId="59572"/>
    <cellStyle name="Процентный 5 2 30 2 2 4" xfId="38212"/>
    <cellStyle name="Процентный 5 2 30 2 3" xfId="11508"/>
    <cellStyle name="Процентный 5 2 30 2 3 2" xfId="43552"/>
    <cellStyle name="Процентный 5 2 30 2 4" xfId="22189"/>
    <cellStyle name="Процентный 5 2 30 2 4 2" xfId="54232"/>
    <cellStyle name="Процентный 5 2 30 2 5" xfId="32872"/>
    <cellStyle name="Процентный 5 2 30 3" xfId="5701"/>
    <cellStyle name="Процентный 5 2 30 3 2" xfId="16381"/>
    <cellStyle name="Процентный 5 2 30 3 2 2" xfId="48425"/>
    <cellStyle name="Процентный 5 2 30 3 3" xfId="27062"/>
    <cellStyle name="Процентный 5 2 30 3 3 2" xfId="59105"/>
    <cellStyle name="Процентный 5 2 30 3 4" xfId="37745"/>
    <cellStyle name="Процентный 5 2 30 4" xfId="11041"/>
    <cellStyle name="Процентный 5 2 30 4 2" xfId="43085"/>
    <cellStyle name="Процентный 5 2 30 5" xfId="21722"/>
    <cellStyle name="Процентный 5 2 30 5 2" xfId="53765"/>
    <cellStyle name="Процентный 5 2 30 6" xfId="32405"/>
    <cellStyle name="Процентный 5 2 31" xfId="367"/>
    <cellStyle name="Процентный 5 2 31 2" xfId="835"/>
    <cellStyle name="Процентный 5 2 31 2 2" xfId="6178"/>
    <cellStyle name="Процентный 5 2 31 2 2 2" xfId="16858"/>
    <cellStyle name="Процентный 5 2 31 2 2 2 2" xfId="48902"/>
    <cellStyle name="Процентный 5 2 31 2 2 3" xfId="27539"/>
    <cellStyle name="Процентный 5 2 31 2 2 3 2" xfId="59582"/>
    <cellStyle name="Процентный 5 2 31 2 2 4" xfId="38222"/>
    <cellStyle name="Процентный 5 2 31 2 3" xfId="11518"/>
    <cellStyle name="Процентный 5 2 31 2 3 2" xfId="43562"/>
    <cellStyle name="Процентный 5 2 31 2 4" xfId="22199"/>
    <cellStyle name="Процентный 5 2 31 2 4 2" xfId="54242"/>
    <cellStyle name="Процентный 5 2 31 2 5" xfId="32882"/>
    <cellStyle name="Процентный 5 2 31 3" xfId="5711"/>
    <cellStyle name="Процентный 5 2 31 3 2" xfId="16391"/>
    <cellStyle name="Процентный 5 2 31 3 2 2" xfId="48435"/>
    <cellStyle name="Процентный 5 2 31 3 3" xfId="27072"/>
    <cellStyle name="Процентный 5 2 31 3 3 2" xfId="59115"/>
    <cellStyle name="Процентный 5 2 31 3 4" xfId="37755"/>
    <cellStyle name="Процентный 5 2 31 4" xfId="11051"/>
    <cellStyle name="Процентный 5 2 31 4 2" xfId="43095"/>
    <cellStyle name="Процентный 5 2 31 5" xfId="21732"/>
    <cellStyle name="Процентный 5 2 31 5 2" xfId="53775"/>
    <cellStyle name="Процентный 5 2 31 6" xfId="32415"/>
    <cellStyle name="Процентный 5 2 32" xfId="377"/>
    <cellStyle name="Процентный 5 2 32 2" xfId="845"/>
    <cellStyle name="Процентный 5 2 32 2 2" xfId="6188"/>
    <cellStyle name="Процентный 5 2 32 2 2 2" xfId="16868"/>
    <cellStyle name="Процентный 5 2 32 2 2 2 2" xfId="48912"/>
    <cellStyle name="Процентный 5 2 32 2 2 3" xfId="27549"/>
    <cellStyle name="Процентный 5 2 32 2 2 3 2" xfId="59592"/>
    <cellStyle name="Процентный 5 2 32 2 2 4" xfId="38232"/>
    <cellStyle name="Процентный 5 2 32 2 3" xfId="11528"/>
    <cellStyle name="Процентный 5 2 32 2 3 2" xfId="43572"/>
    <cellStyle name="Процентный 5 2 32 2 4" xfId="22209"/>
    <cellStyle name="Процентный 5 2 32 2 4 2" xfId="54252"/>
    <cellStyle name="Процентный 5 2 32 2 5" xfId="32892"/>
    <cellStyle name="Процентный 5 2 32 3" xfId="5721"/>
    <cellStyle name="Процентный 5 2 32 3 2" xfId="16401"/>
    <cellStyle name="Процентный 5 2 32 3 2 2" xfId="48445"/>
    <cellStyle name="Процентный 5 2 32 3 3" xfId="27082"/>
    <cellStyle name="Процентный 5 2 32 3 3 2" xfId="59125"/>
    <cellStyle name="Процентный 5 2 32 3 4" xfId="37765"/>
    <cellStyle name="Процентный 5 2 32 4" xfId="11061"/>
    <cellStyle name="Процентный 5 2 32 4 2" xfId="43105"/>
    <cellStyle name="Процентный 5 2 32 5" xfId="21742"/>
    <cellStyle name="Процентный 5 2 32 5 2" xfId="53785"/>
    <cellStyle name="Процентный 5 2 32 6" xfId="32425"/>
    <cellStyle name="Процентный 5 2 33" xfId="387"/>
    <cellStyle name="Процентный 5 2 33 2" xfId="855"/>
    <cellStyle name="Процентный 5 2 33 2 2" xfId="6198"/>
    <cellStyle name="Процентный 5 2 33 2 2 2" xfId="16878"/>
    <cellStyle name="Процентный 5 2 33 2 2 2 2" xfId="48922"/>
    <cellStyle name="Процентный 5 2 33 2 2 3" xfId="27559"/>
    <cellStyle name="Процентный 5 2 33 2 2 3 2" xfId="59602"/>
    <cellStyle name="Процентный 5 2 33 2 2 4" xfId="38242"/>
    <cellStyle name="Процентный 5 2 33 2 3" xfId="11538"/>
    <cellStyle name="Процентный 5 2 33 2 3 2" xfId="43582"/>
    <cellStyle name="Процентный 5 2 33 2 4" xfId="22219"/>
    <cellStyle name="Процентный 5 2 33 2 4 2" xfId="54262"/>
    <cellStyle name="Процентный 5 2 33 2 5" xfId="32902"/>
    <cellStyle name="Процентный 5 2 33 3" xfId="5731"/>
    <cellStyle name="Процентный 5 2 33 3 2" xfId="16411"/>
    <cellStyle name="Процентный 5 2 33 3 2 2" xfId="48455"/>
    <cellStyle name="Процентный 5 2 33 3 3" xfId="27092"/>
    <cellStyle name="Процентный 5 2 33 3 3 2" xfId="59135"/>
    <cellStyle name="Процентный 5 2 33 3 4" xfId="37775"/>
    <cellStyle name="Процентный 5 2 33 4" xfId="11071"/>
    <cellStyle name="Процентный 5 2 33 4 2" xfId="43115"/>
    <cellStyle name="Процентный 5 2 33 5" xfId="21752"/>
    <cellStyle name="Процентный 5 2 33 5 2" xfId="53795"/>
    <cellStyle name="Процентный 5 2 33 6" xfId="32435"/>
    <cellStyle name="Процентный 5 2 34" xfId="397"/>
    <cellStyle name="Процентный 5 2 34 2" xfId="865"/>
    <cellStyle name="Процентный 5 2 34 2 2" xfId="6208"/>
    <cellStyle name="Процентный 5 2 34 2 2 2" xfId="16888"/>
    <cellStyle name="Процентный 5 2 34 2 2 2 2" xfId="48932"/>
    <cellStyle name="Процентный 5 2 34 2 2 3" xfId="27569"/>
    <cellStyle name="Процентный 5 2 34 2 2 3 2" xfId="59612"/>
    <cellStyle name="Процентный 5 2 34 2 2 4" xfId="38252"/>
    <cellStyle name="Процентный 5 2 34 2 3" xfId="11548"/>
    <cellStyle name="Процентный 5 2 34 2 3 2" xfId="43592"/>
    <cellStyle name="Процентный 5 2 34 2 4" xfId="22229"/>
    <cellStyle name="Процентный 5 2 34 2 4 2" xfId="54272"/>
    <cellStyle name="Процентный 5 2 34 2 5" xfId="32912"/>
    <cellStyle name="Процентный 5 2 34 3" xfId="5741"/>
    <cellStyle name="Процентный 5 2 34 3 2" xfId="16421"/>
    <cellStyle name="Процентный 5 2 34 3 2 2" xfId="48465"/>
    <cellStyle name="Процентный 5 2 34 3 3" xfId="27102"/>
    <cellStyle name="Процентный 5 2 34 3 3 2" xfId="59145"/>
    <cellStyle name="Процентный 5 2 34 3 4" xfId="37785"/>
    <cellStyle name="Процентный 5 2 34 4" xfId="11081"/>
    <cellStyle name="Процентный 5 2 34 4 2" xfId="43125"/>
    <cellStyle name="Процентный 5 2 34 5" xfId="21762"/>
    <cellStyle name="Процентный 5 2 34 5 2" xfId="53805"/>
    <cellStyle name="Процентный 5 2 34 6" xfId="32445"/>
    <cellStyle name="Процентный 5 2 35" xfId="409"/>
    <cellStyle name="Процентный 5 2 35 2" xfId="877"/>
    <cellStyle name="Процентный 5 2 35 2 2" xfId="6220"/>
    <cellStyle name="Процентный 5 2 35 2 2 2" xfId="16900"/>
    <cellStyle name="Процентный 5 2 35 2 2 2 2" xfId="48944"/>
    <cellStyle name="Процентный 5 2 35 2 2 3" xfId="27581"/>
    <cellStyle name="Процентный 5 2 35 2 2 3 2" xfId="59624"/>
    <cellStyle name="Процентный 5 2 35 2 2 4" xfId="38264"/>
    <cellStyle name="Процентный 5 2 35 2 3" xfId="11560"/>
    <cellStyle name="Процентный 5 2 35 2 3 2" xfId="43604"/>
    <cellStyle name="Процентный 5 2 35 2 4" xfId="22241"/>
    <cellStyle name="Процентный 5 2 35 2 4 2" xfId="54284"/>
    <cellStyle name="Процентный 5 2 35 2 5" xfId="32924"/>
    <cellStyle name="Процентный 5 2 35 3" xfId="5753"/>
    <cellStyle name="Процентный 5 2 35 3 2" xfId="16433"/>
    <cellStyle name="Процентный 5 2 35 3 2 2" xfId="48477"/>
    <cellStyle name="Процентный 5 2 35 3 3" xfId="27114"/>
    <cellStyle name="Процентный 5 2 35 3 3 2" xfId="59157"/>
    <cellStyle name="Процентный 5 2 35 3 4" xfId="37797"/>
    <cellStyle name="Процентный 5 2 35 4" xfId="11093"/>
    <cellStyle name="Процентный 5 2 35 4 2" xfId="43137"/>
    <cellStyle name="Процентный 5 2 35 5" xfId="21774"/>
    <cellStyle name="Процентный 5 2 35 5 2" xfId="53817"/>
    <cellStyle name="Процентный 5 2 35 6" xfId="32457"/>
    <cellStyle name="Процентный 5 2 36" xfId="421"/>
    <cellStyle name="Процентный 5 2 36 2" xfId="889"/>
    <cellStyle name="Процентный 5 2 36 2 2" xfId="6232"/>
    <cellStyle name="Процентный 5 2 36 2 2 2" xfId="16912"/>
    <cellStyle name="Процентный 5 2 36 2 2 2 2" xfId="48956"/>
    <cellStyle name="Процентный 5 2 36 2 2 3" xfId="27593"/>
    <cellStyle name="Процентный 5 2 36 2 2 3 2" xfId="59636"/>
    <cellStyle name="Процентный 5 2 36 2 2 4" xfId="38276"/>
    <cellStyle name="Процентный 5 2 36 2 3" xfId="11572"/>
    <cellStyle name="Процентный 5 2 36 2 3 2" xfId="43616"/>
    <cellStyle name="Процентный 5 2 36 2 4" xfId="22253"/>
    <cellStyle name="Процентный 5 2 36 2 4 2" xfId="54296"/>
    <cellStyle name="Процентный 5 2 36 2 5" xfId="32936"/>
    <cellStyle name="Процентный 5 2 36 3" xfId="5765"/>
    <cellStyle name="Процентный 5 2 36 3 2" xfId="16445"/>
    <cellStyle name="Процентный 5 2 36 3 2 2" xfId="48489"/>
    <cellStyle name="Процентный 5 2 36 3 3" xfId="27126"/>
    <cellStyle name="Процентный 5 2 36 3 3 2" xfId="59169"/>
    <cellStyle name="Процентный 5 2 36 3 4" xfId="37809"/>
    <cellStyle name="Процентный 5 2 36 4" xfId="11105"/>
    <cellStyle name="Процентный 5 2 36 4 2" xfId="43149"/>
    <cellStyle name="Процентный 5 2 36 5" xfId="21786"/>
    <cellStyle name="Процентный 5 2 36 5 2" xfId="53829"/>
    <cellStyle name="Процентный 5 2 36 6" xfId="32469"/>
    <cellStyle name="Процентный 5 2 37" xfId="433"/>
    <cellStyle name="Процентный 5 2 37 2" xfId="901"/>
    <cellStyle name="Процентный 5 2 37 2 2" xfId="6244"/>
    <cellStyle name="Процентный 5 2 37 2 2 2" xfId="16924"/>
    <cellStyle name="Процентный 5 2 37 2 2 2 2" xfId="48968"/>
    <cellStyle name="Процентный 5 2 37 2 2 3" xfId="27605"/>
    <cellStyle name="Процентный 5 2 37 2 2 3 2" xfId="59648"/>
    <cellStyle name="Процентный 5 2 37 2 2 4" xfId="38288"/>
    <cellStyle name="Процентный 5 2 37 2 3" xfId="11584"/>
    <cellStyle name="Процентный 5 2 37 2 3 2" xfId="43628"/>
    <cellStyle name="Процентный 5 2 37 2 4" xfId="22265"/>
    <cellStyle name="Процентный 5 2 37 2 4 2" xfId="54308"/>
    <cellStyle name="Процентный 5 2 37 2 5" xfId="32948"/>
    <cellStyle name="Процентный 5 2 37 3" xfId="5777"/>
    <cellStyle name="Процентный 5 2 37 3 2" xfId="16457"/>
    <cellStyle name="Процентный 5 2 37 3 2 2" xfId="48501"/>
    <cellStyle name="Процентный 5 2 37 3 3" xfId="27138"/>
    <cellStyle name="Процентный 5 2 37 3 3 2" xfId="59181"/>
    <cellStyle name="Процентный 5 2 37 3 4" xfId="37821"/>
    <cellStyle name="Процентный 5 2 37 4" xfId="11117"/>
    <cellStyle name="Процентный 5 2 37 4 2" xfId="43161"/>
    <cellStyle name="Процентный 5 2 37 5" xfId="21798"/>
    <cellStyle name="Процентный 5 2 37 5 2" xfId="53841"/>
    <cellStyle name="Процентный 5 2 37 6" xfId="32481"/>
    <cellStyle name="Процентный 5 2 38" xfId="445"/>
    <cellStyle name="Процентный 5 2 38 2" xfId="913"/>
    <cellStyle name="Процентный 5 2 38 2 2" xfId="6256"/>
    <cellStyle name="Процентный 5 2 38 2 2 2" xfId="16936"/>
    <cellStyle name="Процентный 5 2 38 2 2 2 2" xfId="48980"/>
    <cellStyle name="Процентный 5 2 38 2 2 3" xfId="27617"/>
    <cellStyle name="Процентный 5 2 38 2 2 3 2" xfId="59660"/>
    <cellStyle name="Процентный 5 2 38 2 2 4" xfId="38300"/>
    <cellStyle name="Процентный 5 2 38 2 3" xfId="11596"/>
    <cellStyle name="Процентный 5 2 38 2 3 2" xfId="43640"/>
    <cellStyle name="Процентный 5 2 38 2 4" xfId="22277"/>
    <cellStyle name="Процентный 5 2 38 2 4 2" xfId="54320"/>
    <cellStyle name="Процентный 5 2 38 2 5" xfId="32960"/>
    <cellStyle name="Процентный 5 2 38 3" xfId="5789"/>
    <cellStyle name="Процентный 5 2 38 3 2" xfId="16469"/>
    <cellStyle name="Процентный 5 2 38 3 2 2" xfId="48513"/>
    <cellStyle name="Процентный 5 2 38 3 3" xfId="27150"/>
    <cellStyle name="Процентный 5 2 38 3 3 2" xfId="59193"/>
    <cellStyle name="Процентный 5 2 38 3 4" xfId="37833"/>
    <cellStyle name="Процентный 5 2 38 4" xfId="11129"/>
    <cellStyle name="Процентный 5 2 38 4 2" xfId="43173"/>
    <cellStyle name="Процентный 5 2 38 5" xfId="21810"/>
    <cellStyle name="Процентный 5 2 38 5 2" xfId="53853"/>
    <cellStyle name="Процентный 5 2 38 6" xfId="32493"/>
    <cellStyle name="Процентный 5 2 39" xfId="457"/>
    <cellStyle name="Процентный 5 2 39 2" xfId="925"/>
    <cellStyle name="Процентный 5 2 39 2 2" xfId="6268"/>
    <cellStyle name="Процентный 5 2 39 2 2 2" xfId="16948"/>
    <cellStyle name="Процентный 5 2 39 2 2 2 2" xfId="48992"/>
    <cellStyle name="Процентный 5 2 39 2 2 3" xfId="27629"/>
    <cellStyle name="Процентный 5 2 39 2 2 3 2" xfId="59672"/>
    <cellStyle name="Процентный 5 2 39 2 2 4" xfId="38312"/>
    <cellStyle name="Процентный 5 2 39 2 3" xfId="11608"/>
    <cellStyle name="Процентный 5 2 39 2 3 2" xfId="43652"/>
    <cellStyle name="Процентный 5 2 39 2 4" xfId="22289"/>
    <cellStyle name="Процентный 5 2 39 2 4 2" xfId="54332"/>
    <cellStyle name="Процентный 5 2 39 2 5" xfId="32972"/>
    <cellStyle name="Процентный 5 2 39 3" xfId="5801"/>
    <cellStyle name="Процентный 5 2 39 3 2" xfId="16481"/>
    <cellStyle name="Процентный 5 2 39 3 2 2" xfId="48525"/>
    <cellStyle name="Процентный 5 2 39 3 3" xfId="27162"/>
    <cellStyle name="Процентный 5 2 39 3 3 2" xfId="59205"/>
    <cellStyle name="Процентный 5 2 39 3 4" xfId="37845"/>
    <cellStyle name="Процентный 5 2 39 4" xfId="11141"/>
    <cellStyle name="Процентный 5 2 39 4 2" xfId="43185"/>
    <cellStyle name="Процентный 5 2 39 5" xfId="21822"/>
    <cellStyle name="Процентный 5 2 39 5 2" xfId="53865"/>
    <cellStyle name="Процентный 5 2 39 6" xfId="32505"/>
    <cellStyle name="Процентный 5 2 4" xfId="97"/>
    <cellStyle name="Процентный 5 2 4 2" xfId="565"/>
    <cellStyle name="Процентный 5 2 4 2 2" xfId="5908"/>
    <cellStyle name="Процентный 5 2 4 2 2 2" xfId="16588"/>
    <cellStyle name="Процентный 5 2 4 2 2 2 2" xfId="48632"/>
    <cellStyle name="Процентный 5 2 4 2 2 3" xfId="27269"/>
    <cellStyle name="Процентный 5 2 4 2 2 3 2" xfId="59312"/>
    <cellStyle name="Процентный 5 2 4 2 2 4" xfId="37952"/>
    <cellStyle name="Процентный 5 2 4 2 3" xfId="11248"/>
    <cellStyle name="Процентный 5 2 4 2 3 2" xfId="43292"/>
    <cellStyle name="Процентный 5 2 4 2 4" xfId="21929"/>
    <cellStyle name="Процентный 5 2 4 2 4 2" xfId="53972"/>
    <cellStyle name="Процентный 5 2 4 2 5" xfId="32612"/>
    <cellStyle name="Процентный 5 2 4 3" xfId="5441"/>
    <cellStyle name="Процентный 5 2 4 3 2" xfId="16121"/>
    <cellStyle name="Процентный 5 2 4 3 2 2" xfId="48165"/>
    <cellStyle name="Процентный 5 2 4 3 3" xfId="26802"/>
    <cellStyle name="Процентный 5 2 4 3 3 2" xfId="58845"/>
    <cellStyle name="Процентный 5 2 4 3 4" xfId="37485"/>
    <cellStyle name="Процентный 5 2 4 4" xfId="10781"/>
    <cellStyle name="Процентный 5 2 4 4 2" xfId="42825"/>
    <cellStyle name="Процентный 5 2 4 5" xfId="21462"/>
    <cellStyle name="Процентный 5 2 4 5 2" xfId="53505"/>
    <cellStyle name="Процентный 5 2 4 6" xfId="32145"/>
    <cellStyle name="Процентный 5 2 40" xfId="469"/>
    <cellStyle name="Процентный 5 2 40 2" xfId="937"/>
    <cellStyle name="Процентный 5 2 40 2 2" xfId="6280"/>
    <cellStyle name="Процентный 5 2 40 2 2 2" xfId="16960"/>
    <cellStyle name="Процентный 5 2 40 2 2 2 2" xfId="49004"/>
    <cellStyle name="Процентный 5 2 40 2 2 3" xfId="27641"/>
    <cellStyle name="Процентный 5 2 40 2 2 3 2" xfId="59684"/>
    <cellStyle name="Процентный 5 2 40 2 2 4" xfId="38324"/>
    <cellStyle name="Процентный 5 2 40 2 3" xfId="11620"/>
    <cellStyle name="Процентный 5 2 40 2 3 2" xfId="43664"/>
    <cellStyle name="Процентный 5 2 40 2 4" xfId="22301"/>
    <cellStyle name="Процентный 5 2 40 2 4 2" xfId="54344"/>
    <cellStyle name="Процентный 5 2 40 2 5" xfId="32984"/>
    <cellStyle name="Процентный 5 2 40 3" xfId="5813"/>
    <cellStyle name="Процентный 5 2 40 3 2" xfId="16493"/>
    <cellStyle name="Процентный 5 2 40 3 2 2" xfId="48537"/>
    <cellStyle name="Процентный 5 2 40 3 3" xfId="27174"/>
    <cellStyle name="Процентный 5 2 40 3 3 2" xfId="59217"/>
    <cellStyle name="Процентный 5 2 40 3 4" xfId="37857"/>
    <cellStyle name="Процентный 5 2 40 4" xfId="11153"/>
    <cellStyle name="Процентный 5 2 40 4 2" xfId="43197"/>
    <cellStyle name="Процентный 5 2 40 5" xfId="21834"/>
    <cellStyle name="Процентный 5 2 40 5 2" xfId="53877"/>
    <cellStyle name="Процентный 5 2 40 6" xfId="32517"/>
    <cellStyle name="Процентный 5 2 41" xfId="481"/>
    <cellStyle name="Процентный 5 2 41 2" xfId="949"/>
    <cellStyle name="Процентный 5 2 41 2 2" xfId="6292"/>
    <cellStyle name="Процентный 5 2 41 2 2 2" xfId="16972"/>
    <cellStyle name="Процентный 5 2 41 2 2 2 2" xfId="49016"/>
    <cellStyle name="Процентный 5 2 41 2 2 3" xfId="27653"/>
    <cellStyle name="Процентный 5 2 41 2 2 3 2" xfId="59696"/>
    <cellStyle name="Процентный 5 2 41 2 2 4" xfId="38336"/>
    <cellStyle name="Процентный 5 2 41 2 3" xfId="11632"/>
    <cellStyle name="Процентный 5 2 41 2 3 2" xfId="43676"/>
    <cellStyle name="Процентный 5 2 41 2 4" xfId="22313"/>
    <cellStyle name="Процентный 5 2 41 2 4 2" xfId="54356"/>
    <cellStyle name="Процентный 5 2 41 2 5" xfId="32996"/>
    <cellStyle name="Процентный 5 2 41 3" xfId="5825"/>
    <cellStyle name="Процентный 5 2 41 3 2" xfId="16505"/>
    <cellStyle name="Процентный 5 2 41 3 2 2" xfId="48549"/>
    <cellStyle name="Процентный 5 2 41 3 3" xfId="27186"/>
    <cellStyle name="Процентный 5 2 41 3 3 2" xfId="59229"/>
    <cellStyle name="Процентный 5 2 41 3 4" xfId="37869"/>
    <cellStyle name="Процентный 5 2 41 4" xfId="11165"/>
    <cellStyle name="Процентный 5 2 41 4 2" xfId="43209"/>
    <cellStyle name="Процентный 5 2 41 5" xfId="21846"/>
    <cellStyle name="Процентный 5 2 41 5 2" xfId="53889"/>
    <cellStyle name="Процентный 5 2 41 6" xfId="32529"/>
    <cellStyle name="Процентный 5 2 42" xfId="493"/>
    <cellStyle name="Процентный 5 2 42 2" xfId="961"/>
    <cellStyle name="Процентный 5 2 42 2 2" xfId="6304"/>
    <cellStyle name="Процентный 5 2 42 2 2 2" xfId="16984"/>
    <cellStyle name="Процентный 5 2 42 2 2 2 2" xfId="49028"/>
    <cellStyle name="Процентный 5 2 42 2 2 3" xfId="27665"/>
    <cellStyle name="Процентный 5 2 42 2 2 3 2" xfId="59708"/>
    <cellStyle name="Процентный 5 2 42 2 2 4" xfId="38348"/>
    <cellStyle name="Процентный 5 2 42 2 3" xfId="11644"/>
    <cellStyle name="Процентный 5 2 42 2 3 2" xfId="43688"/>
    <cellStyle name="Процентный 5 2 42 2 4" xfId="22325"/>
    <cellStyle name="Процентный 5 2 42 2 4 2" xfId="54368"/>
    <cellStyle name="Процентный 5 2 42 2 5" xfId="33008"/>
    <cellStyle name="Процентный 5 2 42 3" xfId="5837"/>
    <cellStyle name="Процентный 5 2 42 3 2" xfId="16517"/>
    <cellStyle name="Процентный 5 2 42 3 2 2" xfId="48561"/>
    <cellStyle name="Процентный 5 2 42 3 3" xfId="27198"/>
    <cellStyle name="Процентный 5 2 42 3 3 2" xfId="59241"/>
    <cellStyle name="Процентный 5 2 42 3 4" xfId="37881"/>
    <cellStyle name="Процентный 5 2 42 4" xfId="11177"/>
    <cellStyle name="Процентный 5 2 42 4 2" xfId="43221"/>
    <cellStyle name="Процентный 5 2 42 5" xfId="21858"/>
    <cellStyle name="Процентный 5 2 42 5 2" xfId="53901"/>
    <cellStyle name="Процентный 5 2 42 6" xfId="32541"/>
    <cellStyle name="Процентный 5 2 43" xfId="521"/>
    <cellStyle name="Процентный 5 2 43 2" xfId="5864"/>
    <cellStyle name="Процентный 5 2 43 2 2" xfId="16544"/>
    <cellStyle name="Процентный 5 2 43 2 2 2" xfId="48588"/>
    <cellStyle name="Процентный 5 2 43 2 3" xfId="27225"/>
    <cellStyle name="Процентный 5 2 43 2 3 2" xfId="59268"/>
    <cellStyle name="Процентный 5 2 43 2 4" xfId="37908"/>
    <cellStyle name="Процентный 5 2 43 3" xfId="11204"/>
    <cellStyle name="Процентный 5 2 43 3 2" xfId="43248"/>
    <cellStyle name="Процентный 5 2 43 4" xfId="21885"/>
    <cellStyle name="Процентный 5 2 43 4 2" xfId="53928"/>
    <cellStyle name="Процентный 5 2 43 5" xfId="32568"/>
    <cellStyle name="Процентный 5 2 44" xfId="973"/>
    <cellStyle name="Процентный 5 2 44 2" xfId="6316"/>
    <cellStyle name="Процентный 5 2 44 2 2" xfId="16996"/>
    <cellStyle name="Процентный 5 2 44 2 2 2" xfId="49040"/>
    <cellStyle name="Процентный 5 2 44 2 3" xfId="27677"/>
    <cellStyle name="Процентный 5 2 44 2 3 2" xfId="59720"/>
    <cellStyle name="Процентный 5 2 44 2 4" xfId="38360"/>
    <cellStyle name="Процентный 5 2 44 3" xfId="11656"/>
    <cellStyle name="Процентный 5 2 44 3 2" xfId="43700"/>
    <cellStyle name="Процентный 5 2 44 4" xfId="22337"/>
    <cellStyle name="Процентный 5 2 44 4 2" xfId="54380"/>
    <cellStyle name="Процентный 5 2 44 5" xfId="33020"/>
    <cellStyle name="Процентный 5 2 45" xfId="997"/>
    <cellStyle name="Процентный 5 2 45 2" xfId="6340"/>
    <cellStyle name="Процентный 5 2 45 2 2" xfId="17020"/>
    <cellStyle name="Процентный 5 2 45 2 2 2" xfId="49064"/>
    <cellStyle name="Процентный 5 2 45 2 3" xfId="27701"/>
    <cellStyle name="Процентный 5 2 45 2 3 2" xfId="59744"/>
    <cellStyle name="Процентный 5 2 45 2 4" xfId="38384"/>
    <cellStyle name="Процентный 5 2 45 3" xfId="11680"/>
    <cellStyle name="Процентный 5 2 45 3 2" xfId="43724"/>
    <cellStyle name="Процентный 5 2 45 4" xfId="22361"/>
    <cellStyle name="Процентный 5 2 45 4 2" xfId="54404"/>
    <cellStyle name="Процентный 5 2 45 5" xfId="33044"/>
    <cellStyle name="Процентный 5 2 46" xfId="1021"/>
    <cellStyle name="Процентный 5 2 46 2" xfId="6364"/>
    <cellStyle name="Процентный 5 2 46 2 2" xfId="17044"/>
    <cellStyle name="Процентный 5 2 46 2 2 2" xfId="49088"/>
    <cellStyle name="Процентный 5 2 46 2 3" xfId="27725"/>
    <cellStyle name="Процентный 5 2 46 2 3 2" xfId="59768"/>
    <cellStyle name="Процентный 5 2 46 2 4" xfId="38408"/>
    <cellStyle name="Процентный 5 2 46 3" xfId="11704"/>
    <cellStyle name="Процентный 5 2 46 3 2" xfId="43748"/>
    <cellStyle name="Процентный 5 2 46 4" xfId="22385"/>
    <cellStyle name="Процентный 5 2 46 4 2" xfId="54428"/>
    <cellStyle name="Процентный 5 2 46 5" xfId="33068"/>
    <cellStyle name="Процентный 5 2 47" xfId="1047"/>
    <cellStyle name="Процентный 5 2 47 2" xfId="6390"/>
    <cellStyle name="Процентный 5 2 47 2 2" xfId="17070"/>
    <cellStyle name="Процентный 5 2 47 2 2 2" xfId="49114"/>
    <cellStyle name="Процентный 5 2 47 2 3" xfId="27751"/>
    <cellStyle name="Процентный 5 2 47 2 3 2" xfId="59794"/>
    <cellStyle name="Процентный 5 2 47 2 4" xfId="38434"/>
    <cellStyle name="Процентный 5 2 47 3" xfId="11730"/>
    <cellStyle name="Процентный 5 2 47 3 2" xfId="43774"/>
    <cellStyle name="Процентный 5 2 47 4" xfId="22411"/>
    <cellStyle name="Процентный 5 2 47 4 2" xfId="54454"/>
    <cellStyle name="Процентный 5 2 47 5" xfId="33094"/>
    <cellStyle name="Процентный 5 2 48" xfId="1073"/>
    <cellStyle name="Процентный 5 2 48 2" xfId="6416"/>
    <cellStyle name="Процентный 5 2 48 2 2" xfId="17096"/>
    <cellStyle name="Процентный 5 2 48 2 2 2" xfId="49140"/>
    <cellStyle name="Процентный 5 2 48 2 3" xfId="27777"/>
    <cellStyle name="Процентный 5 2 48 2 3 2" xfId="59820"/>
    <cellStyle name="Процентный 5 2 48 2 4" xfId="38460"/>
    <cellStyle name="Процентный 5 2 48 3" xfId="11756"/>
    <cellStyle name="Процентный 5 2 48 3 2" xfId="43800"/>
    <cellStyle name="Процентный 5 2 48 4" xfId="22437"/>
    <cellStyle name="Процентный 5 2 48 4 2" xfId="54480"/>
    <cellStyle name="Процентный 5 2 48 5" xfId="33120"/>
    <cellStyle name="Процентный 5 2 49" xfId="1099"/>
    <cellStyle name="Процентный 5 2 49 2" xfId="6442"/>
    <cellStyle name="Процентный 5 2 49 2 2" xfId="17122"/>
    <cellStyle name="Процентный 5 2 49 2 2 2" xfId="49166"/>
    <cellStyle name="Процентный 5 2 49 2 3" xfId="27803"/>
    <cellStyle name="Процентный 5 2 49 2 3 2" xfId="59846"/>
    <cellStyle name="Процентный 5 2 49 2 4" xfId="38486"/>
    <cellStyle name="Процентный 5 2 49 3" xfId="11782"/>
    <cellStyle name="Процентный 5 2 49 3 2" xfId="43826"/>
    <cellStyle name="Процентный 5 2 49 4" xfId="22463"/>
    <cellStyle name="Процентный 5 2 49 4 2" xfId="54506"/>
    <cellStyle name="Процентный 5 2 49 5" xfId="33146"/>
    <cellStyle name="Процентный 5 2 5" xfId="107"/>
    <cellStyle name="Процентный 5 2 5 2" xfId="575"/>
    <cellStyle name="Процентный 5 2 5 2 2" xfId="5918"/>
    <cellStyle name="Процентный 5 2 5 2 2 2" xfId="16598"/>
    <cellStyle name="Процентный 5 2 5 2 2 2 2" xfId="48642"/>
    <cellStyle name="Процентный 5 2 5 2 2 3" xfId="27279"/>
    <cellStyle name="Процентный 5 2 5 2 2 3 2" xfId="59322"/>
    <cellStyle name="Процентный 5 2 5 2 2 4" xfId="37962"/>
    <cellStyle name="Процентный 5 2 5 2 3" xfId="11258"/>
    <cellStyle name="Процентный 5 2 5 2 3 2" xfId="43302"/>
    <cellStyle name="Процентный 5 2 5 2 4" xfId="21939"/>
    <cellStyle name="Процентный 5 2 5 2 4 2" xfId="53982"/>
    <cellStyle name="Процентный 5 2 5 2 5" xfId="32622"/>
    <cellStyle name="Процентный 5 2 5 3" xfId="5451"/>
    <cellStyle name="Процентный 5 2 5 3 2" xfId="16131"/>
    <cellStyle name="Процентный 5 2 5 3 2 2" xfId="48175"/>
    <cellStyle name="Процентный 5 2 5 3 3" xfId="26812"/>
    <cellStyle name="Процентный 5 2 5 3 3 2" xfId="58855"/>
    <cellStyle name="Процентный 5 2 5 3 4" xfId="37495"/>
    <cellStyle name="Процентный 5 2 5 4" xfId="10791"/>
    <cellStyle name="Процентный 5 2 5 4 2" xfId="42835"/>
    <cellStyle name="Процентный 5 2 5 5" xfId="21472"/>
    <cellStyle name="Процентный 5 2 5 5 2" xfId="53515"/>
    <cellStyle name="Процентный 5 2 5 6" xfId="32155"/>
    <cellStyle name="Процентный 5 2 50" xfId="1125"/>
    <cellStyle name="Процентный 5 2 50 2" xfId="6468"/>
    <cellStyle name="Процентный 5 2 50 2 2" xfId="17148"/>
    <cellStyle name="Процентный 5 2 50 2 2 2" xfId="49192"/>
    <cellStyle name="Процентный 5 2 50 2 3" xfId="27829"/>
    <cellStyle name="Процентный 5 2 50 2 3 2" xfId="59872"/>
    <cellStyle name="Процентный 5 2 50 2 4" xfId="38512"/>
    <cellStyle name="Процентный 5 2 50 3" xfId="11808"/>
    <cellStyle name="Процентный 5 2 50 3 2" xfId="43852"/>
    <cellStyle name="Процентный 5 2 50 4" xfId="22489"/>
    <cellStyle name="Процентный 5 2 50 4 2" xfId="54532"/>
    <cellStyle name="Процентный 5 2 50 5" xfId="33172"/>
    <cellStyle name="Процентный 5 2 51" xfId="1151"/>
    <cellStyle name="Процентный 5 2 51 2" xfId="6494"/>
    <cellStyle name="Процентный 5 2 51 2 2" xfId="17174"/>
    <cellStyle name="Процентный 5 2 51 2 2 2" xfId="49218"/>
    <cellStyle name="Процентный 5 2 51 2 3" xfId="27855"/>
    <cellStyle name="Процентный 5 2 51 2 3 2" xfId="59898"/>
    <cellStyle name="Процентный 5 2 51 2 4" xfId="38538"/>
    <cellStyle name="Процентный 5 2 51 3" xfId="11834"/>
    <cellStyle name="Процентный 5 2 51 3 2" xfId="43878"/>
    <cellStyle name="Процентный 5 2 51 4" xfId="22515"/>
    <cellStyle name="Процентный 5 2 51 4 2" xfId="54558"/>
    <cellStyle name="Процентный 5 2 51 5" xfId="33198"/>
    <cellStyle name="Процентный 5 2 52" xfId="1177"/>
    <cellStyle name="Процентный 5 2 52 2" xfId="6520"/>
    <cellStyle name="Процентный 5 2 52 2 2" xfId="17200"/>
    <cellStyle name="Процентный 5 2 52 2 2 2" xfId="49244"/>
    <cellStyle name="Процентный 5 2 52 2 3" xfId="27881"/>
    <cellStyle name="Процентный 5 2 52 2 3 2" xfId="59924"/>
    <cellStyle name="Процентный 5 2 52 2 4" xfId="38564"/>
    <cellStyle name="Процентный 5 2 52 3" xfId="11860"/>
    <cellStyle name="Процентный 5 2 52 3 2" xfId="43904"/>
    <cellStyle name="Процентный 5 2 52 4" xfId="22541"/>
    <cellStyle name="Процентный 5 2 52 4 2" xfId="54584"/>
    <cellStyle name="Процентный 5 2 52 5" xfId="33224"/>
    <cellStyle name="Процентный 5 2 53" xfId="1203"/>
    <cellStyle name="Процентный 5 2 53 2" xfId="6546"/>
    <cellStyle name="Процентный 5 2 53 2 2" xfId="17226"/>
    <cellStyle name="Процентный 5 2 53 2 2 2" xfId="49270"/>
    <cellStyle name="Процентный 5 2 53 2 3" xfId="27907"/>
    <cellStyle name="Процентный 5 2 53 2 3 2" xfId="59950"/>
    <cellStyle name="Процентный 5 2 53 2 4" xfId="38590"/>
    <cellStyle name="Процентный 5 2 53 3" xfId="11886"/>
    <cellStyle name="Процентный 5 2 53 3 2" xfId="43930"/>
    <cellStyle name="Процентный 5 2 53 4" xfId="22567"/>
    <cellStyle name="Процентный 5 2 53 4 2" xfId="54610"/>
    <cellStyle name="Процентный 5 2 53 5" xfId="33250"/>
    <cellStyle name="Процентный 5 2 54" xfId="1229"/>
    <cellStyle name="Процентный 5 2 54 2" xfId="6572"/>
    <cellStyle name="Процентный 5 2 54 2 2" xfId="17252"/>
    <cellStyle name="Процентный 5 2 54 2 2 2" xfId="49296"/>
    <cellStyle name="Процентный 5 2 54 2 3" xfId="27933"/>
    <cellStyle name="Процентный 5 2 54 2 3 2" xfId="59976"/>
    <cellStyle name="Процентный 5 2 54 2 4" xfId="38616"/>
    <cellStyle name="Процентный 5 2 54 3" xfId="11912"/>
    <cellStyle name="Процентный 5 2 54 3 2" xfId="43956"/>
    <cellStyle name="Процентный 5 2 54 4" xfId="22593"/>
    <cellStyle name="Процентный 5 2 54 4 2" xfId="54636"/>
    <cellStyle name="Процентный 5 2 54 5" xfId="33276"/>
    <cellStyle name="Процентный 5 2 55" xfId="1255"/>
    <cellStyle name="Процентный 5 2 55 2" xfId="6598"/>
    <cellStyle name="Процентный 5 2 55 2 2" xfId="17278"/>
    <cellStyle name="Процентный 5 2 55 2 2 2" xfId="49322"/>
    <cellStyle name="Процентный 5 2 55 2 3" xfId="27959"/>
    <cellStyle name="Процентный 5 2 55 2 3 2" xfId="60002"/>
    <cellStyle name="Процентный 5 2 55 2 4" xfId="38642"/>
    <cellStyle name="Процентный 5 2 55 3" xfId="11938"/>
    <cellStyle name="Процентный 5 2 55 3 2" xfId="43982"/>
    <cellStyle name="Процентный 5 2 55 4" xfId="22619"/>
    <cellStyle name="Процентный 5 2 55 4 2" xfId="54662"/>
    <cellStyle name="Процентный 5 2 55 5" xfId="33302"/>
    <cellStyle name="Процентный 5 2 56" xfId="1281"/>
    <cellStyle name="Процентный 5 2 56 2" xfId="6624"/>
    <cellStyle name="Процентный 5 2 56 2 2" xfId="17304"/>
    <cellStyle name="Процентный 5 2 56 2 2 2" xfId="49348"/>
    <cellStyle name="Процентный 5 2 56 2 3" xfId="27985"/>
    <cellStyle name="Процентный 5 2 56 2 3 2" xfId="60028"/>
    <cellStyle name="Процентный 5 2 56 2 4" xfId="38668"/>
    <cellStyle name="Процентный 5 2 56 3" xfId="11964"/>
    <cellStyle name="Процентный 5 2 56 3 2" xfId="44008"/>
    <cellStyle name="Процентный 5 2 56 4" xfId="22645"/>
    <cellStyle name="Процентный 5 2 56 4 2" xfId="54688"/>
    <cellStyle name="Процентный 5 2 56 5" xfId="33328"/>
    <cellStyle name="Процентный 5 2 57" xfId="1308"/>
    <cellStyle name="Процентный 5 2 57 2" xfId="6650"/>
    <cellStyle name="Процентный 5 2 57 2 2" xfId="17330"/>
    <cellStyle name="Процентный 5 2 57 2 2 2" xfId="49374"/>
    <cellStyle name="Процентный 5 2 57 2 3" xfId="28011"/>
    <cellStyle name="Процентный 5 2 57 2 3 2" xfId="60054"/>
    <cellStyle name="Процентный 5 2 57 2 4" xfId="38694"/>
    <cellStyle name="Процентный 5 2 57 3" xfId="11990"/>
    <cellStyle name="Процентный 5 2 57 3 2" xfId="44034"/>
    <cellStyle name="Процентный 5 2 57 4" xfId="22671"/>
    <cellStyle name="Процентный 5 2 57 4 2" xfId="54714"/>
    <cellStyle name="Процентный 5 2 57 5" xfId="33354"/>
    <cellStyle name="Процентный 5 2 58" xfId="1334"/>
    <cellStyle name="Процентный 5 2 58 2" xfId="6676"/>
    <cellStyle name="Процентный 5 2 58 2 2" xfId="17356"/>
    <cellStyle name="Процентный 5 2 58 2 2 2" xfId="49400"/>
    <cellStyle name="Процентный 5 2 58 2 3" xfId="28037"/>
    <cellStyle name="Процентный 5 2 58 2 3 2" xfId="60080"/>
    <cellStyle name="Процентный 5 2 58 2 4" xfId="38720"/>
    <cellStyle name="Процентный 5 2 58 3" xfId="12016"/>
    <cellStyle name="Процентный 5 2 58 3 2" xfId="44060"/>
    <cellStyle name="Процентный 5 2 58 4" xfId="22697"/>
    <cellStyle name="Процентный 5 2 58 4 2" xfId="54740"/>
    <cellStyle name="Процентный 5 2 58 5" xfId="33380"/>
    <cellStyle name="Процентный 5 2 59" xfId="1360"/>
    <cellStyle name="Процентный 5 2 59 2" xfId="6702"/>
    <cellStyle name="Процентный 5 2 59 2 2" xfId="17382"/>
    <cellStyle name="Процентный 5 2 59 2 2 2" xfId="49426"/>
    <cellStyle name="Процентный 5 2 59 2 3" xfId="28063"/>
    <cellStyle name="Процентный 5 2 59 2 3 2" xfId="60106"/>
    <cellStyle name="Процентный 5 2 59 2 4" xfId="38746"/>
    <cellStyle name="Процентный 5 2 59 3" xfId="12042"/>
    <cellStyle name="Процентный 5 2 59 3 2" xfId="44086"/>
    <cellStyle name="Процентный 5 2 59 4" xfId="22723"/>
    <cellStyle name="Процентный 5 2 59 4 2" xfId="54766"/>
    <cellStyle name="Процентный 5 2 59 5" xfId="33406"/>
    <cellStyle name="Процентный 5 2 6" xfId="117"/>
    <cellStyle name="Процентный 5 2 6 2" xfId="585"/>
    <cellStyle name="Процентный 5 2 6 2 2" xfId="5928"/>
    <cellStyle name="Процентный 5 2 6 2 2 2" xfId="16608"/>
    <cellStyle name="Процентный 5 2 6 2 2 2 2" xfId="48652"/>
    <cellStyle name="Процентный 5 2 6 2 2 3" xfId="27289"/>
    <cellStyle name="Процентный 5 2 6 2 2 3 2" xfId="59332"/>
    <cellStyle name="Процентный 5 2 6 2 2 4" xfId="37972"/>
    <cellStyle name="Процентный 5 2 6 2 3" xfId="11268"/>
    <cellStyle name="Процентный 5 2 6 2 3 2" xfId="43312"/>
    <cellStyle name="Процентный 5 2 6 2 4" xfId="21949"/>
    <cellStyle name="Процентный 5 2 6 2 4 2" xfId="53992"/>
    <cellStyle name="Процентный 5 2 6 2 5" xfId="32632"/>
    <cellStyle name="Процентный 5 2 6 3" xfId="5461"/>
    <cellStyle name="Процентный 5 2 6 3 2" xfId="16141"/>
    <cellStyle name="Процентный 5 2 6 3 2 2" xfId="48185"/>
    <cellStyle name="Процентный 5 2 6 3 3" xfId="26822"/>
    <cellStyle name="Процентный 5 2 6 3 3 2" xfId="58865"/>
    <cellStyle name="Процентный 5 2 6 3 4" xfId="37505"/>
    <cellStyle name="Процентный 5 2 6 4" xfId="10801"/>
    <cellStyle name="Процентный 5 2 6 4 2" xfId="42845"/>
    <cellStyle name="Процентный 5 2 6 5" xfId="21482"/>
    <cellStyle name="Процентный 5 2 6 5 2" xfId="53525"/>
    <cellStyle name="Процентный 5 2 6 6" xfId="32165"/>
    <cellStyle name="Процентный 5 2 60" xfId="1386"/>
    <cellStyle name="Процентный 5 2 60 2" xfId="6728"/>
    <cellStyle name="Процентный 5 2 60 2 2" xfId="17408"/>
    <cellStyle name="Процентный 5 2 60 2 2 2" xfId="49452"/>
    <cellStyle name="Процентный 5 2 60 2 3" xfId="28089"/>
    <cellStyle name="Процентный 5 2 60 2 3 2" xfId="60132"/>
    <cellStyle name="Процентный 5 2 60 2 4" xfId="38772"/>
    <cellStyle name="Процентный 5 2 60 3" xfId="12068"/>
    <cellStyle name="Процентный 5 2 60 3 2" xfId="44112"/>
    <cellStyle name="Процентный 5 2 60 4" xfId="22749"/>
    <cellStyle name="Процентный 5 2 60 4 2" xfId="54792"/>
    <cellStyle name="Процентный 5 2 60 5" xfId="33432"/>
    <cellStyle name="Процентный 5 2 61" xfId="1412"/>
    <cellStyle name="Процентный 5 2 61 2" xfId="6754"/>
    <cellStyle name="Процентный 5 2 61 2 2" xfId="17434"/>
    <cellStyle name="Процентный 5 2 61 2 2 2" xfId="49478"/>
    <cellStyle name="Процентный 5 2 61 2 3" xfId="28115"/>
    <cellStyle name="Процентный 5 2 61 2 3 2" xfId="60158"/>
    <cellStyle name="Процентный 5 2 61 2 4" xfId="38798"/>
    <cellStyle name="Процентный 5 2 61 3" xfId="12094"/>
    <cellStyle name="Процентный 5 2 61 3 2" xfId="44138"/>
    <cellStyle name="Процентный 5 2 61 4" xfId="22775"/>
    <cellStyle name="Процентный 5 2 61 4 2" xfId="54818"/>
    <cellStyle name="Процентный 5 2 61 5" xfId="33458"/>
    <cellStyle name="Процентный 5 2 62" xfId="1438"/>
    <cellStyle name="Процентный 5 2 62 2" xfId="6780"/>
    <cellStyle name="Процентный 5 2 62 2 2" xfId="17460"/>
    <cellStyle name="Процентный 5 2 62 2 2 2" xfId="49504"/>
    <cellStyle name="Процентный 5 2 62 2 3" xfId="28141"/>
    <cellStyle name="Процентный 5 2 62 2 3 2" xfId="60184"/>
    <cellStyle name="Процентный 5 2 62 2 4" xfId="38824"/>
    <cellStyle name="Процентный 5 2 62 3" xfId="12120"/>
    <cellStyle name="Процентный 5 2 62 3 2" xfId="44164"/>
    <cellStyle name="Процентный 5 2 62 4" xfId="22801"/>
    <cellStyle name="Процентный 5 2 62 4 2" xfId="54844"/>
    <cellStyle name="Процентный 5 2 62 5" xfId="33484"/>
    <cellStyle name="Процентный 5 2 63" xfId="1464"/>
    <cellStyle name="Процентный 5 2 63 2" xfId="6806"/>
    <cellStyle name="Процентный 5 2 63 2 2" xfId="17486"/>
    <cellStyle name="Процентный 5 2 63 2 2 2" xfId="49530"/>
    <cellStyle name="Процентный 5 2 63 2 3" xfId="28167"/>
    <cellStyle name="Процентный 5 2 63 2 3 2" xfId="60210"/>
    <cellStyle name="Процентный 5 2 63 2 4" xfId="38850"/>
    <cellStyle name="Процентный 5 2 63 3" xfId="12146"/>
    <cellStyle name="Процентный 5 2 63 3 2" xfId="44190"/>
    <cellStyle name="Процентный 5 2 63 4" xfId="22827"/>
    <cellStyle name="Процентный 5 2 63 4 2" xfId="54870"/>
    <cellStyle name="Процентный 5 2 63 5" xfId="33510"/>
    <cellStyle name="Процентный 5 2 64" xfId="1490"/>
    <cellStyle name="Процентный 5 2 64 2" xfId="6832"/>
    <cellStyle name="Процентный 5 2 64 2 2" xfId="17512"/>
    <cellStyle name="Процентный 5 2 64 2 2 2" xfId="49556"/>
    <cellStyle name="Процентный 5 2 64 2 3" xfId="28193"/>
    <cellStyle name="Процентный 5 2 64 2 3 2" xfId="60236"/>
    <cellStyle name="Процентный 5 2 64 2 4" xfId="38876"/>
    <cellStyle name="Процентный 5 2 64 3" xfId="12172"/>
    <cellStyle name="Процентный 5 2 64 3 2" xfId="44216"/>
    <cellStyle name="Процентный 5 2 64 4" xfId="22853"/>
    <cellStyle name="Процентный 5 2 64 4 2" xfId="54896"/>
    <cellStyle name="Процентный 5 2 64 5" xfId="33536"/>
    <cellStyle name="Процентный 5 2 65" xfId="1516"/>
    <cellStyle name="Процентный 5 2 65 2" xfId="6858"/>
    <cellStyle name="Процентный 5 2 65 2 2" xfId="17538"/>
    <cellStyle name="Процентный 5 2 65 2 2 2" xfId="49582"/>
    <cellStyle name="Процентный 5 2 65 2 3" xfId="28219"/>
    <cellStyle name="Процентный 5 2 65 2 3 2" xfId="60262"/>
    <cellStyle name="Процентный 5 2 65 2 4" xfId="38902"/>
    <cellStyle name="Процентный 5 2 65 3" xfId="12198"/>
    <cellStyle name="Процентный 5 2 65 3 2" xfId="44242"/>
    <cellStyle name="Процентный 5 2 65 4" xfId="22879"/>
    <cellStyle name="Процентный 5 2 65 4 2" xfId="54922"/>
    <cellStyle name="Процентный 5 2 65 5" xfId="33562"/>
    <cellStyle name="Процентный 5 2 66" xfId="1542"/>
    <cellStyle name="Процентный 5 2 66 2" xfId="6884"/>
    <cellStyle name="Процентный 5 2 66 2 2" xfId="17564"/>
    <cellStyle name="Процентный 5 2 66 2 2 2" xfId="49608"/>
    <cellStyle name="Процентный 5 2 66 2 3" xfId="28245"/>
    <cellStyle name="Процентный 5 2 66 2 3 2" xfId="60288"/>
    <cellStyle name="Процентный 5 2 66 2 4" xfId="38928"/>
    <cellStyle name="Процентный 5 2 66 3" xfId="12224"/>
    <cellStyle name="Процентный 5 2 66 3 2" xfId="44268"/>
    <cellStyle name="Процентный 5 2 66 4" xfId="22905"/>
    <cellStyle name="Процентный 5 2 66 4 2" xfId="54948"/>
    <cellStyle name="Процентный 5 2 66 5" xfId="33588"/>
    <cellStyle name="Процентный 5 2 67" xfId="1568"/>
    <cellStyle name="Процентный 5 2 67 2" xfId="6910"/>
    <cellStyle name="Процентный 5 2 67 2 2" xfId="17590"/>
    <cellStyle name="Процентный 5 2 67 2 2 2" xfId="49634"/>
    <cellStyle name="Процентный 5 2 67 2 3" xfId="28271"/>
    <cellStyle name="Процентный 5 2 67 2 3 2" xfId="60314"/>
    <cellStyle name="Процентный 5 2 67 2 4" xfId="38954"/>
    <cellStyle name="Процентный 5 2 67 3" xfId="12250"/>
    <cellStyle name="Процентный 5 2 67 3 2" xfId="44294"/>
    <cellStyle name="Процентный 5 2 67 4" xfId="22931"/>
    <cellStyle name="Процентный 5 2 67 4 2" xfId="54974"/>
    <cellStyle name="Процентный 5 2 67 5" xfId="33614"/>
    <cellStyle name="Процентный 5 2 68" xfId="1594"/>
    <cellStyle name="Процентный 5 2 68 2" xfId="6936"/>
    <cellStyle name="Процентный 5 2 68 2 2" xfId="17616"/>
    <cellStyle name="Процентный 5 2 68 2 2 2" xfId="49660"/>
    <cellStyle name="Процентный 5 2 68 2 3" xfId="28297"/>
    <cellStyle name="Процентный 5 2 68 2 3 2" xfId="60340"/>
    <cellStyle name="Процентный 5 2 68 2 4" xfId="38980"/>
    <cellStyle name="Процентный 5 2 68 3" xfId="12276"/>
    <cellStyle name="Процентный 5 2 68 3 2" xfId="44320"/>
    <cellStyle name="Процентный 5 2 68 4" xfId="22957"/>
    <cellStyle name="Процентный 5 2 68 4 2" xfId="55000"/>
    <cellStyle name="Процентный 5 2 68 5" xfId="33640"/>
    <cellStyle name="Процентный 5 2 69" xfId="1620"/>
    <cellStyle name="Процентный 5 2 69 2" xfId="6962"/>
    <cellStyle name="Процентный 5 2 69 2 2" xfId="17642"/>
    <cellStyle name="Процентный 5 2 69 2 2 2" xfId="49686"/>
    <cellStyle name="Процентный 5 2 69 2 3" xfId="28323"/>
    <cellStyle name="Процентный 5 2 69 2 3 2" xfId="60366"/>
    <cellStyle name="Процентный 5 2 69 2 4" xfId="39006"/>
    <cellStyle name="Процентный 5 2 69 3" xfId="12302"/>
    <cellStyle name="Процентный 5 2 69 3 2" xfId="44346"/>
    <cellStyle name="Процентный 5 2 69 4" xfId="22983"/>
    <cellStyle name="Процентный 5 2 69 4 2" xfId="55026"/>
    <cellStyle name="Процентный 5 2 69 5" xfId="33666"/>
    <cellStyle name="Процентный 5 2 7" xfId="127"/>
    <cellStyle name="Процентный 5 2 7 2" xfId="595"/>
    <cellStyle name="Процентный 5 2 7 2 2" xfId="5938"/>
    <cellStyle name="Процентный 5 2 7 2 2 2" xfId="16618"/>
    <cellStyle name="Процентный 5 2 7 2 2 2 2" xfId="48662"/>
    <cellStyle name="Процентный 5 2 7 2 2 3" xfId="27299"/>
    <cellStyle name="Процентный 5 2 7 2 2 3 2" xfId="59342"/>
    <cellStyle name="Процентный 5 2 7 2 2 4" xfId="37982"/>
    <cellStyle name="Процентный 5 2 7 2 3" xfId="11278"/>
    <cellStyle name="Процентный 5 2 7 2 3 2" xfId="43322"/>
    <cellStyle name="Процентный 5 2 7 2 4" xfId="21959"/>
    <cellStyle name="Процентный 5 2 7 2 4 2" xfId="54002"/>
    <cellStyle name="Процентный 5 2 7 2 5" xfId="32642"/>
    <cellStyle name="Процентный 5 2 7 3" xfId="5471"/>
    <cellStyle name="Процентный 5 2 7 3 2" xfId="16151"/>
    <cellStyle name="Процентный 5 2 7 3 2 2" xfId="48195"/>
    <cellStyle name="Процентный 5 2 7 3 3" xfId="26832"/>
    <cellStyle name="Процентный 5 2 7 3 3 2" xfId="58875"/>
    <cellStyle name="Процентный 5 2 7 3 4" xfId="37515"/>
    <cellStyle name="Процентный 5 2 7 4" xfId="10811"/>
    <cellStyle name="Процентный 5 2 7 4 2" xfId="42855"/>
    <cellStyle name="Процентный 5 2 7 5" xfId="21492"/>
    <cellStyle name="Процентный 5 2 7 5 2" xfId="53535"/>
    <cellStyle name="Процентный 5 2 7 6" xfId="32175"/>
    <cellStyle name="Процентный 5 2 70" xfId="1646"/>
    <cellStyle name="Процентный 5 2 70 2" xfId="6988"/>
    <cellStyle name="Процентный 5 2 70 2 2" xfId="17668"/>
    <cellStyle name="Процентный 5 2 70 2 2 2" xfId="49712"/>
    <cellStyle name="Процентный 5 2 70 2 3" xfId="28349"/>
    <cellStyle name="Процентный 5 2 70 2 3 2" xfId="60392"/>
    <cellStyle name="Процентный 5 2 70 2 4" xfId="39032"/>
    <cellStyle name="Процентный 5 2 70 3" xfId="12328"/>
    <cellStyle name="Процентный 5 2 70 3 2" xfId="44372"/>
    <cellStyle name="Процентный 5 2 70 4" xfId="23009"/>
    <cellStyle name="Процентный 5 2 70 4 2" xfId="55052"/>
    <cellStyle name="Процентный 5 2 70 5" xfId="33692"/>
    <cellStyle name="Процентный 5 2 71" xfId="1672"/>
    <cellStyle name="Процентный 5 2 71 2" xfId="7014"/>
    <cellStyle name="Процентный 5 2 71 2 2" xfId="17694"/>
    <cellStyle name="Процентный 5 2 71 2 2 2" xfId="49738"/>
    <cellStyle name="Процентный 5 2 71 2 3" xfId="28375"/>
    <cellStyle name="Процентный 5 2 71 2 3 2" xfId="60418"/>
    <cellStyle name="Процентный 5 2 71 2 4" xfId="39058"/>
    <cellStyle name="Процентный 5 2 71 3" xfId="12354"/>
    <cellStyle name="Процентный 5 2 71 3 2" xfId="44398"/>
    <cellStyle name="Процентный 5 2 71 4" xfId="23035"/>
    <cellStyle name="Процентный 5 2 71 4 2" xfId="55078"/>
    <cellStyle name="Процентный 5 2 71 5" xfId="33718"/>
    <cellStyle name="Процентный 5 2 72" xfId="1698"/>
    <cellStyle name="Процентный 5 2 72 2" xfId="7040"/>
    <cellStyle name="Процентный 5 2 72 2 2" xfId="17720"/>
    <cellStyle name="Процентный 5 2 72 2 2 2" xfId="49764"/>
    <cellStyle name="Процентный 5 2 72 2 3" xfId="28401"/>
    <cellStyle name="Процентный 5 2 72 2 3 2" xfId="60444"/>
    <cellStyle name="Процентный 5 2 72 2 4" xfId="39084"/>
    <cellStyle name="Процентный 5 2 72 3" xfId="12380"/>
    <cellStyle name="Процентный 5 2 72 3 2" xfId="44424"/>
    <cellStyle name="Процентный 5 2 72 4" xfId="23061"/>
    <cellStyle name="Процентный 5 2 72 4 2" xfId="55104"/>
    <cellStyle name="Процентный 5 2 72 5" xfId="33744"/>
    <cellStyle name="Процентный 5 2 73" xfId="1724"/>
    <cellStyle name="Процентный 5 2 73 2" xfId="7066"/>
    <cellStyle name="Процентный 5 2 73 2 2" xfId="17746"/>
    <cellStyle name="Процентный 5 2 73 2 2 2" xfId="49790"/>
    <cellStyle name="Процентный 5 2 73 2 3" xfId="28427"/>
    <cellStyle name="Процентный 5 2 73 2 3 2" xfId="60470"/>
    <cellStyle name="Процентный 5 2 73 2 4" xfId="39110"/>
    <cellStyle name="Процентный 5 2 73 3" xfId="12406"/>
    <cellStyle name="Процентный 5 2 73 3 2" xfId="44450"/>
    <cellStyle name="Процентный 5 2 73 4" xfId="23087"/>
    <cellStyle name="Процентный 5 2 73 4 2" xfId="55130"/>
    <cellStyle name="Процентный 5 2 73 5" xfId="33770"/>
    <cellStyle name="Процентный 5 2 74" xfId="1750"/>
    <cellStyle name="Процентный 5 2 74 2" xfId="7092"/>
    <cellStyle name="Процентный 5 2 74 2 2" xfId="17772"/>
    <cellStyle name="Процентный 5 2 74 2 2 2" xfId="49816"/>
    <cellStyle name="Процентный 5 2 74 2 3" xfId="28453"/>
    <cellStyle name="Процентный 5 2 74 2 3 2" xfId="60496"/>
    <cellStyle name="Процентный 5 2 74 2 4" xfId="39136"/>
    <cellStyle name="Процентный 5 2 74 3" xfId="12432"/>
    <cellStyle name="Процентный 5 2 74 3 2" xfId="44476"/>
    <cellStyle name="Процентный 5 2 74 4" xfId="23113"/>
    <cellStyle name="Процентный 5 2 74 4 2" xfId="55156"/>
    <cellStyle name="Процентный 5 2 74 5" xfId="33796"/>
    <cellStyle name="Процентный 5 2 75" xfId="1776"/>
    <cellStyle name="Процентный 5 2 75 2" xfId="7118"/>
    <cellStyle name="Процентный 5 2 75 2 2" xfId="17798"/>
    <cellStyle name="Процентный 5 2 75 2 2 2" xfId="49842"/>
    <cellStyle name="Процентный 5 2 75 2 3" xfId="28479"/>
    <cellStyle name="Процентный 5 2 75 2 3 2" xfId="60522"/>
    <cellStyle name="Процентный 5 2 75 2 4" xfId="39162"/>
    <cellStyle name="Процентный 5 2 75 3" xfId="12458"/>
    <cellStyle name="Процентный 5 2 75 3 2" xfId="44502"/>
    <cellStyle name="Процентный 5 2 75 4" xfId="23139"/>
    <cellStyle name="Процентный 5 2 75 4 2" xfId="55182"/>
    <cellStyle name="Процентный 5 2 75 5" xfId="33822"/>
    <cellStyle name="Процентный 5 2 76" xfId="1802"/>
    <cellStyle name="Процентный 5 2 76 2" xfId="7144"/>
    <cellStyle name="Процентный 5 2 76 2 2" xfId="17824"/>
    <cellStyle name="Процентный 5 2 76 2 2 2" xfId="49868"/>
    <cellStyle name="Процентный 5 2 76 2 3" xfId="28505"/>
    <cellStyle name="Процентный 5 2 76 2 3 2" xfId="60548"/>
    <cellStyle name="Процентный 5 2 76 2 4" xfId="39188"/>
    <cellStyle name="Процентный 5 2 76 3" xfId="12484"/>
    <cellStyle name="Процентный 5 2 76 3 2" xfId="44528"/>
    <cellStyle name="Процентный 5 2 76 4" xfId="23165"/>
    <cellStyle name="Процентный 5 2 76 4 2" xfId="55208"/>
    <cellStyle name="Процентный 5 2 76 5" xfId="33848"/>
    <cellStyle name="Процентный 5 2 77" xfId="1828"/>
    <cellStyle name="Процентный 5 2 77 2" xfId="7170"/>
    <cellStyle name="Процентный 5 2 77 2 2" xfId="17850"/>
    <cellStyle name="Процентный 5 2 77 2 2 2" xfId="49894"/>
    <cellStyle name="Процентный 5 2 77 2 3" xfId="28531"/>
    <cellStyle name="Процентный 5 2 77 2 3 2" xfId="60574"/>
    <cellStyle name="Процентный 5 2 77 2 4" xfId="39214"/>
    <cellStyle name="Процентный 5 2 77 3" xfId="12510"/>
    <cellStyle name="Процентный 5 2 77 3 2" xfId="44554"/>
    <cellStyle name="Процентный 5 2 77 4" xfId="23191"/>
    <cellStyle name="Процентный 5 2 77 4 2" xfId="55234"/>
    <cellStyle name="Процентный 5 2 77 5" xfId="33874"/>
    <cellStyle name="Процентный 5 2 78" xfId="1854"/>
    <cellStyle name="Процентный 5 2 78 2" xfId="7196"/>
    <cellStyle name="Процентный 5 2 78 2 2" xfId="17876"/>
    <cellStyle name="Процентный 5 2 78 2 2 2" xfId="49920"/>
    <cellStyle name="Процентный 5 2 78 2 3" xfId="28557"/>
    <cellStyle name="Процентный 5 2 78 2 3 2" xfId="60600"/>
    <cellStyle name="Процентный 5 2 78 2 4" xfId="39240"/>
    <cellStyle name="Процентный 5 2 78 3" xfId="12536"/>
    <cellStyle name="Процентный 5 2 78 3 2" xfId="44580"/>
    <cellStyle name="Процентный 5 2 78 4" xfId="23217"/>
    <cellStyle name="Процентный 5 2 78 4 2" xfId="55260"/>
    <cellStyle name="Процентный 5 2 78 5" xfId="33900"/>
    <cellStyle name="Процентный 5 2 79" xfId="1880"/>
    <cellStyle name="Процентный 5 2 79 2" xfId="7222"/>
    <cellStyle name="Процентный 5 2 79 2 2" xfId="17902"/>
    <cellStyle name="Процентный 5 2 79 2 2 2" xfId="49946"/>
    <cellStyle name="Процентный 5 2 79 2 3" xfId="28583"/>
    <cellStyle name="Процентный 5 2 79 2 3 2" xfId="60626"/>
    <cellStyle name="Процентный 5 2 79 2 4" xfId="39266"/>
    <cellStyle name="Процентный 5 2 79 3" xfId="12562"/>
    <cellStyle name="Процентный 5 2 79 3 2" xfId="44606"/>
    <cellStyle name="Процентный 5 2 79 4" xfId="23243"/>
    <cellStyle name="Процентный 5 2 79 4 2" xfId="55286"/>
    <cellStyle name="Процентный 5 2 79 5" xfId="33926"/>
    <cellStyle name="Процентный 5 2 8" xfId="137"/>
    <cellStyle name="Процентный 5 2 8 2" xfId="605"/>
    <cellStyle name="Процентный 5 2 8 2 2" xfId="5948"/>
    <cellStyle name="Процентный 5 2 8 2 2 2" xfId="16628"/>
    <cellStyle name="Процентный 5 2 8 2 2 2 2" xfId="48672"/>
    <cellStyle name="Процентный 5 2 8 2 2 3" xfId="27309"/>
    <cellStyle name="Процентный 5 2 8 2 2 3 2" xfId="59352"/>
    <cellStyle name="Процентный 5 2 8 2 2 4" xfId="37992"/>
    <cellStyle name="Процентный 5 2 8 2 3" xfId="11288"/>
    <cellStyle name="Процентный 5 2 8 2 3 2" xfId="43332"/>
    <cellStyle name="Процентный 5 2 8 2 4" xfId="21969"/>
    <cellStyle name="Процентный 5 2 8 2 4 2" xfId="54012"/>
    <cellStyle name="Процентный 5 2 8 2 5" xfId="32652"/>
    <cellStyle name="Процентный 5 2 8 3" xfId="5481"/>
    <cellStyle name="Процентный 5 2 8 3 2" xfId="16161"/>
    <cellStyle name="Процентный 5 2 8 3 2 2" xfId="48205"/>
    <cellStyle name="Процентный 5 2 8 3 3" xfId="26842"/>
    <cellStyle name="Процентный 5 2 8 3 3 2" xfId="58885"/>
    <cellStyle name="Процентный 5 2 8 3 4" xfId="37525"/>
    <cellStyle name="Процентный 5 2 8 4" xfId="10821"/>
    <cellStyle name="Процентный 5 2 8 4 2" xfId="42865"/>
    <cellStyle name="Процентный 5 2 8 5" xfId="21502"/>
    <cellStyle name="Процентный 5 2 8 5 2" xfId="53545"/>
    <cellStyle name="Процентный 5 2 8 6" xfId="32185"/>
    <cellStyle name="Процентный 5 2 80" xfId="1906"/>
    <cellStyle name="Процентный 5 2 80 2" xfId="7248"/>
    <cellStyle name="Процентный 5 2 80 2 2" xfId="17928"/>
    <cellStyle name="Процентный 5 2 80 2 2 2" xfId="49972"/>
    <cellStyle name="Процентный 5 2 80 2 3" xfId="28609"/>
    <cellStyle name="Процентный 5 2 80 2 3 2" xfId="60652"/>
    <cellStyle name="Процентный 5 2 80 2 4" xfId="39292"/>
    <cellStyle name="Процентный 5 2 80 3" xfId="12588"/>
    <cellStyle name="Процентный 5 2 80 3 2" xfId="44632"/>
    <cellStyle name="Процентный 5 2 80 4" xfId="23269"/>
    <cellStyle name="Процентный 5 2 80 4 2" xfId="55312"/>
    <cellStyle name="Процентный 5 2 80 5" xfId="33952"/>
    <cellStyle name="Процентный 5 2 81" xfId="1934"/>
    <cellStyle name="Процентный 5 2 81 2" xfId="7276"/>
    <cellStyle name="Процентный 5 2 81 2 2" xfId="17956"/>
    <cellStyle name="Процентный 5 2 81 2 2 2" xfId="50000"/>
    <cellStyle name="Процентный 5 2 81 2 3" xfId="28637"/>
    <cellStyle name="Процентный 5 2 81 2 3 2" xfId="60680"/>
    <cellStyle name="Процентный 5 2 81 2 4" xfId="39320"/>
    <cellStyle name="Процентный 5 2 81 3" xfId="12616"/>
    <cellStyle name="Процентный 5 2 81 3 2" xfId="44660"/>
    <cellStyle name="Процентный 5 2 81 4" xfId="23297"/>
    <cellStyle name="Процентный 5 2 81 4 2" xfId="55340"/>
    <cellStyle name="Процентный 5 2 81 5" xfId="33980"/>
    <cellStyle name="Процентный 5 2 82" xfId="1962"/>
    <cellStyle name="Процентный 5 2 82 2" xfId="7304"/>
    <cellStyle name="Процентный 5 2 82 2 2" xfId="17984"/>
    <cellStyle name="Процентный 5 2 82 2 2 2" xfId="50028"/>
    <cellStyle name="Процентный 5 2 82 2 3" xfId="28665"/>
    <cellStyle name="Процентный 5 2 82 2 3 2" xfId="60708"/>
    <cellStyle name="Процентный 5 2 82 2 4" xfId="39348"/>
    <cellStyle name="Процентный 5 2 82 3" xfId="12644"/>
    <cellStyle name="Процентный 5 2 82 3 2" xfId="44688"/>
    <cellStyle name="Процентный 5 2 82 4" xfId="23325"/>
    <cellStyle name="Процентный 5 2 82 4 2" xfId="55368"/>
    <cellStyle name="Процентный 5 2 82 5" xfId="34008"/>
    <cellStyle name="Процентный 5 2 83" xfId="1990"/>
    <cellStyle name="Процентный 5 2 83 2" xfId="7332"/>
    <cellStyle name="Процентный 5 2 83 2 2" xfId="18012"/>
    <cellStyle name="Процентный 5 2 83 2 2 2" xfId="50056"/>
    <cellStyle name="Процентный 5 2 83 2 3" xfId="28693"/>
    <cellStyle name="Процентный 5 2 83 2 3 2" xfId="60736"/>
    <cellStyle name="Процентный 5 2 83 2 4" xfId="39376"/>
    <cellStyle name="Процентный 5 2 83 3" xfId="12672"/>
    <cellStyle name="Процентный 5 2 83 3 2" xfId="44716"/>
    <cellStyle name="Процентный 5 2 83 4" xfId="23353"/>
    <cellStyle name="Процентный 5 2 83 4 2" xfId="55396"/>
    <cellStyle name="Процентный 5 2 83 5" xfId="34036"/>
    <cellStyle name="Процентный 5 2 84" xfId="2018"/>
    <cellStyle name="Процентный 5 2 84 2" xfId="7360"/>
    <cellStyle name="Процентный 5 2 84 2 2" xfId="18040"/>
    <cellStyle name="Процентный 5 2 84 2 2 2" xfId="50084"/>
    <cellStyle name="Процентный 5 2 84 2 3" xfId="28721"/>
    <cellStyle name="Процентный 5 2 84 2 3 2" xfId="60764"/>
    <cellStyle name="Процентный 5 2 84 2 4" xfId="39404"/>
    <cellStyle name="Процентный 5 2 84 3" xfId="12700"/>
    <cellStyle name="Процентный 5 2 84 3 2" xfId="44744"/>
    <cellStyle name="Процентный 5 2 84 4" xfId="23381"/>
    <cellStyle name="Процентный 5 2 84 4 2" xfId="55424"/>
    <cellStyle name="Процентный 5 2 84 5" xfId="34064"/>
    <cellStyle name="Процентный 5 2 85" xfId="2046"/>
    <cellStyle name="Процентный 5 2 85 2" xfId="7388"/>
    <cellStyle name="Процентный 5 2 85 2 2" xfId="18068"/>
    <cellStyle name="Процентный 5 2 85 2 2 2" xfId="50112"/>
    <cellStyle name="Процентный 5 2 85 2 3" xfId="28749"/>
    <cellStyle name="Процентный 5 2 85 2 3 2" xfId="60792"/>
    <cellStyle name="Процентный 5 2 85 2 4" xfId="39432"/>
    <cellStyle name="Процентный 5 2 85 3" xfId="12728"/>
    <cellStyle name="Процентный 5 2 85 3 2" xfId="44772"/>
    <cellStyle name="Процентный 5 2 85 4" xfId="23409"/>
    <cellStyle name="Процентный 5 2 85 4 2" xfId="55452"/>
    <cellStyle name="Процентный 5 2 85 5" xfId="34092"/>
    <cellStyle name="Процентный 5 2 86" xfId="2074"/>
    <cellStyle name="Процентный 5 2 86 2" xfId="7416"/>
    <cellStyle name="Процентный 5 2 86 2 2" xfId="18096"/>
    <cellStyle name="Процентный 5 2 86 2 2 2" xfId="50140"/>
    <cellStyle name="Процентный 5 2 86 2 3" xfId="28777"/>
    <cellStyle name="Процентный 5 2 86 2 3 2" xfId="60820"/>
    <cellStyle name="Процентный 5 2 86 2 4" xfId="39460"/>
    <cellStyle name="Процентный 5 2 86 3" xfId="12756"/>
    <cellStyle name="Процентный 5 2 86 3 2" xfId="44800"/>
    <cellStyle name="Процентный 5 2 86 4" xfId="23437"/>
    <cellStyle name="Процентный 5 2 86 4 2" xfId="55480"/>
    <cellStyle name="Процентный 5 2 86 5" xfId="34120"/>
    <cellStyle name="Процентный 5 2 87" xfId="2102"/>
    <cellStyle name="Процентный 5 2 87 2" xfId="7444"/>
    <cellStyle name="Процентный 5 2 87 2 2" xfId="18124"/>
    <cellStyle name="Процентный 5 2 87 2 2 2" xfId="50168"/>
    <cellStyle name="Процентный 5 2 87 2 3" xfId="28805"/>
    <cellStyle name="Процентный 5 2 87 2 3 2" xfId="60848"/>
    <cellStyle name="Процентный 5 2 87 2 4" xfId="39488"/>
    <cellStyle name="Процентный 5 2 87 3" xfId="12784"/>
    <cellStyle name="Процентный 5 2 87 3 2" xfId="44828"/>
    <cellStyle name="Процентный 5 2 87 4" xfId="23465"/>
    <cellStyle name="Процентный 5 2 87 4 2" xfId="55508"/>
    <cellStyle name="Процентный 5 2 87 5" xfId="34148"/>
    <cellStyle name="Процентный 5 2 88" xfId="2132"/>
    <cellStyle name="Процентный 5 2 88 2" xfId="7474"/>
    <cellStyle name="Процентный 5 2 88 2 2" xfId="18154"/>
    <cellStyle name="Процентный 5 2 88 2 2 2" xfId="50198"/>
    <cellStyle name="Процентный 5 2 88 2 3" xfId="28835"/>
    <cellStyle name="Процентный 5 2 88 2 3 2" xfId="60878"/>
    <cellStyle name="Процентный 5 2 88 2 4" xfId="39518"/>
    <cellStyle name="Процентный 5 2 88 3" xfId="12814"/>
    <cellStyle name="Процентный 5 2 88 3 2" xfId="44858"/>
    <cellStyle name="Процентный 5 2 88 4" xfId="23495"/>
    <cellStyle name="Процентный 5 2 88 4 2" xfId="55538"/>
    <cellStyle name="Процентный 5 2 88 5" xfId="34178"/>
    <cellStyle name="Процентный 5 2 89" xfId="2162"/>
    <cellStyle name="Процентный 5 2 89 2" xfId="7504"/>
    <cellStyle name="Процентный 5 2 89 2 2" xfId="18184"/>
    <cellStyle name="Процентный 5 2 89 2 2 2" xfId="50228"/>
    <cellStyle name="Процентный 5 2 89 2 3" xfId="28865"/>
    <cellStyle name="Процентный 5 2 89 2 3 2" xfId="60908"/>
    <cellStyle name="Процентный 5 2 89 2 4" xfId="39548"/>
    <cellStyle name="Процентный 5 2 89 3" xfId="12844"/>
    <cellStyle name="Процентный 5 2 89 3 2" xfId="44888"/>
    <cellStyle name="Процентный 5 2 89 4" xfId="23525"/>
    <cellStyle name="Процентный 5 2 89 4 2" xfId="55568"/>
    <cellStyle name="Процентный 5 2 89 5" xfId="34208"/>
    <cellStyle name="Процентный 5 2 9" xfId="147"/>
    <cellStyle name="Процентный 5 2 9 2" xfId="615"/>
    <cellStyle name="Процентный 5 2 9 2 2" xfId="5958"/>
    <cellStyle name="Процентный 5 2 9 2 2 2" xfId="16638"/>
    <cellStyle name="Процентный 5 2 9 2 2 2 2" xfId="48682"/>
    <cellStyle name="Процентный 5 2 9 2 2 3" xfId="27319"/>
    <cellStyle name="Процентный 5 2 9 2 2 3 2" xfId="59362"/>
    <cellStyle name="Процентный 5 2 9 2 2 4" xfId="38002"/>
    <cellStyle name="Процентный 5 2 9 2 3" xfId="11298"/>
    <cellStyle name="Процентный 5 2 9 2 3 2" xfId="43342"/>
    <cellStyle name="Процентный 5 2 9 2 4" xfId="21979"/>
    <cellStyle name="Процентный 5 2 9 2 4 2" xfId="54022"/>
    <cellStyle name="Процентный 5 2 9 2 5" xfId="32662"/>
    <cellStyle name="Процентный 5 2 9 3" xfId="5491"/>
    <cellStyle name="Процентный 5 2 9 3 2" xfId="16171"/>
    <cellStyle name="Процентный 5 2 9 3 2 2" xfId="48215"/>
    <cellStyle name="Процентный 5 2 9 3 3" xfId="26852"/>
    <cellStyle name="Процентный 5 2 9 3 3 2" xfId="58895"/>
    <cellStyle name="Процентный 5 2 9 3 4" xfId="37535"/>
    <cellStyle name="Процентный 5 2 9 4" xfId="10831"/>
    <cellStyle name="Процентный 5 2 9 4 2" xfId="42875"/>
    <cellStyle name="Процентный 5 2 9 5" xfId="21512"/>
    <cellStyle name="Процентный 5 2 9 5 2" xfId="53555"/>
    <cellStyle name="Процентный 5 2 9 6" xfId="32195"/>
    <cellStyle name="Процентный 5 2 90" xfId="2192"/>
    <cellStyle name="Процентный 5 2 90 2" xfId="7534"/>
    <cellStyle name="Процентный 5 2 90 2 2" xfId="18214"/>
    <cellStyle name="Процентный 5 2 90 2 2 2" xfId="50258"/>
    <cellStyle name="Процентный 5 2 90 2 3" xfId="28895"/>
    <cellStyle name="Процентный 5 2 90 2 3 2" xfId="60938"/>
    <cellStyle name="Процентный 5 2 90 2 4" xfId="39578"/>
    <cellStyle name="Процентный 5 2 90 3" xfId="12874"/>
    <cellStyle name="Процентный 5 2 90 3 2" xfId="44918"/>
    <cellStyle name="Процентный 5 2 90 4" xfId="23555"/>
    <cellStyle name="Процентный 5 2 90 4 2" xfId="55598"/>
    <cellStyle name="Процентный 5 2 90 5" xfId="34238"/>
    <cellStyle name="Процентный 5 2 91" xfId="2222"/>
    <cellStyle name="Процентный 5 2 91 2" xfId="7564"/>
    <cellStyle name="Процентный 5 2 91 2 2" xfId="18244"/>
    <cellStyle name="Процентный 5 2 91 2 2 2" xfId="50288"/>
    <cellStyle name="Процентный 5 2 91 2 3" xfId="28925"/>
    <cellStyle name="Процентный 5 2 91 2 3 2" xfId="60968"/>
    <cellStyle name="Процентный 5 2 91 2 4" xfId="39608"/>
    <cellStyle name="Процентный 5 2 91 3" xfId="12904"/>
    <cellStyle name="Процентный 5 2 91 3 2" xfId="44948"/>
    <cellStyle name="Процентный 5 2 91 4" xfId="23585"/>
    <cellStyle name="Процентный 5 2 91 4 2" xfId="55628"/>
    <cellStyle name="Процентный 5 2 91 5" xfId="34268"/>
    <cellStyle name="Процентный 5 2 92" xfId="2252"/>
    <cellStyle name="Процентный 5 2 92 2" xfId="7594"/>
    <cellStyle name="Процентный 5 2 92 2 2" xfId="18274"/>
    <cellStyle name="Процентный 5 2 92 2 2 2" xfId="50318"/>
    <cellStyle name="Процентный 5 2 92 2 3" xfId="28955"/>
    <cellStyle name="Процентный 5 2 92 2 3 2" xfId="60998"/>
    <cellStyle name="Процентный 5 2 92 2 4" xfId="39638"/>
    <cellStyle name="Процентный 5 2 92 3" xfId="12934"/>
    <cellStyle name="Процентный 5 2 92 3 2" xfId="44978"/>
    <cellStyle name="Процентный 5 2 92 4" xfId="23615"/>
    <cellStyle name="Процентный 5 2 92 4 2" xfId="55658"/>
    <cellStyle name="Процентный 5 2 92 5" xfId="34298"/>
    <cellStyle name="Процентный 5 2 93" xfId="2282"/>
    <cellStyle name="Процентный 5 2 93 2" xfId="7624"/>
    <cellStyle name="Процентный 5 2 93 2 2" xfId="18304"/>
    <cellStyle name="Процентный 5 2 93 2 2 2" xfId="50348"/>
    <cellStyle name="Процентный 5 2 93 2 3" xfId="28985"/>
    <cellStyle name="Процентный 5 2 93 2 3 2" xfId="61028"/>
    <cellStyle name="Процентный 5 2 93 2 4" xfId="39668"/>
    <cellStyle name="Процентный 5 2 93 3" xfId="12964"/>
    <cellStyle name="Процентный 5 2 93 3 2" xfId="45008"/>
    <cellStyle name="Процентный 5 2 93 4" xfId="23645"/>
    <cellStyle name="Процентный 5 2 93 4 2" xfId="55688"/>
    <cellStyle name="Процентный 5 2 93 5" xfId="34328"/>
    <cellStyle name="Процентный 5 2 94" xfId="2312"/>
    <cellStyle name="Процентный 5 2 94 2" xfId="7654"/>
    <cellStyle name="Процентный 5 2 94 2 2" xfId="18334"/>
    <cellStyle name="Процентный 5 2 94 2 2 2" xfId="50378"/>
    <cellStyle name="Процентный 5 2 94 2 3" xfId="29015"/>
    <cellStyle name="Процентный 5 2 94 2 3 2" xfId="61058"/>
    <cellStyle name="Процентный 5 2 94 2 4" xfId="39698"/>
    <cellStyle name="Процентный 5 2 94 3" xfId="12994"/>
    <cellStyle name="Процентный 5 2 94 3 2" xfId="45038"/>
    <cellStyle name="Процентный 5 2 94 4" xfId="23675"/>
    <cellStyle name="Процентный 5 2 94 4 2" xfId="55718"/>
    <cellStyle name="Процентный 5 2 94 5" xfId="34358"/>
    <cellStyle name="Процентный 5 2 95" xfId="2342"/>
    <cellStyle name="Процентный 5 2 95 2" xfId="7684"/>
    <cellStyle name="Процентный 5 2 95 2 2" xfId="18364"/>
    <cellStyle name="Процентный 5 2 95 2 2 2" xfId="50408"/>
    <cellStyle name="Процентный 5 2 95 2 3" xfId="29045"/>
    <cellStyle name="Процентный 5 2 95 2 3 2" xfId="61088"/>
    <cellStyle name="Процентный 5 2 95 2 4" xfId="39728"/>
    <cellStyle name="Процентный 5 2 95 3" xfId="13024"/>
    <cellStyle name="Процентный 5 2 95 3 2" xfId="45068"/>
    <cellStyle name="Процентный 5 2 95 4" xfId="23705"/>
    <cellStyle name="Процентный 5 2 95 4 2" xfId="55748"/>
    <cellStyle name="Процентный 5 2 95 5" xfId="34388"/>
    <cellStyle name="Процентный 5 2 96" xfId="2372"/>
    <cellStyle name="Процентный 5 2 96 2" xfId="7714"/>
    <cellStyle name="Процентный 5 2 96 2 2" xfId="18394"/>
    <cellStyle name="Процентный 5 2 96 2 2 2" xfId="50438"/>
    <cellStyle name="Процентный 5 2 96 2 3" xfId="29075"/>
    <cellStyle name="Процентный 5 2 96 2 3 2" xfId="61118"/>
    <cellStyle name="Процентный 5 2 96 2 4" xfId="39758"/>
    <cellStyle name="Процентный 5 2 96 3" xfId="13054"/>
    <cellStyle name="Процентный 5 2 96 3 2" xfId="45098"/>
    <cellStyle name="Процентный 5 2 96 4" xfId="23735"/>
    <cellStyle name="Процентный 5 2 96 4 2" xfId="55778"/>
    <cellStyle name="Процентный 5 2 96 5" xfId="34418"/>
    <cellStyle name="Процентный 5 2 97" xfId="2402"/>
    <cellStyle name="Процентный 5 2 97 2" xfId="7744"/>
    <cellStyle name="Процентный 5 2 97 2 2" xfId="18424"/>
    <cellStyle name="Процентный 5 2 97 2 2 2" xfId="50468"/>
    <cellStyle name="Процентный 5 2 97 2 3" xfId="29105"/>
    <cellStyle name="Процентный 5 2 97 2 3 2" xfId="61148"/>
    <cellStyle name="Процентный 5 2 97 2 4" xfId="39788"/>
    <cellStyle name="Процентный 5 2 97 3" xfId="13084"/>
    <cellStyle name="Процентный 5 2 97 3 2" xfId="45128"/>
    <cellStyle name="Процентный 5 2 97 4" xfId="23765"/>
    <cellStyle name="Процентный 5 2 97 4 2" xfId="55808"/>
    <cellStyle name="Процентный 5 2 97 5" xfId="34448"/>
    <cellStyle name="Процентный 5 2 98" xfId="2432"/>
    <cellStyle name="Процентный 5 2 98 2" xfId="7774"/>
    <cellStyle name="Процентный 5 2 98 2 2" xfId="18454"/>
    <cellStyle name="Процентный 5 2 98 2 2 2" xfId="50498"/>
    <cellStyle name="Процентный 5 2 98 2 3" xfId="29135"/>
    <cellStyle name="Процентный 5 2 98 2 3 2" xfId="61178"/>
    <cellStyle name="Процентный 5 2 98 2 4" xfId="39818"/>
    <cellStyle name="Процентный 5 2 98 3" xfId="13114"/>
    <cellStyle name="Процентный 5 2 98 3 2" xfId="45158"/>
    <cellStyle name="Процентный 5 2 98 4" xfId="23795"/>
    <cellStyle name="Процентный 5 2 98 4 2" xfId="55838"/>
    <cellStyle name="Процентный 5 2 98 5" xfId="34478"/>
    <cellStyle name="Процентный 5 2 99" xfId="2462"/>
    <cellStyle name="Процентный 5 2 99 2" xfId="7804"/>
    <cellStyle name="Процентный 5 2 99 2 2" xfId="18484"/>
    <cellStyle name="Процентный 5 2 99 2 2 2" xfId="50528"/>
    <cellStyle name="Процентный 5 2 99 2 3" xfId="29165"/>
    <cellStyle name="Процентный 5 2 99 2 3 2" xfId="61208"/>
    <cellStyle name="Процентный 5 2 99 2 4" xfId="39848"/>
    <cellStyle name="Процентный 5 2 99 3" xfId="13144"/>
    <cellStyle name="Процентный 5 2 99 3 2" xfId="45188"/>
    <cellStyle name="Процентный 5 2 99 4" xfId="23825"/>
    <cellStyle name="Процентный 5 2 99 4 2" xfId="55868"/>
    <cellStyle name="Процентный 5 2 99 5" xfId="34508"/>
    <cellStyle name="Процентный 5 20" xfId="193"/>
    <cellStyle name="Процентный 5 20 2" xfId="661"/>
    <cellStyle name="Процентный 5 20 2 2" xfId="6004"/>
    <cellStyle name="Процентный 5 20 2 2 2" xfId="16684"/>
    <cellStyle name="Процентный 5 20 2 2 2 2" xfId="48728"/>
    <cellStyle name="Процентный 5 20 2 2 3" xfId="27365"/>
    <cellStyle name="Процентный 5 20 2 2 3 2" xfId="59408"/>
    <cellStyle name="Процентный 5 20 2 2 4" xfId="38048"/>
    <cellStyle name="Процентный 5 20 2 3" xfId="11344"/>
    <cellStyle name="Процентный 5 20 2 3 2" xfId="43388"/>
    <cellStyle name="Процентный 5 20 2 4" xfId="22025"/>
    <cellStyle name="Процентный 5 20 2 4 2" xfId="54068"/>
    <cellStyle name="Процентный 5 20 2 5" xfId="32708"/>
    <cellStyle name="Процентный 5 20 3" xfId="5537"/>
    <cellStyle name="Процентный 5 20 3 2" xfId="16217"/>
    <cellStyle name="Процентный 5 20 3 2 2" xfId="48261"/>
    <cellStyle name="Процентный 5 20 3 3" xfId="26898"/>
    <cellStyle name="Процентный 5 20 3 3 2" xfId="58941"/>
    <cellStyle name="Процентный 5 20 3 4" xfId="37581"/>
    <cellStyle name="Процентный 5 20 4" xfId="10877"/>
    <cellStyle name="Процентный 5 20 4 2" xfId="42921"/>
    <cellStyle name="Процентный 5 20 5" xfId="21558"/>
    <cellStyle name="Процентный 5 20 5 2" xfId="53601"/>
    <cellStyle name="Процентный 5 20 6" xfId="32241"/>
    <cellStyle name="Процентный 5 21" xfId="203"/>
    <cellStyle name="Процентный 5 21 2" xfId="671"/>
    <cellStyle name="Процентный 5 21 2 2" xfId="6014"/>
    <cellStyle name="Процентный 5 21 2 2 2" xfId="16694"/>
    <cellStyle name="Процентный 5 21 2 2 2 2" xfId="48738"/>
    <cellStyle name="Процентный 5 21 2 2 3" xfId="27375"/>
    <cellStyle name="Процентный 5 21 2 2 3 2" xfId="59418"/>
    <cellStyle name="Процентный 5 21 2 2 4" xfId="38058"/>
    <cellStyle name="Процентный 5 21 2 3" xfId="11354"/>
    <cellStyle name="Процентный 5 21 2 3 2" xfId="43398"/>
    <cellStyle name="Процентный 5 21 2 4" xfId="22035"/>
    <cellStyle name="Процентный 5 21 2 4 2" xfId="54078"/>
    <cellStyle name="Процентный 5 21 2 5" xfId="32718"/>
    <cellStyle name="Процентный 5 21 3" xfId="5547"/>
    <cellStyle name="Процентный 5 21 3 2" xfId="16227"/>
    <cellStyle name="Процентный 5 21 3 2 2" xfId="48271"/>
    <cellStyle name="Процентный 5 21 3 3" xfId="26908"/>
    <cellStyle name="Процентный 5 21 3 3 2" xfId="58951"/>
    <cellStyle name="Процентный 5 21 3 4" xfId="37591"/>
    <cellStyle name="Процентный 5 21 4" xfId="10887"/>
    <cellStyle name="Процентный 5 21 4 2" xfId="42931"/>
    <cellStyle name="Процентный 5 21 5" xfId="21568"/>
    <cellStyle name="Процентный 5 21 5 2" xfId="53611"/>
    <cellStyle name="Процентный 5 21 6" xfId="32251"/>
    <cellStyle name="Процентный 5 22" xfId="213"/>
    <cellStyle name="Процентный 5 22 2" xfId="681"/>
    <cellStyle name="Процентный 5 22 2 2" xfId="6024"/>
    <cellStyle name="Процентный 5 22 2 2 2" xfId="16704"/>
    <cellStyle name="Процентный 5 22 2 2 2 2" xfId="48748"/>
    <cellStyle name="Процентный 5 22 2 2 3" xfId="27385"/>
    <cellStyle name="Процентный 5 22 2 2 3 2" xfId="59428"/>
    <cellStyle name="Процентный 5 22 2 2 4" xfId="38068"/>
    <cellStyle name="Процентный 5 22 2 3" xfId="11364"/>
    <cellStyle name="Процентный 5 22 2 3 2" xfId="43408"/>
    <cellStyle name="Процентный 5 22 2 4" xfId="22045"/>
    <cellStyle name="Процентный 5 22 2 4 2" xfId="54088"/>
    <cellStyle name="Процентный 5 22 2 5" xfId="32728"/>
    <cellStyle name="Процентный 5 22 3" xfId="5557"/>
    <cellStyle name="Процентный 5 22 3 2" xfId="16237"/>
    <cellStyle name="Процентный 5 22 3 2 2" xfId="48281"/>
    <cellStyle name="Процентный 5 22 3 3" xfId="26918"/>
    <cellStyle name="Процентный 5 22 3 3 2" xfId="58961"/>
    <cellStyle name="Процентный 5 22 3 4" xfId="37601"/>
    <cellStyle name="Процентный 5 22 4" xfId="10897"/>
    <cellStyle name="Процентный 5 22 4 2" xfId="42941"/>
    <cellStyle name="Процентный 5 22 5" xfId="21578"/>
    <cellStyle name="Процентный 5 22 5 2" xfId="53621"/>
    <cellStyle name="Процентный 5 22 6" xfId="32261"/>
    <cellStyle name="Процентный 5 23" xfId="223"/>
    <cellStyle name="Процентный 5 23 2" xfId="691"/>
    <cellStyle name="Процентный 5 23 2 2" xfId="6034"/>
    <cellStyle name="Процентный 5 23 2 2 2" xfId="16714"/>
    <cellStyle name="Процентный 5 23 2 2 2 2" xfId="48758"/>
    <cellStyle name="Процентный 5 23 2 2 3" xfId="27395"/>
    <cellStyle name="Процентный 5 23 2 2 3 2" xfId="59438"/>
    <cellStyle name="Процентный 5 23 2 2 4" xfId="38078"/>
    <cellStyle name="Процентный 5 23 2 3" xfId="11374"/>
    <cellStyle name="Процентный 5 23 2 3 2" xfId="43418"/>
    <cellStyle name="Процентный 5 23 2 4" xfId="22055"/>
    <cellStyle name="Процентный 5 23 2 4 2" xfId="54098"/>
    <cellStyle name="Процентный 5 23 2 5" xfId="32738"/>
    <cellStyle name="Процентный 5 23 3" xfId="5567"/>
    <cellStyle name="Процентный 5 23 3 2" xfId="16247"/>
    <cellStyle name="Процентный 5 23 3 2 2" xfId="48291"/>
    <cellStyle name="Процентный 5 23 3 3" xfId="26928"/>
    <cellStyle name="Процентный 5 23 3 3 2" xfId="58971"/>
    <cellStyle name="Процентный 5 23 3 4" xfId="37611"/>
    <cellStyle name="Процентный 5 23 4" xfId="10907"/>
    <cellStyle name="Процентный 5 23 4 2" xfId="42951"/>
    <cellStyle name="Процентный 5 23 5" xfId="21588"/>
    <cellStyle name="Процентный 5 23 5 2" xfId="53631"/>
    <cellStyle name="Процентный 5 23 6" xfId="32271"/>
    <cellStyle name="Процентный 5 24" xfId="233"/>
    <cellStyle name="Процентный 5 24 2" xfId="701"/>
    <cellStyle name="Процентный 5 24 2 2" xfId="6044"/>
    <cellStyle name="Процентный 5 24 2 2 2" xfId="16724"/>
    <cellStyle name="Процентный 5 24 2 2 2 2" xfId="48768"/>
    <cellStyle name="Процентный 5 24 2 2 3" xfId="27405"/>
    <cellStyle name="Процентный 5 24 2 2 3 2" xfId="59448"/>
    <cellStyle name="Процентный 5 24 2 2 4" xfId="38088"/>
    <cellStyle name="Процентный 5 24 2 3" xfId="11384"/>
    <cellStyle name="Процентный 5 24 2 3 2" xfId="43428"/>
    <cellStyle name="Процентный 5 24 2 4" xfId="22065"/>
    <cellStyle name="Процентный 5 24 2 4 2" xfId="54108"/>
    <cellStyle name="Процентный 5 24 2 5" xfId="32748"/>
    <cellStyle name="Процентный 5 24 3" xfId="5577"/>
    <cellStyle name="Процентный 5 24 3 2" xfId="16257"/>
    <cellStyle name="Процентный 5 24 3 2 2" xfId="48301"/>
    <cellStyle name="Процентный 5 24 3 3" xfId="26938"/>
    <cellStyle name="Процентный 5 24 3 3 2" xfId="58981"/>
    <cellStyle name="Процентный 5 24 3 4" xfId="37621"/>
    <cellStyle name="Процентный 5 24 4" xfId="10917"/>
    <cellStyle name="Процентный 5 24 4 2" xfId="42961"/>
    <cellStyle name="Процентный 5 24 5" xfId="21598"/>
    <cellStyle name="Процентный 5 24 5 2" xfId="53641"/>
    <cellStyle name="Процентный 5 24 6" xfId="32281"/>
    <cellStyle name="Процентный 5 25" xfId="243"/>
    <cellStyle name="Процентный 5 25 2" xfId="711"/>
    <cellStyle name="Процентный 5 25 2 2" xfId="6054"/>
    <cellStyle name="Процентный 5 25 2 2 2" xfId="16734"/>
    <cellStyle name="Процентный 5 25 2 2 2 2" xfId="48778"/>
    <cellStyle name="Процентный 5 25 2 2 3" xfId="27415"/>
    <cellStyle name="Процентный 5 25 2 2 3 2" xfId="59458"/>
    <cellStyle name="Процентный 5 25 2 2 4" xfId="38098"/>
    <cellStyle name="Процентный 5 25 2 3" xfId="11394"/>
    <cellStyle name="Процентный 5 25 2 3 2" xfId="43438"/>
    <cellStyle name="Процентный 5 25 2 4" xfId="22075"/>
    <cellStyle name="Процентный 5 25 2 4 2" xfId="54118"/>
    <cellStyle name="Процентный 5 25 2 5" xfId="32758"/>
    <cellStyle name="Процентный 5 25 3" xfId="5587"/>
    <cellStyle name="Процентный 5 25 3 2" xfId="16267"/>
    <cellStyle name="Процентный 5 25 3 2 2" xfId="48311"/>
    <cellStyle name="Процентный 5 25 3 3" xfId="26948"/>
    <cellStyle name="Процентный 5 25 3 3 2" xfId="58991"/>
    <cellStyle name="Процентный 5 25 3 4" xfId="37631"/>
    <cellStyle name="Процентный 5 25 4" xfId="10927"/>
    <cellStyle name="Процентный 5 25 4 2" xfId="42971"/>
    <cellStyle name="Процентный 5 25 5" xfId="21608"/>
    <cellStyle name="Процентный 5 25 5 2" xfId="53651"/>
    <cellStyle name="Процентный 5 25 6" xfId="32291"/>
    <cellStyle name="Процентный 5 26" xfId="253"/>
    <cellStyle name="Процентный 5 26 2" xfId="721"/>
    <cellStyle name="Процентный 5 26 2 2" xfId="6064"/>
    <cellStyle name="Процентный 5 26 2 2 2" xfId="16744"/>
    <cellStyle name="Процентный 5 26 2 2 2 2" xfId="48788"/>
    <cellStyle name="Процентный 5 26 2 2 3" xfId="27425"/>
    <cellStyle name="Процентный 5 26 2 2 3 2" xfId="59468"/>
    <cellStyle name="Процентный 5 26 2 2 4" xfId="38108"/>
    <cellStyle name="Процентный 5 26 2 3" xfId="11404"/>
    <cellStyle name="Процентный 5 26 2 3 2" xfId="43448"/>
    <cellStyle name="Процентный 5 26 2 4" xfId="22085"/>
    <cellStyle name="Процентный 5 26 2 4 2" xfId="54128"/>
    <cellStyle name="Процентный 5 26 2 5" xfId="32768"/>
    <cellStyle name="Процентный 5 26 3" xfId="5597"/>
    <cellStyle name="Процентный 5 26 3 2" xfId="16277"/>
    <cellStyle name="Процентный 5 26 3 2 2" xfId="48321"/>
    <cellStyle name="Процентный 5 26 3 3" xfId="26958"/>
    <cellStyle name="Процентный 5 26 3 3 2" xfId="59001"/>
    <cellStyle name="Процентный 5 26 3 4" xfId="37641"/>
    <cellStyle name="Процентный 5 26 4" xfId="10937"/>
    <cellStyle name="Процентный 5 26 4 2" xfId="42981"/>
    <cellStyle name="Процентный 5 26 5" xfId="21618"/>
    <cellStyle name="Процентный 5 26 5 2" xfId="53661"/>
    <cellStyle name="Процентный 5 26 6" xfId="32301"/>
    <cellStyle name="Процентный 5 27" xfId="263"/>
    <cellStyle name="Процентный 5 27 2" xfId="731"/>
    <cellStyle name="Процентный 5 27 2 2" xfId="6074"/>
    <cellStyle name="Процентный 5 27 2 2 2" xfId="16754"/>
    <cellStyle name="Процентный 5 27 2 2 2 2" xfId="48798"/>
    <cellStyle name="Процентный 5 27 2 2 3" xfId="27435"/>
    <cellStyle name="Процентный 5 27 2 2 3 2" xfId="59478"/>
    <cellStyle name="Процентный 5 27 2 2 4" xfId="38118"/>
    <cellStyle name="Процентный 5 27 2 3" xfId="11414"/>
    <cellStyle name="Процентный 5 27 2 3 2" xfId="43458"/>
    <cellStyle name="Процентный 5 27 2 4" xfId="22095"/>
    <cellStyle name="Процентный 5 27 2 4 2" xfId="54138"/>
    <cellStyle name="Процентный 5 27 2 5" xfId="32778"/>
    <cellStyle name="Процентный 5 27 3" xfId="5607"/>
    <cellStyle name="Процентный 5 27 3 2" xfId="16287"/>
    <cellStyle name="Процентный 5 27 3 2 2" xfId="48331"/>
    <cellStyle name="Процентный 5 27 3 3" xfId="26968"/>
    <cellStyle name="Процентный 5 27 3 3 2" xfId="59011"/>
    <cellStyle name="Процентный 5 27 3 4" xfId="37651"/>
    <cellStyle name="Процентный 5 27 4" xfId="10947"/>
    <cellStyle name="Процентный 5 27 4 2" xfId="42991"/>
    <cellStyle name="Процентный 5 27 5" xfId="21628"/>
    <cellStyle name="Процентный 5 27 5 2" xfId="53671"/>
    <cellStyle name="Процентный 5 27 6" xfId="32311"/>
    <cellStyle name="Процентный 5 28" xfId="273"/>
    <cellStyle name="Процентный 5 28 2" xfId="741"/>
    <cellStyle name="Процентный 5 28 2 2" xfId="6084"/>
    <cellStyle name="Процентный 5 28 2 2 2" xfId="16764"/>
    <cellStyle name="Процентный 5 28 2 2 2 2" xfId="48808"/>
    <cellStyle name="Процентный 5 28 2 2 3" xfId="27445"/>
    <cellStyle name="Процентный 5 28 2 2 3 2" xfId="59488"/>
    <cellStyle name="Процентный 5 28 2 2 4" xfId="38128"/>
    <cellStyle name="Процентный 5 28 2 3" xfId="11424"/>
    <cellStyle name="Процентный 5 28 2 3 2" xfId="43468"/>
    <cellStyle name="Процентный 5 28 2 4" xfId="22105"/>
    <cellStyle name="Процентный 5 28 2 4 2" xfId="54148"/>
    <cellStyle name="Процентный 5 28 2 5" xfId="32788"/>
    <cellStyle name="Процентный 5 28 3" xfId="5617"/>
    <cellStyle name="Процентный 5 28 3 2" xfId="16297"/>
    <cellStyle name="Процентный 5 28 3 2 2" xfId="48341"/>
    <cellStyle name="Процентный 5 28 3 3" xfId="26978"/>
    <cellStyle name="Процентный 5 28 3 3 2" xfId="59021"/>
    <cellStyle name="Процентный 5 28 3 4" xfId="37661"/>
    <cellStyle name="Процентный 5 28 4" xfId="10957"/>
    <cellStyle name="Процентный 5 28 4 2" xfId="43001"/>
    <cellStyle name="Процентный 5 28 5" xfId="21638"/>
    <cellStyle name="Процентный 5 28 5 2" xfId="53681"/>
    <cellStyle name="Процентный 5 28 6" xfId="32321"/>
    <cellStyle name="Процентный 5 29" xfId="283"/>
    <cellStyle name="Процентный 5 29 2" xfId="751"/>
    <cellStyle name="Процентный 5 29 2 2" xfId="6094"/>
    <cellStyle name="Процентный 5 29 2 2 2" xfId="16774"/>
    <cellStyle name="Процентный 5 29 2 2 2 2" xfId="48818"/>
    <cellStyle name="Процентный 5 29 2 2 3" xfId="27455"/>
    <cellStyle name="Процентный 5 29 2 2 3 2" xfId="59498"/>
    <cellStyle name="Процентный 5 29 2 2 4" xfId="38138"/>
    <cellStyle name="Процентный 5 29 2 3" xfId="11434"/>
    <cellStyle name="Процентный 5 29 2 3 2" xfId="43478"/>
    <cellStyle name="Процентный 5 29 2 4" xfId="22115"/>
    <cellStyle name="Процентный 5 29 2 4 2" xfId="54158"/>
    <cellStyle name="Процентный 5 29 2 5" xfId="32798"/>
    <cellStyle name="Процентный 5 29 3" xfId="5627"/>
    <cellStyle name="Процентный 5 29 3 2" xfId="16307"/>
    <cellStyle name="Процентный 5 29 3 2 2" xfId="48351"/>
    <cellStyle name="Процентный 5 29 3 3" xfId="26988"/>
    <cellStyle name="Процентный 5 29 3 3 2" xfId="59031"/>
    <cellStyle name="Процентный 5 29 3 4" xfId="37671"/>
    <cellStyle name="Процентный 5 29 4" xfId="10967"/>
    <cellStyle name="Процентный 5 29 4 2" xfId="43011"/>
    <cellStyle name="Процентный 5 29 5" xfId="21648"/>
    <cellStyle name="Процентный 5 29 5 2" xfId="53691"/>
    <cellStyle name="Процентный 5 29 6" xfId="32331"/>
    <cellStyle name="Процентный 5 3" xfId="57"/>
    <cellStyle name="Процентный 5 3 10" xfId="1159"/>
    <cellStyle name="Процентный 5 3 10 2" xfId="6502"/>
    <cellStyle name="Процентный 5 3 10 2 2" xfId="17182"/>
    <cellStyle name="Процентный 5 3 10 2 2 2" xfId="49226"/>
    <cellStyle name="Процентный 5 3 10 2 3" xfId="27863"/>
    <cellStyle name="Процентный 5 3 10 2 3 2" xfId="59906"/>
    <cellStyle name="Процентный 5 3 10 2 4" xfId="38546"/>
    <cellStyle name="Процентный 5 3 10 3" xfId="11842"/>
    <cellStyle name="Процентный 5 3 10 3 2" xfId="43886"/>
    <cellStyle name="Процентный 5 3 10 4" xfId="22523"/>
    <cellStyle name="Процентный 5 3 10 4 2" xfId="54566"/>
    <cellStyle name="Процентный 5 3 10 5" xfId="33206"/>
    <cellStyle name="Процентный 5 3 100" xfId="3819"/>
    <cellStyle name="Процентный 5 3 100 2" xfId="9160"/>
    <cellStyle name="Процентный 5 3 100 2 2" xfId="19840"/>
    <cellStyle name="Процентный 5 3 100 2 2 2" xfId="51884"/>
    <cellStyle name="Процентный 5 3 100 2 3" xfId="30521"/>
    <cellStyle name="Процентный 5 3 100 2 3 2" xfId="62564"/>
    <cellStyle name="Процентный 5 3 100 2 4" xfId="41204"/>
    <cellStyle name="Процентный 5 3 100 3" xfId="14500"/>
    <cellStyle name="Процентный 5 3 100 3 2" xfId="46544"/>
    <cellStyle name="Процентный 5 3 100 4" xfId="25181"/>
    <cellStyle name="Процентный 5 3 100 4 2" xfId="57224"/>
    <cellStyle name="Процентный 5 3 100 5" xfId="35864"/>
    <cellStyle name="Процентный 5 3 101" xfId="3851"/>
    <cellStyle name="Процентный 5 3 101 2" xfId="9192"/>
    <cellStyle name="Процентный 5 3 101 2 2" xfId="19872"/>
    <cellStyle name="Процентный 5 3 101 2 2 2" xfId="51916"/>
    <cellStyle name="Процентный 5 3 101 2 3" xfId="30553"/>
    <cellStyle name="Процентный 5 3 101 2 3 2" xfId="62596"/>
    <cellStyle name="Процентный 5 3 101 2 4" xfId="41236"/>
    <cellStyle name="Процентный 5 3 101 3" xfId="14532"/>
    <cellStyle name="Процентный 5 3 101 3 2" xfId="46576"/>
    <cellStyle name="Процентный 5 3 101 4" xfId="25213"/>
    <cellStyle name="Процентный 5 3 101 4 2" xfId="57256"/>
    <cellStyle name="Процентный 5 3 101 5" xfId="35896"/>
    <cellStyle name="Процентный 5 3 102" xfId="3883"/>
    <cellStyle name="Процентный 5 3 102 2" xfId="9224"/>
    <cellStyle name="Процентный 5 3 102 2 2" xfId="19904"/>
    <cellStyle name="Процентный 5 3 102 2 2 2" xfId="51948"/>
    <cellStyle name="Процентный 5 3 102 2 3" xfId="30585"/>
    <cellStyle name="Процентный 5 3 102 2 3 2" xfId="62628"/>
    <cellStyle name="Процентный 5 3 102 2 4" xfId="41268"/>
    <cellStyle name="Процентный 5 3 102 3" xfId="14564"/>
    <cellStyle name="Процентный 5 3 102 3 2" xfId="46608"/>
    <cellStyle name="Процентный 5 3 102 4" xfId="25245"/>
    <cellStyle name="Процентный 5 3 102 4 2" xfId="57288"/>
    <cellStyle name="Процентный 5 3 102 5" xfId="35928"/>
    <cellStyle name="Процентный 5 3 103" xfId="3915"/>
    <cellStyle name="Процентный 5 3 103 2" xfId="9256"/>
    <cellStyle name="Процентный 5 3 103 2 2" xfId="19936"/>
    <cellStyle name="Процентный 5 3 103 2 2 2" xfId="51980"/>
    <cellStyle name="Процентный 5 3 103 2 3" xfId="30617"/>
    <cellStyle name="Процентный 5 3 103 2 3 2" xfId="62660"/>
    <cellStyle name="Процентный 5 3 103 2 4" xfId="41300"/>
    <cellStyle name="Процентный 5 3 103 3" xfId="14596"/>
    <cellStyle name="Процентный 5 3 103 3 2" xfId="46640"/>
    <cellStyle name="Процентный 5 3 103 4" xfId="25277"/>
    <cellStyle name="Процентный 5 3 103 4 2" xfId="57320"/>
    <cellStyle name="Процентный 5 3 103 5" xfId="35960"/>
    <cellStyle name="Процентный 5 3 104" xfId="3947"/>
    <cellStyle name="Процентный 5 3 104 2" xfId="9288"/>
    <cellStyle name="Процентный 5 3 104 2 2" xfId="19968"/>
    <cellStyle name="Процентный 5 3 104 2 2 2" xfId="52012"/>
    <cellStyle name="Процентный 5 3 104 2 3" xfId="30649"/>
    <cellStyle name="Процентный 5 3 104 2 3 2" xfId="62692"/>
    <cellStyle name="Процентный 5 3 104 2 4" xfId="41332"/>
    <cellStyle name="Процентный 5 3 104 3" xfId="14628"/>
    <cellStyle name="Процентный 5 3 104 3 2" xfId="46672"/>
    <cellStyle name="Процентный 5 3 104 4" xfId="25309"/>
    <cellStyle name="Процентный 5 3 104 4 2" xfId="57352"/>
    <cellStyle name="Процентный 5 3 104 5" xfId="35992"/>
    <cellStyle name="Процентный 5 3 105" xfId="3979"/>
    <cellStyle name="Процентный 5 3 105 2" xfId="9320"/>
    <cellStyle name="Процентный 5 3 105 2 2" xfId="20000"/>
    <cellStyle name="Процентный 5 3 105 2 2 2" xfId="52044"/>
    <cellStyle name="Процентный 5 3 105 2 3" xfId="30681"/>
    <cellStyle name="Процентный 5 3 105 2 3 2" xfId="62724"/>
    <cellStyle name="Процентный 5 3 105 2 4" xfId="41364"/>
    <cellStyle name="Процентный 5 3 105 3" xfId="14660"/>
    <cellStyle name="Процентный 5 3 105 3 2" xfId="46704"/>
    <cellStyle name="Процентный 5 3 105 4" xfId="25341"/>
    <cellStyle name="Процентный 5 3 105 4 2" xfId="57384"/>
    <cellStyle name="Процентный 5 3 105 5" xfId="36024"/>
    <cellStyle name="Процентный 5 3 106" xfId="4011"/>
    <cellStyle name="Процентный 5 3 106 2" xfId="9352"/>
    <cellStyle name="Процентный 5 3 106 2 2" xfId="20032"/>
    <cellStyle name="Процентный 5 3 106 2 2 2" xfId="52076"/>
    <cellStyle name="Процентный 5 3 106 2 3" xfId="30713"/>
    <cellStyle name="Процентный 5 3 106 2 3 2" xfId="62756"/>
    <cellStyle name="Процентный 5 3 106 2 4" xfId="41396"/>
    <cellStyle name="Процентный 5 3 106 3" xfId="14692"/>
    <cellStyle name="Процентный 5 3 106 3 2" xfId="46736"/>
    <cellStyle name="Процентный 5 3 106 4" xfId="25373"/>
    <cellStyle name="Процентный 5 3 106 4 2" xfId="57416"/>
    <cellStyle name="Процентный 5 3 106 5" xfId="36056"/>
    <cellStyle name="Процентный 5 3 107" xfId="4043"/>
    <cellStyle name="Процентный 5 3 107 2" xfId="9384"/>
    <cellStyle name="Процентный 5 3 107 2 2" xfId="20064"/>
    <cellStyle name="Процентный 5 3 107 2 2 2" xfId="52108"/>
    <cellStyle name="Процентный 5 3 107 2 3" xfId="30745"/>
    <cellStyle name="Процентный 5 3 107 2 3 2" xfId="62788"/>
    <cellStyle name="Процентный 5 3 107 2 4" xfId="41428"/>
    <cellStyle name="Процентный 5 3 107 3" xfId="14724"/>
    <cellStyle name="Процентный 5 3 107 3 2" xfId="46768"/>
    <cellStyle name="Процентный 5 3 107 4" xfId="25405"/>
    <cellStyle name="Процентный 5 3 107 4 2" xfId="57448"/>
    <cellStyle name="Процентный 5 3 107 5" xfId="36088"/>
    <cellStyle name="Процентный 5 3 108" xfId="4075"/>
    <cellStyle name="Процентный 5 3 108 2" xfId="9416"/>
    <cellStyle name="Процентный 5 3 108 2 2" xfId="20096"/>
    <cellStyle name="Процентный 5 3 108 2 2 2" xfId="52140"/>
    <cellStyle name="Процентный 5 3 108 2 3" xfId="30777"/>
    <cellStyle name="Процентный 5 3 108 2 3 2" xfId="62820"/>
    <cellStyle name="Процентный 5 3 108 2 4" xfId="41460"/>
    <cellStyle name="Процентный 5 3 108 3" xfId="14756"/>
    <cellStyle name="Процентный 5 3 108 3 2" xfId="46800"/>
    <cellStyle name="Процентный 5 3 108 4" xfId="25437"/>
    <cellStyle name="Процентный 5 3 108 4 2" xfId="57480"/>
    <cellStyle name="Процентный 5 3 108 5" xfId="36120"/>
    <cellStyle name="Процентный 5 3 109" xfId="4107"/>
    <cellStyle name="Процентный 5 3 109 2" xfId="9448"/>
    <cellStyle name="Процентный 5 3 109 2 2" xfId="20128"/>
    <cellStyle name="Процентный 5 3 109 2 2 2" xfId="52172"/>
    <cellStyle name="Процентный 5 3 109 2 3" xfId="30809"/>
    <cellStyle name="Процентный 5 3 109 2 3 2" xfId="62852"/>
    <cellStyle name="Процентный 5 3 109 2 4" xfId="41492"/>
    <cellStyle name="Процентный 5 3 109 3" xfId="14788"/>
    <cellStyle name="Процентный 5 3 109 3 2" xfId="46832"/>
    <cellStyle name="Процентный 5 3 109 4" xfId="25469"/>
    <cellStyle name="Процентный 5 3 109 4 2" xfId="57512"/>
    <cellStyle name="Процентный 5 3 109 5" xfId="36152"/>
    <cellStyle name="Процентный 5 3 11" xfId="1185"/>
    <cellStyle name="Процентный 5 3 11 2" xfId="6528"/>
    <cellStyle name="Процентный 5 3 11 2 2" xfId="17208"/>
    <cellStyle name="Процентный 5 3 11 2 2 2" xfId="49252"/>
    <cellStyle name="Процентный 5 3 11 2 3" xfId="27889"/>
    <cellStyle name="Процентный 5 3 11 2 3 2" xfId="59932"/>
    <cellStyle name="Процентный 5 3 11 2 4" xfId="38572"/>
    <cellStyle name="Процентный 5 3 11 3" xfId="11868"/>
    <cellStyle name="Процентный 5 3 11 3 2" xfId="43912"/>
    <cellStyle name="Процентный 5 3 11 4" xfId="22549"/>
    <cellStyle name="Процентный 5 3 11 4 2" xfId="54592"/>
    <cellStyle name="Процентный 5 3 11 5" xfId="33232"/>
    <cellStyle name="Процентный 5 3 110" xfId="4139"/>
    <cellStyle name="Процентный 5 3 110 2" xfId="9480"/>
    <cellStyle name="Процентный 5 3 110 2 2" xfId="20160"/>
    <cellStyle name="Процентный 5 3 110 2 2 2" xfId="52204"/>
    <cellStyle name="Процентный 5 3 110 2 3" xfId="30841"/>
    <cellStyle name="Процентный 5 3 110 2 3 2" xfId="62884"/>
    <cellStyle name="Процентный 5 3 110 2 4" xfId="41524"/>
    <cellStyle name="Процентный 5 3 110 3" xfId="14820"/>
    <cellStyle name="Процентный 5 3 110 3 2" xfId="46864"/>
    <cellStyle name="Процентный 5 3 110 4" xfId="25501"/>
    <cellStyle name="Процентный 5 3 110 4 2" xfId="57544"/>
    <cellStyle name="Процентный 5 3 110 5" xfId="36184"/>
    <cellStyle name="Процентный 5 3 111" xfId="4171"/>
    <cellStyle name="Процентный 5 3 111 2" xfId="9512"/>
    <cellStyle name="Процентный 5 3 111 2 2" xfId="20192"/>
    <cellStyle name="Процентный 5 3 111 2 2 2" xfId="52236"/>
    <cellStyle name="Процентный 5 3 111 2 3" xfId="30873"/>
    <cellStyle name="Процентный 5 3 111 2 3 2" xfId="62916"/>
    <cellStyle name="Процентный 5 3 111 2 4" xfId="41556"/>
    <cellStyle name="Процентный 5 3 111 3" xfId="14852"/>
    <cellStyle name="Процентный 5 3 111 3 2" xfId="46896"/>
    <cellStyle name="Процентный 5 3 111 4" xfId="25533"/>
    <cellStyle name="Процентный 5 3 111 4 2" xfId="57576"/>
    <cellStyle name="Процентный 5 3 111 5" xfId="36216"/>
    <cellStyle name="Процентный 5 3 112" xfId="4203"/>
    <cellStyle name="Процентный 5 3 112 2" xfId="9544"/>
    <cellStyle name="Процентный 5 3 112 2 2" xfId="20224"/>
    <cellStyle name="Процентный 5 3 112 2 2 2" xfId="52268"/>
    <cellStyle name="Процентный 5 3 112 2 3" xfId="30905"/>
    <cellStyle name="Процентный 5 3 112 2 3 2" xfId="62948"/>
    <cellStyle name="Процентный 5 3 112 2 4" xfId="41588"/>
    <cellStyle name="Процентный 5 3 112 3" xfId="14884"/>
    <cellStyle name="Процентный 5 3 112 3 2" xfId="46928"/>
    <cellStyle name="Процентный 5 3 112 4" xfId="25565"/>
    <cellStyle name="Процентный 5 3 112 4 2" xfId="57608"/>
    <cellStyle name="Процентный 5 3 112 5" xfId="36248"/>
    <cellStyle name="Процентный 5 3 113" xfId="4235"/>
    <cellStyle name="Процентный 5 3 113 2" xfId="9576"/>
    <cellStyle name="Процентный 5 3 113 2 2" xfId="20256"/>
    <cellStyle name="Процентный 5 3 113 2 2 2" xfId="52300"/>
    <cellStyle name="Процентный 5 3 113 2 3" xfId="30937"/>
    <cellStyle name="Процентный 5 3 113 2 3 2" xfId="62980"/>
    <cellStyle name="Процентный 5 3 113 2 4" xfId="41620"/>
    <cellStyle name="Процентный 5 3 113 3" xfId="14916"/>
    <cellStyle name="Процентный 5 3 113 3 2" xfId="46960"/>
    <cellStyle name="Процентный 5 3 113 4" xfId="25597"/>
    <cellStyle name="Процентный 5 3 113 4 2" xfId="57640"/>
    <cellStyle name="Процентный 5 3 113 5" xfId="36280"/>
    <cellStyle name="Процентный 5 3 114" xfId="4267"/>
    <cellStyle name="Процентный 5 3 114 2" xfId="9608"/>
    <cellStyle name="Процентный 5 3 114 2 2" xfId="20288"/>
    <cellStyle name="Процентный 5 3 114 2 2 2" xfId="52332"/>
    <cellStyle name="Процентный 5 3 114 2 3" xfId="30969"/>
    <cellStyle name="Процентный 5 3 114 2 3 2" xfId="63012"/>
    <cellStyle name="Процентный 5 3 114 2 4" xfId="41652"/>
    <cellStyle name="Процентный 5 3 114 3" xfId="14948"/>
    <cellStyle name="Процентный 5 3 114 3 2" xfId="46992"/>
    <cellStyle name="Процентный 5 3 114 4" xfId="25629"/>
    <cellStyle name="Процентный 5 3 114 4 2" xfId="57672"/>
    <cellStyle name="Процентный 5 3 114 5" xfId="36312"/>
    <cellStyle name="Процентный 5 3 115" xfId="4299"/>
    <cellStyle name="Процентный 5 3 115 2" xfId="9640"/>
    <cellStyle name="Процентный 5 3 115 2 2" xfId="20320"/>
    <cellStyle name="Процентный 5 3 115 2 2 2" xfId="52364"/>
    <cellStyle name="Процентный 5 3 115 2 3" xfId="31001"/>
    <cellStyle name="Процентный 5 3 115 2 3 2" xfId="63044"/>
    <cellStyle name="Процентный 5 3 115 2 4" xfId="41684"/>
    <cellStyle name="Процентный 5 3 115 3" xfId="14980"/>
    <cellStyle name="Процентный 5 3 115 3 2" xfId="47024"/>
    <cellStyle name="Процентный 5 3 115 4" xfId="25661"/>
    <cellStyle name="Процентный 5 3 115 4 2" xfId="57704"/>
    <cellStyle name="Процентный 5 3 115 5" xfId="36344"/>
    <cellStyle name="Процентный 5 3 116" xfId="4331"/>
    <cellStyle name="Процентный 5 3 116 2" xfId="9672"/>
    <cellStyle name="Процентный 5 3 116 2 2" xfId="20352"/>
    <cellStyle name="Процентный 5 3 116 2 2 2" xfId="52396"/>
    <cellStyle name="Процентный 5 3 116 2 3" xfId="31033"/>
    <cellStyle name="Процентный 5 3 116 2 3 2" xfId="63076"/>
    <cellStyle name="Процентный 5 3 116 2 4" xfId="41716"/>
    <cellStyle name="Процентный 5 3 116 3" xfId="15012"/>
    <cellStyle name="Процентный 5 3 116 3 2" xfId="47056"/>
    <cellStyle name="Процентный 5 3 116 4" xfId="25693"/>
    <cellStyle name="Процентный 5 3 116 4 2" xfId="57736"/>
    <cellStyle name="Процентный 5 3 116 5" xfId="36376"/>
    <cellStyle name="Процентный 5 3 117" xfId="4363"/>
    <cellStyle name="Процентный 5 3 117 2" xfId="9704"/>
    <cellStyle name="Процентный 5 3 117 2 2" xfId="20384"/>
    <cellStyle name="Процентный 5 3 117 2 2 2" xfId="52428"/>
    <cellStyle name="Процентный 5 3 117 2 3" xfId="31065"/>
    <cellStyle name="Процентный 5 3 117 2 3 2" xfId="63108"/>
    <cellStyle name="Процентный 5 3 117 2 4" xfId="41748"/>
    <cellStyle name="Процентный 5 3 117 3" xfId="15044"/>
    <cellStyle name="Процентный 5 3 117 3 2" xfId="47088"/>
    <cellStyle name="Процентный 5 3 117 4" xfId="25725"/>
    <cellStyle name="Процентный 5 3 117 4 2" xfId="57768"/>
    <cellStyle name="Процентный 5 3 117 5" xfId="36408"/>
    <cellStyle name="Процентный 5 3 118" xfId="4395"/>
    <cellStyle name="Процентный 5 3 118 2" xfId="9736"/>
    <cellStyle name="Процентный 5 3 118 2 2" xfId="20416"/>
    <cellStyle name="Процентный 5 3 118 2 2 2" xfId="52460"/>
    <cellStyle name="Процентный 5 3 118 2 3" xfId="31097"/>
    <cellStyle name="Процентный 5 3 118 2 3 2" xfId="63140"/>
    <cellStyle name="Процентный 5 3 118 2 4" xfId="41780"/>
    <cellStyle name="Процентный 5 3 118 3" xfId="15076"/>
    <cellStyle name="Процентный 5 3 118 3 2" xfId="47120"/>
    <cellStyle name="Процентный 5 3 118 4" xfId="25757"/>
    <cellStyle name="Процентный 5 3 118 4 2" xfId="57800"/>
    <cellStyle name="Процентный 5 3 118 5" xfId="36440"/>
    <cellStyle name="Процентный 5 3 119" xfId="4427"/>
    <cellStyle name="Процентный 5 3 119 2" xfId="9768"/>
    <cellStyle name="Процентный 5 3 119 2 2" xfId="20448"/>
    <cellStyle name="Процентный 5 3 119 2 2 2" xfId="52492"/>
    <cellStyle name="Процентный 5 3 119 2 3" xfId="31129"/>
    <cellStyle name="Процентный 5 3 119 2 3 2" xfId="63172"/>
    <cellStyle name="Процентный 5 3 119 2 4" xfId="41812"/>
    <cellStyle name="Процентный 5 3 119 3" xfId="15108"/>
    <cellStyle name="Процентный 5 3 119 3 2" xfId="47152"/>
    <cellStyle name="Процентный 5 3 119 4" xfId="25789"/>
    <cellStyle name="Процентный 5 3 119 4 2" xfId="57832"/>
    <cellStyle name="Процентный 5 3 119 5" xfId="36472"/>
    <cellStyle name="Процентный 5 3 12" xfId="1211"/>
    <cellStyle name="Процентный 5 3 12 2" xfId="6554"/>
    <cellStyle name="Процентный 5 3 12 2 2" xfId="17234"/>
    <cellStyle name="Процентный 5 3 12 2 2 2" xfId="49278"/>
    <cellStyle name="Процентный 5 3 12 2 3" xfId="27915"/>
    <cellStyle name="Процентный 5 3 12 2 3 2" xfId="59958"/>
    <cellStyle name="Процентный 5 3 12 2 4" xfId="38598"/>
    <cellStyle name="Процентный 5 3 12 3" xfId="11894"/>
    <cellStyle name="Процентный 5 3 12 3 2" xfId="43938"/>
    <cellStyle name="Процентный 5 3 12 4" xfId="22575"/>
    <cellStyle name="Процентный 5 3 12 4 2" xfId="54618"/>
    <cellStyle name="Процентный 5 3 12 5" xfId="33258"/>
    <cellStyle name="Процентный 5 3 120" xfId="4459"/>
    <cellStyle name="Процентный 5 3 120 2" xfId="9800"/>
    <cellStyle name="Процентный 5 3 120 2 2" xfId="20480"/>
    <cellStyle name="Процентный 5 3 120 2 2 2" xfId="52524"/>
    <cellStyle name="Процентный 5 3 120 2 3" xfId="31161"/>
    <cellStyle name="Процентный 5 3 120 2 3 2" xfId="63204"/>
    <cellStyle name="Процентный 5 3 120 2 4" xfId="41844"/>
    <cellStyle name="Процентный 5 3 120 3" xfId="15140"/>
    <cellStyle name="Процентный 5 3 120 3 2" xfId="47184"/>
    <cellStyle name="Процентный 5 3 120 4" xfId="25821"/>
    <cellStyle name="Процентный 5 3 120 4 2" xfId="57864"/>
    <cellStyle name="Процентный 5 3 120 5" xfId="36504"/>
    <cellStyle name="Процентный 5 3 121" xfId="4491"/>
    <cellStyle name="Процентный 5 3 121 2" xfId="9832"/>
    <cellStyle name="Процентный 5 3 121 2 2" xfId="20512"/>
    <cellStyle name="Процентный 5 3 121 2 2 2" xfId="52556"/>
    <cellStyle name="Процентный 5 3 121 2 3" xfId="31193"/>
    <cellStyle name="Процентный 5 3 121 2 3 2" xfId="63236"/>
    <cellStyle name="Процентный 5 3 121 2 4" xfId="41876"/>
    <cellStyle name="Процентный 5 3 121 3" xfId="15172"/>
    <cellStyle name="Процентный 5 3 121 3 2" xfId="47216"/>
    <cellStyle name="Процентный 5 3 121 4" xfId="25853"/>
    <cellStyle name="Процентный 5 3 121 4 2" xfId="57896"/>
    <cellStyle name="Процентный 5 3 121 5" xfId="36536"/>
    <cellStyle name="Процентный 5 3 122" xfId="4523"/>
    <cellStyle name="Процентный 5 3 122 2" xfId="9864"/>
    <cellStyle name="Процентный 5 3 122 2 2" xfId="20544"/>
    <cellStyle name="Процентный 5 3 122 2 2 2" xfId="52588"/>
    <cellStyle name="Процентный 5 3 122 2 3" xfId="31225"/>
    <cellStyle name="Процентный 5 3 122 2 3 2" xfId="63268"/>
    <cellStyle name="Процентный 5 3 122 2 4" xfId="41908"/>
    <cellStyle name="Процентный 5 3 122 3" xfId="15204"/>
    <cellStyle name="Процентный 5 3 122 3 2" xfId="47248"/>
    <cellStyle name="Процентный 5 3 122 4" xfId="25885"/>
    <cellStyle name="Процентный 5 3 122 4 2" xfId="57928"/>
    <cellStyle name="Процентный 5 3 122 5" xfId="36568"/>
    <cellStyle name="Процентный 5 3 123" xfId="4555"/>
    <cellStyle name="Процентный 5 3 123 2" xfId="9896"/>
    <cellStyle name="Процентный 5 3 123 2 2" xfId="20576"/>
    <cellStyle name="Процентный 5 3 123 2 2 2" xfId="52620"/>
    <cellStyle name="Процентный 5 3 123 2 3" xfId="31257"/>
    <cellStyle name="Процентный 5 3 123 2 3 2" xfId="63300"/>
    <cellStyle name="Процентный 5 3 123 2 4" xfId="41940"/>
    <cellStyle name="Процентный 5 3 123 3" xfId="15236"/>
    <cellStyle name="Процентный 5 3 123 3 2" xfId="47280"/>
    <cellStyle name="Процентный 5 3 123 4" xfId="25917"/>
    <cellStyle name="Процентный 5 3 123 4 2" xfId="57960"/>
    <cellStyle name="Процентный 5 3 123 5" xfId="36600"/>
    <cellStyle name="Процентный 5 3 124" xfId="4587"/>
    <cellStyle name="Процентный 5 3 124 2" xfId="9928"/>
    <cellStyle name="Процентный 5 3 124 2 2" xfId="20608"/>
    <cellStyle name="Процентный 5 3 124 2 2 2" xfId="52652"/>
    <cellStyle name="Процентный 5 3 124 2 3" xfId="31289"/>
    <cellStyle name="Процентный 5 3 124 2 3 2" xfId="63332"/>
    <cellStyle name="Процентный 5 3 124 2 4" xfId="41972"/>
    <cellStyle name="Процентный 5 3 124 3" xfId="15268"/>
    <cellStyle name="Процентный 5 3 124 3 2" xfId="47312"/>
    <cellStyle name="Процентный 5 3 124 4" xfId="25949"/>
    <cellStyle name="Процентный 5 3 124 4 2" xfId="57992"/>
    <cellStyle name="Процентный 5 3 124 5" xfId="36632"/>
    <cellStyle name="Процентный 5 3 125" xfId="4619"/>
    <cellStyle name="Процентный 5 3 125 2" xfId="9960"/>
    <cellStyle name="Процентный 5 3 125 2 2" xfId="20640"/>
    <cellStyle name="Процентный 5 3 125 2 2 2" xfId="52684"/>
    <cellStyle name="Процентный 5 3 125 2 3" xfId="31321"/>
    <cellStyle name="Процентный 5 3 125 2 3 2" xfId="63364"/>
    <cellStyle name="Процентный 5 3 125 2 4" xfId="42004"/>
    <cellStyle name="Процентный 5 3 125 3" xfId="15300"/>
    <cellStyle name="Процентный 5 3 125 3 2" xfId="47344"/>
    <cellStyle name="Процентный 5 3 125 4" xfId="25981"/>
    <cellStyle name="Процентный 5 3 125 4 2" xfId="58024"/>
    <cellStyle name="Процентный 5 3 125 5" xfId="36664"/>
    <cellStyle name="Процентный 5 3 126" xfId="4651"/>
    <cellStyle name="Процентный 5 3 126 2" xfId="9992"/>
    <cellStyle name="Процентный 5 3 126 2 2" xfId="20672"/>
    <cellStyle name="Процентный 5 3 126 2 2 2" xfId="52716"/>
    <cellStyle name="Процентный 5 3 126 2 3" xfId="31353"/>
    <cellStyle name="Процентный 5 3 126 2 3 2" xfId="63396"/>
    <cellStyle name="Процентный 5 3 126 2 4" xfId="42036"/>
    <cellStyle name="Процентный 5 3 126 3" xfId="15332"/>
    <cellStyle name="Процентный 5 3 126 3 2" xfId="47376"/>
    <cellStyle name="Процентный 5 3 126 4" xfId="26013"/>
    <cellStyle name="Процентный 5 3 126 4 2" xfId="58056"/>
    <cellStyle name="Процентный 5 3 126 5" xfId="36696"/>
    <cellStyle name="Процентный 5 3 127" xfId="4683"/>
    <cellStyle name="Процентный 5 3 127 2" xfId="10024"/>
    <cellStyle name="Процентный 5 3 127 2 2" xfId="20704"/>
    <cellStyle name="Процентный 5 3 127 2 2 2" xfId="52748"/>
    <cellStyle name="Процентный 5 3 127 2 3" xfId="31385"/>
    <cellStyle name="Процентный 5 3 127 2 3 2" xfId="63428"/>
    <cellStyle name="Процентный 5 3 127 2 4" xfId="42068"/>
    <cellStyle name="Процентный 5 3 127 3" xfId="15364"/>
    <cellStyle name="Процентный 5 3 127 3 2" xfId="47408"/>
    <cellStyle name="Процентный 5 3 127 4" xfId="26045"/>
    <cellStyle name="Процентный 5 3 127 4 2" xfId="58088"/>
    <cellStyle name="Процентный 5 3 127 5" xfId="36728"/>
    <cellStyle name="Процентный 5 3 128" xfId="4717"/>
    <cellStyle name="Процентный 5 3 128 2" xfId="10058"/>
    <cellStyle name="Процентный 5 3 128 2 2" xfId="20738"/>
    <cellStyle name="Процентный 5 3 128 2 2 2" xfId="52782"/>
    <cellStyle name="Процентный 5 3 128 2 3" xfId="31419"/>
    <cellStyle name="Процентный 5 3 128 2 3 2" xfId="63462"/>
    <cellStyle name="Процентный 5 3 128 2 4" xfId="42102"/>
    <cellStyle name="Процентный 5 3 128 3" xfId="15398"/>
    <cellStyle name="Процентный 5 3 128 3 2" xfId="47442"/>
    <cellStyle name="Процентный 5 3 128 4" xfId="26079"/>
    <cellStyle name="Процентный 5 3 128 4 2" xfId="58122"/>
    <cellStyle name="Процентный 5 3 128 5" xfId="36762"/>
    <cellStyle name="Процентный 5 3 129" xfId="4749"/>
    <cellStyle name="Процентный 5 3 129 2" xfId="10090"/>
    <cellStyle name="Процентный 5 3 129 2 2" xfId="20770"/>
    <cellStyle name="Процентный 5 3 129 2 2 2" xfId="52814"/>
    <cellStyle name="Процентный 5 3 129 2 3" xfId="31451"/>
    <cellStyle name="Процентный 5 3 129 2 3 2" xfId="63494"/>
    <cellStyle name="Процентный 5 3 129 2 4" xfId="42134"/>
    <cellStyle name="Процентный 5 3 129 3" xfId="15430"/>
    <cellStyle name="Процентный 5 3 129 3 2" xfId="47474"/>
    <cellStyle name="Процентный 5 3 129 4" xfId="26111"/>
    <cellStyle name="Процентный 5 3 129 4 2" xfId="58154"/>
    <cellStyle name="Процентный 5 3 129 5" xfId="36794"/>
    <cellStyle name="Процентный 5 3 13" xfId="1237"/>
    <cellStyle name="Процентный 5 3 13 2" xfId="6580"/>
    <cellStyle name="Процентный 5 3 13 2 2" xfId="17260"/>
    <cellStyle name="Процентный 5 3 13 2 2 2" xfId="49304"/>
    <cellStyle name="Процентный 5 3 13 2 3" xfId="27941"/>
    <cellStyle name="Процентный 5 3 13 2 3 2" xfId="59984"/>
    <cellStyle name="Процентный 5 3 13 2 4" xfId="38624"/>
    <cellStyle name="Процентный 5 3 13 3" xfId="11920"/>
    <cellStyle name="Процентный 5 3 13 3 2" xfId="43964"/>
    <cellStyle name="Процентный 5 3 13 4" xfId="22601"/>
    <cellStyle name="Процентный 5 3 13 4 2" xfId="54644"/>
    <cellStyle name="Процентный 5 3 13 5" xfId="33284"/>
    <cellStyle name="Процентный 5 3 130" xfId="4781"/>
    <cellStyle name="Процентный 5 3 130 2" xfId="10122"/>
    <cellStyle name="Процентный 5 3 130 2 2" xfId="20802"/>
    <cellStyle name="Процентный 5 3 130 2 2 2" xfId="52846"/>
    <cellStyle name="Процентный 5 3 130 2 3" xfId="31483"/>
    <cellStyle name="Процентный 5 3 130 2 3 2" xfId="63526"/>
    <cellStyle name="Процентный 5 3 130 2 4" xfId="42166"/>
    <cellStyle name="Процентный 5 3 130 3" xfId="15462"/>
    <cellStyle name="Процентный 5 3 130 3 2" xfId="47506"/>
    <cellStyle name="Процентный 5 3 130 4" xfId="26143"/>
    <cellStyle name="Процентный 5 3 130 4 2" xfId="58186"/>
    <cellStyle name="Процентный 5 3 130 5" xfId="36826"/>
    <cellStyle name="Процентный 5 3 131" xfId="4813"/>
    <cellStyle name="Процентный 5 3 131 2" xfId="10154"/>
    <cellStyle name="Процентный 5 3 131 2 2" xfId="20834"/>
    <cellStyle name="Процентный 5 3 131 2 2 2" xfId="52878"/>
    <cellStyle name="Процентный 5 3 131 2 3" xfId="31515"/>
    <cellStyle name="Процентный 5 3 131 2 3 2" xfId="63558"/>
    <cellStyle name="Процентный 5 3 131 2 4" xfId="42198"/>
    <cellStyle name="Процентный 5 3 131 3" xfId="15494"/>
    <cellStyle name="Процентный 5 3 131 3 2" xfId="47538"/>
    <cellStyle name="Процентный 5 3 131 4" xfId="26175"/>
    <cellStyle name="Процентный 5 3 131 4 2" xfId="58218"/>
    <cellStyle name="Процентный 5 3 131 5" xfId="36858"/>
    <cellStyle name="Процентный 5 3 132" xfId="4845"/>
    <cellStyle name="Процентный 5 3 132 2" xfId="10186"/>
    <cellStyle name="Процентный 5 3 132 2 2" xfId="20866"/>
    <cellStyle name="Процентный 5 3 132 2 2 2" xfId="52910"/>
    <cellStyle name="Процентный 5 3 132 2 3" xfId="31547"/>
    <cellStyle name="Процентный 5 3 132 2 3 2" xfId="63590"/>
    <cellStyle name="Процентный 5 3 132 2 4" xfId="42230"/>
    <cellStyle name="Процентный 5 3 132 3" xfId="15526"/>
    <cellStyle name="Процентный 5 3 132 3 2" xfId="47570"/>
    <cellStyle name="Процентный 5 3 132 4" xfId="26207"/>
    <cellStyle name="Процентный 5 3 132 4 2" xfId="58250"/>
    <cellStyle name="Процентный 5 3 132 5" xfId="36890"/>
    <cellStyle name="Процентный 5 3 133" xfId="4877"/>
    <cellStyle name="Процентный 5 3 133 2" xfId="10218"/>
    <cellStyle name="Процентный 5 3 133 2 2" xfId="20898"/>
    <cellStyle name="Процентный 5 3 133 2 2 2" xfId="52942"/>
    <cellStyle name="Процентный 5 3 133 2 3" xfId="31579"/>
    <cellStyle name="Процентный 5 3 133 2 3 2" xfId="63622"/>
    <cellStyle name="Процентный 5 3 133 2 4" xfId="42262"/>
    <cellStyle name="Процентный 5 3 133 3" xfId="15558"/>
    <cellStyle name="Процентный 5 3 133 3 2" xfId="47602"/>
    <cellStyle name="Процентный 5 3 133 4" xfId="26239"/>
    <cellStyle name="Процентный 5 3 133 4 2" xfId="58282"/>
    <cellStyle name="Процентный 5 3 133 5" xfId="36922"/>
    <cellStyle name="Процентный 5 3 134" xfId="4909"/>
    <cellStyle name="Процентный 5 3 134 2" xfId="10250"/>
    <cellStyle name="Процентный 5 3 134 2 2" xfId="20930"/>
    <cellStyle name="Процентный 5 3 134 2 2 2" xfId="52974"/>
    <cellStyle name="Процентный 5 3 134 2 3" xfId="31611"/>
    <cellStyle name="Процентный 5 3 134 2 3 2" xfId="63654"/>
    <cellStyle name="Процентный 5 3 134 2 4" xfId="42294"/>
    <cellStyle name="Процентный 5 3 134 3" xfId="15590"/>
    <cellStyle name="Процентный 5 3 134 3 2" xfId="47634"/>
    <cellStyle name="Процентный 5 3 134 4" xfId="26271"/>
    <cellStyle name="Процентный 5 3 134 4 2" xfId="58314"/>
    <cellStyle name="Процентный 5 3 134 5" xfId="36954"/>
    <cellStyle name="Процентный 5 3 135" xfId="4941"/>
    <cellStyle name="Процентный 5 3 135 2" xfId="10282"/>
    <cellStyle name="Процентный 5 3 135 2 2" xfId="20962"/>
    <cellStyle name="Процентный 5 3 135 2 2 2" xfId="53006"/>
    <cellStyle name="Процентный 5 3 135 2 3" xfId="31643"/>
    <cellStyle name="Процентный 5 3 135 2 3 2" xfId="63686"/>
    <cellStyle name="Процентный 5 3 135 2 4" xfId="42326"/>
    <cellStyle name="Процентный 5 3 135 3" xfId="15622"/>
    <cellStyle name="Процентный 5 3 135 3 2" xfId="47666"/>
    <cellStyle name="Процентный 5 3 135 4" xfId="26303"/>
    <cellStyle name="Процентный 5 3 135 4 2" xfId="58346"/>
    <cellStyle name="Процентный 5 3 135 5" xfId="36986"/>
    <cellStyle name="Процентный 5 3 136" xfId="4973"/>
    <cellStyle name="Процентный 5 3 136 2" xfId="10314"/>
    <cellStyle name="Процентный 5 3 136 2 2" xfId="20994"/>
    <cellStyle name="Процентный 5 3 136 2 2 2" xfId="53038"/>
    <cellStyle name="Процентный 5 3 136 2 3" xfId="31675"/>
    <cellStyle name="Процентный 5 3 136 2 3 2" xfId="63718"/>
    <cellStyle name="Процентный 5 3 136 2 4" xfId="42358"/>
    <cellStyle name="Процентный 5 3 136 3" xfId="15654"/>
    <cellStyle name="Процентный 5 3 136 3 2" xfId="47698"/>
    <cellStyle name="Процентный 5 3 136 4" xfId="26335"/>
    <cellStyle name="Процентный 5 3 136 4 2" xfId="58378"/>
    <cellStyle name="Процентный 5 3 136 5" xfId="37018"/>
    <cellStyle name="Процентный 5 3 137" xfId="5005"/>
    <cellStyle name="Процентный 5 3 137 2" xfId="10346"/>
    <cellStyle name="Процентный 5 3 137 2 2" xfId="21026"/>
    <cellStyle name="Процентный 5 3 137 2 2 2" xfId="53070"/>
    <cellStyle name="Процентный 5 3 137 2 3" xfId="31707"/>
    <cellStyle name="Процентный 5 3 137 2 3 2" xfId="63750"/>
    <cellStyle name="Процентный 5 3 137 2 4" xfId="42390"/>
    <cellStyle name="Процентный 5 3 137 3" xfId="15686"/>
    <cellStyle name="Процентный 5 3 137 3 2" xfId="47730"/>
    <cellStyle name="Процентный 5 3 137 4" xfId="26367"/>
    <cellStyle name="Процентный 5 3 137 4 2" xfId="58410"/>
    <cellStyle name="Процентный 5 3 137 5" xfId="37050"/>
    <cellStyle name="Процентный 5 3 138" xfId="5037"/>
    <cellStyle name="Процентный 5 3 138 2" xfId="10378"/>
    <cellStyle name="Процентный 5 3 138 2 2" xfId="21058"/>
    <cellStyle name="Процентный 5 3 138 2 2 2" xfId="53102"/>
    <cellStyle name="Процентный 5 3 138 2 3" xfId="31739"/>
    <cellStyle name="Процентный 5 3 138 2 3 2" xfId="63782"/>
    <cellStyle name="Процентный 5 3 138 2 4" xfId="42422"/>
    <cellStyle name="Процентный 5 3 138 3" xfId="15718"/>
    <cellStyle name="Процентный 5 3 138 3 2" xfId="47762"/>
    <cellStyle name="Процентный 5 3 138 4" xfId="26399"/>
    <cellStyle name="Процентный 5 3 138 4 2" xfId="58442"/>
    <cellStyle name="Процентный 5 3 138 5" xfId="37082"/>
    <cellStyle name="Процентный 5 3 139" xfId="5069"/>
    <cellStyle name="Процентный 5 3 139 2" xfId="10410"/>
    <cellStyle name="Процентный 5 3 139 2 2" xfId="21090"/>
    <cellStyle name="Процентный 5 3 139 2 2 2" xfId="53134"/>
    <cellStyle name="Процентный 5 3 139 2 3" xfId="31771"/>
    <cellStyle name="Процентный 5 3 139 2 3 2" xfId="63814"/>
    <cellStyle name="Процентный 5 3 139 2 4" xfId="42454"/>
    <cellStyle name="Процентный 5 3 139 3" xfId="15750"/>
    <cellStyle name="Процентный 5 3 139 3 2" xfId="47794"/>
    <cellStyle name="Процентный 5 3 139 4" xfId="26431"/>
    <cellStyle name="Процентный 5 3 139 4 2" xfId="58474"/>
    <cellStyle name="Процентный 5 3 139 5" xfId="37114"/>
    <cellStyle name="Процентный 5 3 14" xfId="1263"/>
    <cellStyle name="Процентный 5 3 14 2" xfId="6606"/>
    <cellStyle name="Процентный 5 3 14 2 2" xfId="17286"/>
    <cellStyle name="Процентный 5 3 14 2 2 2" xfId="49330"/>
    <cellStyle name="Процентный 5 3 14 2 3" xfId="27967"/>
    <cellStyle name="Процентный 5 3 14 2 3 2" xfId="60010"/>
    <cellStyle name="Процентный 5 3 14 2 4" xfId="38650"/>
    <cellStyle name="Процентный 5 3 14 3" xfId="11946"/>
    <cellStyle name="Процентный 5 3 14 3 2" xfId="43990"/>
    <cellStyle name="Процентный 5 3 14 4" xfId="22627"/>
    <cellStyle name="Процентный 5 3 14 4 2" xfId="54670"/>
    <cellStyle name="Процентный 5 3 14 5" xfId="33310"/>
    <cellStyle name="Процентный 5 3 140" xfId="5101"/>
    <cellStyle name="Процентный 5 3 140 2" xfId="10442"/>
    <cellStyle name="Процентный 5 3 140 2 2" xfId="21122"/>
    <cellStyle name="Процентный 5 3 140 2 2 2" xfId="53166"/>
    <cellStyle name="Процентный 5 3 140 2 3" xfId="31803"/>
    <cellStyle name="Процентный 5 3 140 2 3 2" xfId="63846"/>
    <cellStyle name="Процентный 5 3 140 2 4" xfId="42486"/>
    <cellStyle name="Процентный 5 3 140 3" xfId="15782"/>
    <cellStyle name="Процентный 5 3 140 3 2" xfId="47826"/>
    <cellStyle name="Процентный 5 3 140 4" xfId="26463"/>
    <cellStyle name="Процентный 5 3 140 4 2" xfId="58506"/>
    <cellStyle name="Процентный 5 3 140 5" xfId="37146"/>
    <cellStyle name="Процентный 5 3 141" xfId="5133"/>
    <cellStyle name="Процентный 5 3 141 2" xfId="10474"/>
    <cellStyle name="Процентный 5 3 141 2 2" xfId="21154"/>
    <cellStyle name="Процентный 5 3 141 2 2 2" xfId="53198"/>
    <cellStyle name="Процентный 5 3 141 2 3" xfId="31835"/>
    <cellStyle name="Процентный 5 3 141 2 3 2" xfId="63878"/>
    <cellStyle name="Процентный 5 3 141 2 4" xfId="42518"/>
    <cellStyle name="Процентный 5 3 141 3" xfId="15814"/>
    <cellStyle name="Процентный 5 3 141 3 2" xfId="47858"/>
    <cellStyle name="Процентный 5 3 141 4" xfId="26495"/>
    <cellStyle name="Процентный 5 3 141 4 2" xfId="58538"/>
    <cellStyle name="Процентный 5 3 141 5" xfId="37178"/>
    <cellStyle name="Процентный 5 3 142" xfId="5165"/>
    <cellStyle name="Процентный 5 3 142 2" xfId="10506"/>
    <cellStyle name="Процентный 5 3 142 2 2" xfId="21186"/>
    <cellStyle name="Процентный 5 3 142 2 2 2" xfId="53230"/>
    <cellStyle name="Процентный 5 3 142 2 3" xfId="31867"/>
    <cellStyle name="Процентный 5 3 142 2 3 2" xfId="63910"/>
    <cellStyle name="Процентный 5 3 142 2 4" xfId="42550"/>
    <cellStyle name="Процентный 5 3 142 3" xfId="15846"/>
    <cellStyle name="Процентный 5 3 142 3 2" xfId="47890"/>
    <cellStyle name="Процентный 5 3 142 4" xfId="26527"/>
    <cellStyle name="Процентный 5 3 142 4 2" xfId="58570"/>
    <cellStyle name="Процентный 5 3 142 5" xfId="37210"/>
    <cellStyle name="Процентный 5 3 143" xfId="5197"/>
    <cellStyle name="Процентный 5 3 143 2" xfId="10538"/>
    <cellStyle name="Процентный 5 3 143 2 2" xfId="21218"/>
    <cellStyle name="Процентный 5 3 143 2 2 2" xfId="53262"/>
    <cellStyle name="Процентный 5 3 143 2 3" xfId="31899"/>
    <cellStyle name="Процентный 5 3 143 2 3 2" xfId="63942"/>
    <cellStyle name="Процентный 5 3 143 2 4" xfId="42582"/>
    <cellStyle name="Процентный 5 3 143 3" xfId="15878"/>
    <cellStyle name="Процентный 5 3 143 3 2" xfId="47922"/>
    <cellStyle name="Процентный 5 3 143 4" xfId="26559"/>
    <cellStyle name="Процентный 5 3 143 4 2" xfId="58602"/>
    <cellStyle name="Процентный 5 3 143 5" xfId="37242"/>
    <cellStyle name="Процентный 5 3 144" xfId="5229"/>
    <cellStyle name="Процентный 5 3 144 2" xfId="10570"/>
    <cellStyle name="Процентный 5 3 144 2 2" xfId="21250"/>
    <cellStyle name="Процентный 5 3 144 2 2 2" xfId="53294"/>
    <cellStyle name="Процентный 5 3 144 2 3" xfId="31931"/>
    <cellStyle name="Процентный 5 3 144 2 3 2" xfId="63974"/>
    <cellStyle name="Процентный 5 3 144 2 4" xfId="42614"/>
    <cellStyle name="Процентный 5 3 144 3" xfId="15910"/>
    <cellStyle name="Процентный 5 3 144 3 2" xfId="47954"/>
    <cellStyle name="Процентный 5 3 144 4" xfId="26591"/>
    <cellStyle name="Процентный 5 3 144 4 2" xfId="58634"/>
    <cellStyle name="Процентный 5 3 144 5" xfId="37274"/>
    <cellStyle name="Процентный 5 3 145" xfId="5261"/>
    <cellStyle name="Процентный 5 3 145 2" xfId="10602"/>
    <cellStyle name="Процентный 5 3 145 2 2" xfId="21282"/>
    <cellStyle name="Процентный 5 3 145 2 2 2" xfId="53326"/>
    <cellStyle name="Процентный 5 3 145 2 3" xfId="31963"/>
    <cellStyle name="Процентный 5 3 145 2 3 2" xfId="64006"/>
    <cellStyle name="Процентный 5 3 145 2 4" xfId="42646"/>
    <cellStyle name="Процентный 5 3 145 3" xfId="15942"/>
    <cellStyle name="Процентный 5 3 145 3 2" xfId="47986"/>
    <cellStyle name="Процентный 5 3 145 4" xfId="26623"/>
    <cellStyle name="Процентный 5 3 145 4 2" xfId="58666"/>
    <cellStyle name="Процентный 5 3 145 5" xfId="37306"/>
    <cellStyle name="Процентный 5 3 146" xfId="5293"/>
    <cellStyle name="Процентный 5 3 146 2" xfId="10634"/>
    <cellStyle name="Процентный 5 3 146 2 2" xfId="21314"/>
    <cellStyle name="Процентный 5 3 146 2 2 2" xfId="53358"/>
    <cellStyle name="Процентный 5 3 146 2 3" xfId="31995"/>
    <cellStyle name="Процентный 5 3 146 2 3 2" xfId="64038"/>
    <cellStyle name="Процентный 5 3 146 2 4" xfId="42678"/>
    <cellStyle name="Процентный 5 3 146 3" xfId="15974"/>
    <cellStyle name="Процентный 5 3 146 3 2" xfId="48018"/>
    <cellStyle name="Процентный 5 3 146 4" xfId="26655"/>
    <cellStyle name="Процентный 5 3 146 4 2" xfId="58698"/>
    <cellStyle name="Процентный 5 3 146 5" xfId="37338"/>
    <cellStyle name="Процентный 5 3 147" xfId="5325"/>
    <cellStyle name="Процентный 5 3 147 2" xfId="10666"/>
    <cellStyle name="Процентный 5 3 147 2 2" xfId="21346"/>
    <cellStyle name="Процентный 5 3 147 2 2 2" xfId="53390"/>
    <cellStyle name="Процентный 5 3 147 2 3" xfId="32027"/>
    <cellStyle name="Процентный 5 3 147 2 3 2" xfId="64070"/>
    <cellStyle name="Процентный 5 3 147 2 4" xfId="42710"/>
    <cellStyle name="Процентный 5 3 147 3" xfId="16006"/>
    <cellStyle name="Процентный 5 3 147 3 2" xfId="48050"/>
    <cellStyle name="Процентный 5 3 147 4" xfId="26687"/>
    <cellStyle name="Процентный 5 3 147 4 2" xfId="58730"/>
    <cellStyle name="Процентный 5 3 147 5" xfId="37370"/>
    <cellStyle name="Процентный 5 3 148" xfId="5357"/>
    <cellStyle name="Процентный 5 3 148 2" xfId="10698"/>
    <cellStyle name="Процентный 5 3 148 2 2" xfId="21378"/>
    <cellStyle name="Процентный 5 3 148 2 2 2" xfId="53422"/>
    <cellStyle name="Процентный 5 3 148 2 3" xfId="32059"/>
    <cellStyle name="Процентный 5 3 148 2 3 2" xfId="64102"/>
    <cellStyle name="Процентный 5 3 148 2 4" xfId="42742"/>
    <cellStyle name="Процентный 5 3 148 3" xfId="16038"/>
    <cellStyle name="Процентный 5 3 148 3 2" xfId="48082"/>
    <cellStyle name="Процентный 5 3 148 4" xfId="26719"/>
    <cellStyle name="Процентный 5 3 148 4 2" xfId="58762"/>
    <cellStyle name="Процентный 5 3 148 5" xfId="37402"/>
    <cellStyle name="Процентный 5 3 149" xfId="5401"/>
    <cellStyle name="Процентный 5 3 149 2" xfId="16081"/>
    <cellStyle name="Процентный 5 3 149 2 2" xfId="48125"/>
    <cellStyle name="Процентный 5 3 149 3" xfId="26762"/>
    <cellStyle name="Процентный 5 3 149 3 2" xfId="58805"/>
    <cellStyle name="Процентный 5 3 149 4" xfId="37445"/>
    <cellStyle name="Процентный 5 3 15" xfId="1289"/>
    <cellStyle name="Процентный 5 3 15 2" xfId="6632"/>
    <cellStyle name="Процентный 5 3 15 2 2" xfId="17312"/>
    <cellStyle name="Процентный 5 3 15 2 2 2" xfId="49356"/>
    <cellStyle name="Процентный 5 3 15 2 3" xfId="27993"/>
    <cellStyle name="Процентный 5 3 15 2 3 2" xfId="60036"/>
    <cellStyle name="Процентный 5 3 15 2 4" xfId="38676"/>
    <cellStyle name="Процентный 5 3 15 3" xfId="11972"/>
    <cellStyle name="Процентный 5 3 15 3 2" xfId="44016"/>
    <cellStyle name="Процентный 5 3 15 4" xfId="22653"/>
    <cellStyle name="Процентный 5 3 15 4 2" xfId="54696"/>
    <cellStyle name="Процентный 5 3 15 5" xfId="33336"/>
    <cellStyle name="Процентный 5 3 150" xfId="10741"/>
    <cellStyle name="Процентный 5 3 150 2" xfId="42785"/>
    <cellStyle name="Процентный 5 3 151" xfId="21422"/>
    <cellStyle name="Процентный 5 3 151 2" xfId="53465"/>
    <cellStyle name="Процентный 5 3 152" xfId="32105"/>
    <cellStyle name="Процентный 5 3 16" xfId="1316"/>
    <cellStyle name="Процентный 5 3 16 2" xfId="6658"/>
    <cellStyle name="Процентный 5 3 16 2 2" xfId="17338"/>
    <cellStyle name="Процентный 5 3 16 2 2 2" xfId="49382"/>
    <cellStyle name="Процентный 5 3 16 2 3" xfId="28019"/>
    <cellStyle name="Процентный 5 3 16 2 3 2" xfId="60062"/>
    <cellStyle name="Процентный 5 3 16 2 4" xfId="38702"/>
    <cellStyle name="Процентный 5 3 16 3" xfId="11998"/>
    <cellStyle name="Процентный 5 3 16 3 2" xfId="44042"/>
    <cellStyle name="Процентный 5 3 16 4" xfId="22679"/>
    <cellStyle name="Процентный 5 3 16 4 2" xfId="54722"/>
    <cellStyle name="Процентный 5 3 16 5" xfId="33362"/>
    <cellStyle name="Процентный 5 3 17" xfId="1342"/>
    <cellStyle name="Процентный 5 3 17 2" xfId="6684"/>
    <cellStyle name="Процентный 5 3 17 2 2" xfId="17364"/>
    <cellStyle name="Процентный 5 3 17 2 2 2" xfId="49408"/>
    <cellStyle name="Процентный 5 3 17 2 3" xfId="28045"/>
    <cellStyle name="Процентный 5 3 17 2 3 2" xfId="60088"/>
    <cellStyle name="Процентный 5 3 17 2 4" xfId="38728"/>
    <cellStyle name="Процентный 5 3 17 3" xfId="12024"/>
    <cellStyle name="Процентный 5 3 17 3 2" xfId="44068"/>
    <cellStyle name="Процентный 5 3 17 4" xfId="22705"/>
    <cellStyle name="Процентный 5 3 17 4 2" xfId="54748"/>
    <cellStyle name="Процентный 5 3 17 5" xfId="33388"/>
    <cellStyle name="Процентный 5 3 18" xfId="1368"/>
    <cellStyle name="Процентный 5 3 18 2" xfId="6710"/>
    <cellStyle name="Процентный 5 3 18 2 2" xfId="17390"/>
    <cellStyle name="Процентный 5 3 18 2 2 2" xfId="49434"/>
    <cellStyle name="Процентный 5 3 18 2 3" xfId="28071"/>
    <cellStyle name="Процентный 5 3 18 2 3 2" xfId="60114"/>
    <cellStyle name="Процентный 5 3 18 2 4" xfId="38754"/>
    <cellStyle name="Процентный 5 3 18 3" xfId="12050"/>
    <cellStyle name="Процентный 5 3 18 3 2" xfId="44094"/>
    <cellStyle name="Процентный 5 3 18 4" xfId="22731"/>
    <cellStyle name="Процентный 5 3 18 4 2" xfId="54774"/>
    <cellStyle name="Процентный 5 3 18 5" xfId="33414"/>
    <cellStyle name="Процентный 5 3 19" xfId="1394"/>
    <cellStyle name="Процентный 5 3 19 2" xfId="6736"/>
    <cellStyle name="Процентный 5 3 19 2 2" xfId="17416"/>
    <cellStyle name="Процентный 5 3 19 2 2 2" xfId="49460"/>
    <cellStyle name="Процентный 5 3 19 2 3" xfId="28097"/>
    <cellStyle name="Процентный 5 3 19 2 3 2" xfId="60140"/>
    <cellStyle name="Процентный 5 3 19 2 4" xfId="38780"/>
    <cellStyle name="Процентный 5 3 19 3" xfId="12076"/>
    <cellStyle name="Процентный 5 3 19 3 2" xfId="44120"/>
    <cellStyle name="Процентный 5 3 19 4" xfId="22757"/>
    <cellStyle name="Процентный 5 3 19 4 2" xfId="54800"/>
    <cellStyle name="Процентный 5 3 19 5" xfId="33440"/>
    <cellStyle name="Процентный 5 3 2" xfId="525"/>
    <cellStyle name="Процентный 5 3 2 2" xfId="5868"/>
    <cellStyle name="Процентный 5 3 2 2 2" xfId="16548"/>
    <cellStyle name="Процентный 5 3 2 2 2 2" xfId="48592"/>
    <cellStyle name="Процентный 5 3 2 2 3" xfId="27229"/>
    <cellStyle name="Процентный 5 3 2 2 3 2" xfId="59272"/>
    <cellStyle name="Процентный 5 3 2 2 4" xfId="37912"/>
    <cellStyle name="Процентный 5 3 2 3" xfId="11208"/>
    <cellStyle name="Процентный 5 3 2 3 2" xfId="43252"/>
    <cellStyle name="Процентный 5 3 2 4" xfId="21889"/>
    <cellStyle name="Процентный 5 3 2 4 2" xfId="53932"/>
    <cellStyle name="Процентный 5 3 2 5" xfId="32572"/>
    <cellStyle name="Процентный 5 3 20" xfId="1420"/>
    <cellStyle name="Процентный 5 3 20 2" xfId="6762"/>
    <cellStyle name="Процентный 5 3 20 2 2" xfId="17442"/>
    <cellStyle name="Процентный 5 3 20 2 2 2" xfId="49486"/>
    <cellStyle name="Процентный 5 3 20 2 3" xfId="28123"/>
    <cellStyle name="Процентный 5 3 20 2 3 2" xfId="60166"/>
    <cellStyle name="Процентный 5 3 20 2 4" xfId="38806"/>
    <cellStyle name="Процентный 5 3 20 3" xfId="12102"/>
    <cellStyle name="Процентный 5 3 20 3 2" xfId="44146"/>
    <cellStyle name="Процентный 5 3 20 4" xfId="22783"/>
    <cellStyle name="Процентный 5 3 20 4 2" xfId="54826"/>
    <cellStyle name="Процентный 5 3 20 5" xfId="33466"/>
    <cellStyle name="Процентный 5 3 21" xfId="1446"/>
    <cellStyle name="Процентный 5 3 21 2" xfId="6788"/>
    <cellStyle name="Процентный 5 3 21 2 2" xfId="17468"/>
    <cellStyle name="Процентный 5 3 21 2 2 2" xfId="49512"/>
    <cellStyle name="Процентный 5 3 21 2 3" xfId="28149"/>
    <cellStyle name="Процентный 5 3 21 2 3 2" xfId="60192"/>
    <cellStyle name="Процентный 5 3 21 2 4" xfId="38832"/>
    <cellStyle name="Процентный 5 3 21 3" xfId="12128"/>
    <cellStyle name="Процентный 5 3 21 3 2" xfId="44172"/>
    <cellStyle name="Процентный 5 3 21 4" xfId="22809"/>
    <cellStyle name="Процентный 5 3 21 4 2" xfId="54852"/>
    <cellStyle name="Процентный 5 3 21 5" xfId="33492"/>
    <cellStyle name="Процентный 5 3 22" xfId="1472"/>
    <cellStyle name="Процентный 5 3 22 2" xfId="6814"/>
    <cellStyle name="Процентный 5 3 22 2 2" xfId="17494"/>
    <cellStyle name="Процентный 5 3 22 2 2 2" xfId="49538"/>
    <cellStyle name="Процентный 5 3 22 2 3" xfId="28175"/>
    <cellStyle name="Процентный 5 3 22 2 3 2" xfId="60218"/>
    <cellStyle name="Процентный 5 3 22 2 4" xfId="38858"/>
    <cellStyle name="Процентный 5 3 22 3" xfId="12154"/>
    <cellStyle name="Процентный 5 3 22 3 2" xfId="44198"/>
    <cellStyle name="Процентный 5 3 22 4" xfId="22835"/>
    <cellStyle name="Процентный 5 3 22 4 2" xfId="54878"/>
    <cellStyle name="Процентный 5 3 22 5" xfId="33518"/>
    <cellStyle name="Процентный 5 3 23" xfId="1498"/>
    <cellStyle name="Процентный 5 3 23 2" xfId="6840"/>
    <cellStyle name="Процентный 5 3 23 2 2" xfId="17520"/>
    <cellStyle name="Процентный 5 3 23 2 2 2" xfId="49564"/>
    <cellStyle name="Процентный 5 3 23 2 3" xfId="28201"/>
    <cellStyle name="Процентный 5 3 23 2 3 2" xfId="60244"/>
    <cellStyle name="Процентный 5 3 23 2 4" xfId="38884"/>
    <cellStyle name="Процентный 5 3 23 3" xfId="12180"/>
    <cellStyle name="Процентный 5 3 23 3 2" xfId="44224"/>
    <cellStyle name="Процентный 5 3 23 4" xfId="22861"/>
    <cellStyle name="Процентный 5 3 23 4 2" xfId="54904"/>
    <cellStyle name="Процентный 5 3 23 5" xfId="33544"/>
    <cellStyle name="Процентный 5 3 24" xfId="1524"/>
    <cellStyle name="Процентный 5 3 24 2" xfId="6866"/>
    <cellStyle name="Процентный 5 3 24 2 2" xfId="17546"/>
    <cellStyle name="Процентный 5 3 24 2 2 2" xfId="49590"/>
    <cellStyle name="Процентный 5 3 24 2 3" xfId="28227"/>
    <cellStyle name="Процентный 5 3 24 2 3 2" xfId="60270"/>
    <cellStyle name="Процентный 5 3 24 2 4" xfId="38910"/>
    <cellStyle name="Процентный 5 3 24 3" xfId="12206"/>
    <cellStyle name="Процентный 5 3 24 3 2" xfId="44250"/>
    <cellStyle name="Процентный 5 3 24 4" xfId="22887"/>
    <cellStyle name="Процентный 5 3 24 4 2" xfId="54930"/>
    <cellStyle name="Процентный 5 3 24 5" xfId="33570"/>
    <cellStyle name="Процентный 5 3 25" xfId="1550"/>
    <cellStyle name="Процентный 5 3 25 2" xfId="6892"/>
    <cellStyle name="Процентный 5 3 25 2 2" xfId="17572"/>
    <cellStyle name="Процентный 5 3 25 2 2 2" xfId="49616"/>
    <cellStyle name="Процентный 5 3 25 2 3" xfId="28253"/>
    <cellStyle name="Процентный 5 3 25 2 3 2" xfId="60296"/>
    <cellStyle name="Процентный 5 3 25 2 4" xfId="38936"/>
    <cellStyle name="Процентный 5 3 25 3" xfId="12232"/>
    <cellStyle name="Процентный 5 3 25 3 2" xfId="44276"/>
    <cellStyle name="Процентный 5 3 25 4" xfId="22913"/>
    <cellStyle name="Процентный 5 3 25 4 2" xfId="54956"/>
    <cellStyle name="Процентный 5 3 25 5" xfId="33596"/>
    <cellStyle name="Процентный 5 3 26" xfId="1576"/>
    <cellStyle name="Процентный 5 3 26 2" xfId="6918"/>
    <cellStyle name="Процентный 5 3 26 2 2" xfId="17598"/>
    <cellStyle name="Процентный 5 3 26 2 2 2" xfId="49642"/>
    <cellStyle name="Процентный 5 3 26 2 3" xfId="28279"/>
    <cellStyle name="Процентный 5 3 26 2 3 2" xfId="60322"/>
    <cellStyle name="Процентный 5 3 26 2 4" xfId="38962"/>
    <cellStyle name="Процентный 5 3 26 3" xfId="12258"/>
    <cellStyle name="Процентный 5 3 26 3 2" xfId="44302"/>
    <cellStyle name="Процентный 5 3 26 4" xfId="22939"/>
    <cellStyle name="Процентный 5 3 26 4 2" xfId="54982"/>
    <cellStyle name="Процентный 5 3 26 5" xfId="33622"/>
    <cellStyle name="Процентный 5 3 27" xfId="1602"/>
    <cellStyle name="Процентный 5 3 27 2" xfId="6944"/>
    <cellStyle name="Процентный 5 3 27 2 2" xfId="17624"/>
    <cellStyle name="Процентный 5 3 27 2 2 2" xfId="49668"/>
    <cellStyle name="Процентный 5 3 27 2 3" xfId="28305"/>
    <cellStyle name="Процентный 5 3 27 2 3 2" xfId="60348"/>
    <cellStyle name="Процентный 5 3 27 2 4" xfId="38988"/>
    <cellStyle name="Процентный 5 3 27 3" xfId="12284"/>
    <cellStyle name="Процентный 5 3 27 3 2" xfId="44328"/>
    <cellStyle name="Процентный 5 3 27 4" xfId="22965"/>
    <cellStyle name="Процентный 5 3 27 4 2" xfId="55008"/>
    <cellStyle name="Процентный 5 3 27 5" xfId="33648"/>
    <cellStyle name="Процентный 5 3 28" xfId="1628"/>
    <cellStyle name="Процентный 5 3 28 2" xfId="6970"/>
    <cellStyle name="Процентный 5 3 28 2 2" xfId="17650"/>
    <cellStyle name="Процентный 5 3 28 2 2 2" xfId="49694"/>
    <cellStyle name="Процентный 5 3 28 2 3" xfId="28331"/>
    <cellStyle name="Процентный 5 3 28 2 3 2" xfId="60374"/>
    <cellStyle name="Процентный 5 3 28 2 4" xfId="39014"/>
    <cellStyle name="Процентный 5 3 28 3" xfId="12310"/>
    <cellStyle name="Процентный 5 3 28 3 2" xfId="44354"/>
    <cellStyle name="Процентный 5 3 28 4" xfId="22991"/>
    <cellStyle name="Процентный 5 3 28 4 2" xfId="55034"/>
    <cellStyle name="Процентный 5 3 28 5" xfId="33674"/>
    <cellStyle name="Процентный 5 3 29" xfId="1654"/>
    <cellStyle name="Процентный 5 3 29 2" xfId="6996"/>
    <cellStyle name="Процентный 5 3 29 2 2" xfId="17676"/>
    <cellStyle name="Процентный 5 3 29 2 2 2" xfId="49720"/>
    <cellStyle name="Процентный 5 3 29 2 3" xfId="28357"/>
    <cellStyle name="Процентный 5 3 29 2 3 2" xfId="60400"/>
    <cellStyle name="Процентный 5 3 29 2 4" xfId="39040"/>
    <cellStyle name="Процентный 5 3 29 3" xfId="12336"/>
    <cellStyle name="Процентный 5 3 29 3 2" xfId="44380"/>
    <cellStyle name="Процентный 5 3 29 4" xfId="23017"/>
    <cellStyle name="Процентный 5 3 29 4 2" xfId="55060"/>
    <cellStyle name="Процентный 5 3 29 5" xfId="33700"/>
    <cellStyle name="Процентный 5 3 3" xfId="981"/>
    <cellStyle name="Процентный 5 3 3 2" xfId="6324"/>
    <cellStyle name="Процентный 5 3 3 2 2" xfId="17004"/>
    <cellStyle name="Процентный 5 3 3 2 2 2" xfId="49048"/>
    <cellStyle name="Процентный 5 3 3 2 3" xfId="27685"/>
    <cellStyle name="Процентный 5 3 3 2 3 2" xfId="59728"/>
    <cellStyle name="Процентный 5 3 3 2 4" xfId="38368"/>
    <cellStyle name="Процентный 5 3 3 3" xfId="11664"/>
    <cellStyle name="Процентный 5 3 3 3 2" xfId="43708"/>
    <cellStyle name="Процентный 5 3 3 4" xfId="22345"/>
    <cellStyle name="Процентный 5 3 3 4 2" xfId="54388"/>
    <cellStyle name="Процентный 5 3 3 5" xfId="33028"/>
    <cellStyle name="Процентный 5 3 30" xfId="1680"/>
    <cellStyle name="Процентный 5 3 30 2" xfId="7022"/>
    <cellStyle name="Процентный 5 3 30 2 2" xfId="17702"/>
    <cellStyle name="Процентный 5 3 30 2 2 2" xfId="49746"/>
    <cellStyle name="Процентный 5 3 30 2 3" xfId="28383"/>
    <cellStyle name="Процентный 5 3 30 2 3 2" xfId="60426"/>
    <cellStyle name="Процентный 5 3 30 2 4" xfId="39066"/>
    <cellStyle name="Процентный 5 3 30 3" xfId="12362"/>
    <cellStyle name="Процентный 5 3 30 3 2" xfId="44406"/>
    <cellStyle name="Процентный 5 3 30 4" xfId="23043"/>
    <cellStyle name="Процентный 5 3 30 4 2" xfId="55086"/>
    <cellStyle name="Процентный 5 3 30 5" xfId="33726"/>
    <cellStyle name="Процентный 5 3 31" xfId="1706"/>
    <cellStyle name="Процентный 5 3 31 2" xfId="7048"/>
    <cellStyle name="Процентный 5 3 31 2 2" xfId="17728"/>
    <cellStyle name="Процентный 5 3 31 2 2 2" xfId="49772"/>
    <cellStyle name="Процентный 5 3 31 2 3" xfId="28409"/>
    <cellStyle name="Процентный 5 3 31 2 3 2" xfId="60452"/>
    <cellStyle name="Процентный 5 3 31 2 4" xfId="39092"/>
    <cellStyle name="Процентный 5 3 31 3" xfId="12388"/>
    <cellStyle name="Процентный 5 3 31 3 2" xfId="44432"/>
    <cellStyle name="Процентный 5 3 31 4" xfId="23069"/>
    <cellStyle name="Процентный 5 3 31 4 2" xfId="55112"/>
    <cellStyle name="Процентный 5 3 31 5" xfId="33752"/>
    <cellStyle name="Процентный 5 3 32" xfId="1732"/>
    <cellStyle name="Процентный 5 3 32 2" xfId="7074"/>
    <cellStyle name="Процентный 5 3 32 2 2" xfId="17754"/>
    <cellStyle name="Процентный 5 3 32 2 2 2" xfId="49798"/>
    <cellStyle name="Процентный 5 3 32 2 3" xfId="28435"/>
    <cellStyle name="Процентный 5 3 32 2 3 2" xfId="60478"/>
    <cellStyle name="Процентный 5 3 32 2 4" xfId="39118"/>
    <cellStyle name="Процентный 5 3 32 3" xfId="12414"/>
    <cellStyle name="Процентный 5 3 32 3 2" xfId="44458"/>
    <cellStyle name="Процентный 5 3 32 4" xfId="23095"/>
    <cellStyle name="Процентный 5 3 32 4 2" xfId="55138"/>
    <cellStyle name="Процентный 5 3 32 5" xfId="33778"/>
    <cellStyle name="Процентный 5 3 33" xfId="1758"/>
    <cellStyle name="Процентный 5 3 33 2" xfId="7100"/>
    <cellStyle name="Процентный 5 3 33 2 2" xfId="17780"/>
    <cellStyle name="Процентный 5 3 33 2 2 2" xfId="49824"/>
    <cellStyle name="Процентный 5 3 33 2 3" xfId="28461"/>
    <cellStyle name="Процентный 5 3 33 2 3 2" xfId="60504"/>
    <cellStyle name="Процентный 5 3 33 2 4" xfId="39144"/>
    <cellStyle name="Процентный 5 3 33 3" xfId="12440"/>
    <cellStyle name="Процентный 5 3 33 3 2" xfId="44484"/>
    <cellStyle name="Процентный 5 3 33 4" xfId="23121"/>
    <cellStyle name="Процентный 5 3 33 4 2" xfId="55164"/>
    <cellStyle name="Процентный 5 3 33 5" xfId="33804"/>
    <cellStyle name="Процентный 5 3 34" xfId="1784"/>
    <cellStyle name="Процентный 5 3 34 2" xfId="7126"/>
    <cellStyle name="Процентный 5 3 34 2 2" xfId="17806"/>
    <cellStyle name="Процентный 5 3 34 2 2 2" xfId="49850"/>
    <cellStyle name="Процентный 5 3 34 2 3" xfId="28487"/>
    <cellStyle name="Процентный 5 3 34 2 3 2" xfId="60530"/>
    <cellStyle name="Процентный 5 3 34 2 4" xfId="39170"/>
    <cellStyle name="Процентный 5 3 34 3" xfId="12466"/>
    <cellStyle name="Процентный 5 3 34 3 2" xfId="44510"/>
    <cellStyle name="Процентный 5 3 34 4" xfId="23147"/>
    <cellStyle name="Процентный 5 3 34 4 2" xfId="55190"/>
    <cellStyle name="Процентный 5 3 34 5" xfId="33830"/>
    <cellStyle name="Процентный 5 3 35" xfId="1810"/>
    <cellStyle name="Процентный 5 3 35 2" xfId="7152"/>
    <cellStyle name="Процентный 5 3 35 2 2" xfId="17832"/>
    <cellStyle name="Процентный 5 3 35 2 2 2" xfId="49876"/>
    <cellStyle name="Процентный 5 3 35 2 3" xfId="28513"/>
    <cellStyle name="Процентный 5 3 35 2 3 2" xfId="60556"/>
    <cellStyle name="Процентный 5 3 35 2 4" xfId="39196"/>
    <cellStyle name="Процентный 5 3 35 3" xfId="12492"/>
    <cellStyle name="Процентный 5 3 35 3 2" xfId="44536"/>
    <cellStyle name="Процентный 5 3 35 4" xfId="23173"/>
    <cellStyle name="Процентный 5 3 35 4 2" xfId="55216"/>
    <cellStyle name="Процентный 5 3 35 5" xfId="33856"/>
    <cellStyle name="Процентный 5 3 36" xfId="1836"/>
    <cellStyle name="Процентный 5 3 36 2" xfId="7178"/>
    <cellStyle name="Процентный 5 3 36 2 2" xfId="17858"/>
    <cellStyle name="Процентный 5 3 36 2 2 2" xfId="49902"/>
    <cellStyle name="Процентный 5 3 36 2 3" xfId="28539"/>
    <cellStyle name="Процентный 5 3 36 2 3 2" xfId="60582"/>
    <cellStyle name="Процентный 5 3 36 2 4" xfId="39222"/>
    <cellStyle name="Процентный 5 3 36 3" xfId="12518"/>
    <cellStyle name="Процентный 5 3 36 3 2" xfId="44562"/>
    <cellStyle name="Процентный 5 3 36 4" xfId="23199"/>
    <cellStyle name="Процентный 5 3 36 4 2" xfId="55242"/>
    <cellStyle name="Процентный 5 3 36 5" xfId="33882"/>
    <cellStyle name="Процентный 5 3 37" xfId="1862"/>
    <cellStyle name="Процентный 5 3 37 2" xfId="7204"/>
    <cellStyle name="Процентный 5 3 37 2 2" xfId="17884"/>
    <cellStyle name="Процентный 5 3 37 2 2 2" xfId="49928"/>
    <cellStyle name="Процентный 5 3 37 2 3" xfId="28565"/>
    <cellStyle name="Процентный 5 3 37 2 3 2" xfId="60608"/>
    <cellStyle name="Процентный 5 3 37 2 4" xfId="39248"/>
    <cellStyle name="Процентный 5 3 37 3" xfId="12544"/>
    <cellStyle name="Процентный 5 3 37 3 2" xfId="44588"/>
    <cellStyle name="Процентный 5 3 37 4" xfId="23225"/>
    <cellStyle name="Процентный 5 3 37 4 2" xfId="55268"/>
    <cellStyle name="Процентный 5 3 37 5" xfId="33908"/>
    <cellStyle name="Процентный 5 3 38" xfId="1888"/>
    <cellStyle name="Процентный 5 3 38 2" xfId="7230"/>
    <cellStyle name="Процентный 5 3 38 2 2" xfId="17910"/>
    <cellStyle name="Процентный 5 3 38 2 2 2" xfId="49954"/>
    <cellStyle name="Процентный 5 3 38 2 3" xfId="28591"/>
    <cellStyle name="Процентный 5 3 38 2 3 2" xfId="60634"/>
    <cellStyle name="Процентный 5 3 38 2 4" xfId="39274"/>
    <cellStyle name="Процентный 5 3 38 3" xfId="12570"/>
    <cellStyle name="Процентный 5 3 38 3 2" xfId="44614"/>
    <cellStyle name="Процентный 5 3 38 4" xfId="23251"/>
    <cellStyle name="Процентный 5 3 38 4 2" xfId="55294"/>
    <cellStyle name="Процентный 5 3 38 5" xfId="33934"/>
    <cellStyle name="Процентный 5 3 39" xfId="1914"/>
    <cellStyle name="Процентный 5 3 39 2" xfId="7256"/>
    <cellStyle name="Процентный 5 3 39 2 2" xfId="17936"/>
    <cellStyle name="Процентный 5 3 39 2 2 2" xfId="49980"/>
    <cellStyle name="Процентный 5 3 39 2 3" xfId="28617"/>
    <cellStyle name="Процентный 5 3 39 2 3 2" xfId="60660"/>
    <cellStyle name="Процентный 5 3 39 2 4" xfId="39300"/>
    <cellStyle name="Процентный 5 3 39 3" xfId="12596"/>
    <cellStyle name="Процентный 5 3 39 3 2" xfId="44640"/>
    <cellStyle name="Процентный 5 3 39 4" xfId="23277"/>
    <cellStyle name="Процентный 5 3 39 4 2" xfId="55320"/>
    <cellStyle name="Процентный 5 3 39 5" xfId="33960"/>
    <cellStyle name="Процентный 5 3 4" xfId="1005"/>
    <cellStyle name="Процентный 5 3 4 2" xfId="6348"/>
    <cellStyle name="Процентный 5 3 4 2 2" xfId="17028"/>
    <cellStyle name="Процентный 5 3 4 2 2 2" xfId="49072"/>
    <cellStyle name="Процентный 5 3 4 2 3" xfId="27709"/>
    <cellStyle name="Процентный 5 3 4 2 3 2" xfId="59752"/>
    <cellStyle name="Процентный 5 3 4 2 4" xfId="38392"/>
    <cellStyle name="Процентный 5 3 4 3" xfId="11688"/>
    <cellStyle name="Процентный 5 3 4 3 2" xfId="43732"/>
    <cellStyle name="Процентный 5 3 4 4" xfId="22369"/>
    <cellStyle name="Процентный 5 3 4 4 2" xfId="54412"/>
    <cellStyle name="Процентный 5 3 4 5" xfId="33052"/>
    <cellStyle name="Процентный 5 3 40" xfId="1942"/>
    <cellStyle name="Процентный 5 3 40 2" xfId="7284"/>
    <cellStyle name="Процентный 5 3 40 2 2" xfId="17964"/>
    <cellStyle name="Процентный 5 3 40 2 2 2" xfId="50008"/>
    <cellStyle name="Процентный 5 3 40 2 3" xfId="28645"/>
    <cellStyle name="Процентный 5 3 40 2 3 2" xfId="60688"/>
    <cellStyle name="Процентный 5 3 40 2 4" xfId="39328"/>
    <cellStyle name="Процентный 5 3 40 3" xfId="12624"/>
    <cellStyle name="Процентный 5 3 40 3 2" xfId="44668"/>
    <cellStyle name="Процентный 5 3 40 4" xfId="23305"/>
    <cellStyle name="Процентный 5 3 40 4 2" xfId="55348"/>
    <cellStyle name="Процентный 5 3 40 5" xfId="33988"/>
    <cellStyle name="Процентный 5 3 41" xfId="1970"/>
    <cellStyle name="Процентный 5 3 41 2" xfId="7312"/>
    <cellStyle name="Процентный 5 3 41 2 2" xfId="17992"/>
    <cellStyle name="Процентный 5 3 41 2 2 2" xfId="50036"/>
    <cellStyle name="Процентный 5 3 41 2 3" xfId="28673"/>
    <cellStyle name="Процентный 5 3 41 2 3 2" xfId="60716"/>
    <cellStyle name="Процентный 5 3 41 2 4" xfId="39356"/>
    <cellStyle name="Процентный 5 3 41 3" xfId="12652"/>
    <cellStyle name="Процентный 5 3 41 3 2" xfId="44696"/>
    <cellStyle name="Процентный 5 3 41 4" xfId="23333"/>
    <cellStyle name="Процентный 5 3 41 4 2" xfId="55376"/>
    <cellStyle name="Процентный 5 3 41 5" xfId="34016"/>
    <cellStyle name="Процентный 5 3 42" xfId="1998"/>
    <cellStyle name="Процентный 5 3 42 2" xfId="7340"/>
    <cellStyle name="Процентный 5 3 42 2 2" xfId="18020"/>
    <cellStyle name="Процентный 5 3 42 2 2 2" xfId="50064"/>
    <cellStyle name="Процентный 5 3 42 2 3" xfId="28701"/>
    <cellStyle name="Процентный 5 3 42 2 3 2" xfId="60744"/>
    <cellStyle name="Процентный 5 3 42 2 4" xfId="39384"/>
    <cellStyle name="Процентный 5 3 42 3" xfId="12680"/>
    <cellStyle name="Процентный 5 3 42 3 2" xfId="44724"/>
    <cellStyle name="Процентный 5 3 42 4" xfId="23361"/>
    <cellStyle name="Процентный 5 3 42 4 2" xfId="55404"/>
    <cellStyle name="Процентный 5 3 42 5" xfId="34044"/>
    <cellStyle name="Процентный 5 3 43" xfId="2026"/>
    <cellStyle name="Процентный 5 3 43 2" xfId="7368"/>
    <cellStyle name="Процентный 5 3 43 2 2" xfId="18048"/>
    <cellStyle name="Процентный 5 3 43 2 2 2" xfId="50092"/>
    <cellStyle name="Процентный 5 3 43 2 3" xfId="28729"/>
    <cellStyle name="Процентный 5 3 43 2 3 2" xfId="60772"/>
    <cellStyle name="Процентный 5 3 43 2 4" xfId="39412"/>
    <cellStyle name="Процентный 5 3 43 3" xfId="12708"/>
    <cellStyle name="Процентный 5 3 43 3 2" xfId="44752"/>
    <cellStyle name="Процентный 5 3 43 4" xfId="23389"/>
    <cellStyle name="Процентный 5 3 43 4 2" xfId="55432"/>
    <cellStyle name="Процентный 5 3 43 5" xfId="34072"/>
    <cellStyle name="Процентный 5 3 44" xfId="2054"/>
    <cellStyle name="Процентный 5 3 44 2" xfId="7396"/>
    <cellStyle name="Процентный 5 3 44 2 2" xfId="18076"/>
    <cellStyle name="Процентный 5 3 44 2 2 2" xfId="50120"/>
    <cellStyle name="Процентный 5 3 44 2 3" xfId="28757"/>
    <cellStyle name="Процентный 5 3 44 2 3 2" xfId="60800"/>
    <cellStyle name="Процентный 5 3 44 2 4" xfId="39440"/>
    <cellStyle name="Процентный 5 3 44 3" xfId="12736"/>
    <cellStyle name="Процентный 5 3 44 3 2" xfId="44780"/>
    <cellStyle name="Процентный 5 3 44 4" xfId="23417"/>
    <cellStyle name="Процентный 5 3 44 4 2" xfId="55460"/>
    <cellStyle name="Процентный 5 3 44 5" xfId="34100"/>
    <cellStyle name="Процентный 5 3 45" xfId="2082"/>
    <cellStyle name="Процентный 5 3 45 2" xfId="7424"/>
    <cellStyle name="Процентный 5 3 45 2 2" xfId="18104"/>
    <cellStyle name="Процентный 5 3 45 2 2 2" xfId="50148"/>
    <cellStyle name="Процентный 5 3 45 2 3" xfId="28785"/>
    <cellStyle name="Процентный 5 3 45 2 3 2" xfId="60828"/>
    <cellStyle name="Процентный 5 3 45 2 4" xfId="39468"/>
    <cellStyle name="Процентный 5 3 45 3" xfId="12764"/>
    <cellStyle name="Процентный 5 3 45 3 2" xfId="44808"/>
    <cellStyle name="Процентный 5 3 45 4" xfId="23445"/>
    <cellStyle name="Процентный 5 3 45 4 2" xfId="55488"/>
    <cellStyle name="Процентный 5 3 45 5" xfId="34128"/>
    <cellStyle name="Процентный 5 3 46" xfId="2110"/>
    <cellStyle name="Процентный 5 3 46 2" xfId="7452"/>
    <cellStyle name="Процентный 5 3 46 2 2" xfId="18132"/>
    <cellStyle name="Процентный 5 3 46 2 2 2" xfId="50176"/>
    <cellStyle name="Процентный 5 3 46 2 3" xfId="28813"/>
    <cellStyle name="Процентный 5 3 46 2 3 2" xfId="60856"/>
    <cellStyle name="Процентный 5 3 46 2 4" xfId="39496"/>
    <cellStyle name="Процентный 5 3 46 3" xfId="12792"/>
    <cellStyle name="Процентный 5 3 46 3 2" xfId="44836"/>
    <cellStyle name="Процентный 5 3 46 4" xfId="23473"/>
    <cellStyle name="Процентный 5 3 46 4 2" xfId="55516"/>
    <cellStyle name="Процентный 5 3 46 5" xfId="34156"/>
    <cellStyle name="Процентный 5 3 47" xfId="2140"/>
    <cellStyle name="Процентный 5 3 47 2" xfId="7482"/>
    <cellStyle name="Процентный 5 3 47 2 2" xfId="18162"/>
    <cellStyle name="Процентный 5 3 47 2 2 2" xfId="50206"/>
    <cellStyle name="Процентный 5 3 47 2 3" xfId="28843"/>
    <cellStyle name="Процентный 5 3 47 2 3 2" xfId="60886"/>
    <cellStyle name="Процентный 5 3 47 2 4" xfId="39526"/>
    <cellStyle name="Процентный 5 3 47 3" xfId="12822"/>
    <cellStyle name="Процентный 5 3 47 3 2" xfId="44866"/>
    <cellStyle name="Процентный 5 3 47 4" xfId="23503"/>
    <cellStyle name="Процентный 5 3 47 4 2" xfId="55546"/>
    <cellStyle name="Процентный 5 3 47 5" xfId="34186"/>
    <cellStyle name="Процентный 5 3 48" xfId="2170"/>
    <cellStyle name="Процентный 5 3 48 2" xfId="7512"/>
    <cellStyle name="Процентный 5 3 48 2 2" xfId="18192"/>
    <cellStyle name="Процентный 5 3 48 2 2 2" xfId="50236"/>
    <cellStyle name="Процентный 5 3 48 2 3" xfId="28873"/>
    <cellStyle name="Процентный 5 3 48 2 3 2" xfId="60916"/>
    <cellStyle name="Процентный 5 3 48 2 4" xfId="39556"/>
    <cellStyle name="Процентный 5 3 48 3" xfId="12852"/>
    <cellStyle name="Процентный 5 3 48 3 2" xfId="44896"/>
    <cellStyle name="Процентный 5 3 48 4" xfId="23533"/>
    <cellStyle name="Процентный 5 3 48 4 2" xfId="55576"/>
    <cellStyle name="Процентный 5 3 48 5" xfId="34216"/>
    <cellStyle name="Процентный 5 3 49" xfId="2200"/>
    <cellStyle name="Процентный 5 3 49 2" xfId="7542"/>
    <cellStyle name="Процентный 5 3 49 2 2" xfId="18222"/>
    <cellStyle name="Процентный 5 3 49 2 2 2" xfId="50266"/>
    <cellStyle name="Процентный 5 3 49 2 3" xfId="28903"/>
    <cellStyle name="Процентный 5 3 49 2 3 2" xfId="60946"/>
    <cellStyle name="Процентный 5 3 49 2 4" xfId="39586"/>
    <cellStyle name="Процентный 5 3 49 3" xfId="12882"/>
    <cellStyle name="Процентный 5 3 49 3 2" xfId="44926"/>
    <cellStyle name="Процентный 5 3 49 4" xfId="23563"/>
    <cellStyle name="Процентный 5 3 49 4 2" xfId="55606"/>
    <cellStyle name="Процентный 5 3 49 5" xfId="34246"/>
    <cellStyle name="Процентный 5 3 5" xfId="1029"/>
    <cellStyle name="Процентный 5 3 5 2" xfId="6372"/>
    <cellStyle name="Процентный 5 3 5 2 2" xfId="17052"/>
    <cellStyle name="Процентный 5 3 5 2 2 2" xfId="49096"/>
    <cellStyle name="Процентный 5 3 5 2 3" xfId="27733"/>
    <cellStyle name="Процентный 5 3 5 2 3 2" xfId="59776"/>
    <cellStyle name="Процентный 5 3 5 2 4" xfId="38416"/>
    <cellStyle name="Процентный 5 3 5 3" xfId="11712"/>
    <cellStyle name="Процентный 5 3 5 3 2" xfId="43756"/>
    <cellStyle name="Процентный 5 3 5 4" xfId="22393"/>
    <cellStyle name="Процентный 5 3 5 4 2" xfId="54436"/>
    <cellStyle name="Процентный 5 3 5 5" xfId="33076"/>
    <cellStyle name="Процентный 5 3 50" xfId="2230"/>
    <cellStyle name="Процентный 5 3 50 2" xfId="7572"/>
    <cellStyle name="Процентный 5 3 50 2 2" xfId="18252"/>
    <cellStyle name="Процентный 5 3 50 2 2 2" xfId="50296"/>
    <cellStyle name="Процентный 5 3 50 2 3" xfId="28933"/>
    <cellStyle name="Процентный 5 3 50 2 3 2" xfId="60976"/>
    <cellStyle name="Процентный 5 3 50 2 4" xfId="39616"/>
    <cellStyle name="Процентный 5 3 50 3" xfId="12912"/>
    <cellStyle name="Процентный 5 3 50 3 2" xfId="44956"/>
    <cellStyle name="Процентный 5 3 50 4" xfId="23593"/>
    <cellStyle name="Процентный 5 3 50 4 2" xfId="55636"/>
    <cellStyle name="Процентный 5 3 50 5" xfId="34276"/>
    <cellStyle name="Процентный 5 3 51" xfId="2260"/>
    <cellStyle name="Процентный 5 3 51 2" xfId="7602"/>
    <cellStyle name="Процентный 5 3 51 2 2" xfId="18282"/>
    <cellStyle name="Процентный 5 3 51 2 2 2" xfId="50326"/>
    <cellStyle name="Процентный 5 3 51 2 3" xfId="28963"/>
    <cellStyle name="Процентный 5 3 51 2 3 2" xfId="61006"/>
    <cellStyle name="Процентный 5 3 51 2 4" xfId="39646"/>
    <cellStyle name="Процентный 5 3 51 3" xfId="12942"/>
    <cellStyle name="Процентный 5 3 51 3 2" xfId="44986"/>
    <cellStyle name="Процентный 5 3 51 4" xfId="23623"/>
    <cellStyle name="Процентный 5 3 51 4 2" xfId="55666"/>
    <cellStyle name="Процентный 5 3 51 5" xfId="34306"/>
    <cellStyle name="Процентный 5 3 52" xfId="2290"/>
    <cellStyle name="Процентный 5 3 52 2" xfId="7632"/>
    <cellStyle name="Процентный 5 3 52 2 2" xfId="18312"/>
    <cellStyle name="Процентный 5 3 52 2 2 2" xfId="50356"/>
    <cellStyle name="Процентный 5 3 52 2 3" xfId="28993"/>
    <cellStyle name="Процентный 5 3 52 2 3 2" xfId="61036"/>
    <cellStyle name="Процентный 5 3 52 2 4" xfId="39676"/>
    <cellStyle name="Процентный 5 3 52 3" xfId="12972"/>
    <cellStyle name="Процентный 5 3 52 3 2" xfId="45016"/>
    <cellStyle name="Процентный 5 3 52 4" xfId="23653"/>
    <cellStyle name="Процентный 5 3 52 4 2" xfId="55696"/>
    <cellStyle name="Процентный 5 3 52 5" xfId="34336"/>
    <cellStyle name="Процентный 5 3 53" xfId="2320"/>
    <cellStyle name="Процентный 5 3 53 2" xfId="7662"/>
    <cellStyle name="Процентный 5 3 53 2 2" xfId="18342"/>
    <cellStyle name="Процентный 5 3 53 2 2 2" xfId="50386"/>
    <cellStyle name="Процентный 5 3 53 2 3" xfId="29023"/>
    <cellStyle name="Процентный 5 3 53 2 3 2" xfId="61066"/>
    <cellStyle name="Процентный 5 3 53 2 4" xfId="39706"/>
    <cellStyle name="Процентный 5 3 53 3" xfId="13002"/>
    <cellStyle name="Процентный 5 3 53 3 2" xfId="45046"/>
    <cellStyle name="Процентный 5 3 53 4" xfId="23683"/>
    <cellStyle name="Процентный 5 3 53 4 2" xfId="55726"/>
    <cellStyle name="Процентный 5 3 53 5" xfId="34366"/>
    <cellStyle name="Процентный 5 3 54" xfId="2350"/>
    <cellStyle name="Процентный 5 3 54 2" xfId="7692"/>
    <cellStyle name="Процентный 5 3 54 2 2" xfId="18372"/>
    <cellStyle name="Процентный 5 3 54 2 2 2" xfId="50416"/>
    <cellStyle name="Процентный 5 3 54 2 3" xfId="29053"/>
    <cellStyle name="Процентный 5 3 54 2 3 2" xfId="61096"/>
    <cellStyle name="Процентный 5 3 54 2 4" xfId="39736"/>
    <cellStyle name="Процентный 5 3 54 3" xfId="13032"/>
    <cellStyle name="Процентный 5 3 54 3 2" xfId="45076"/>
    <cellStyle name="Процентный 5 3 54 4" xfId="23713"/>
    <cellStyle name="Процентный 5 3 54 4 2" xfId="55756"/>
    <cellStyle name="Процентный 5 3 54 5" xfId="34396"/>
    <cellStyle name="Процентный 5 3 55" xfId="2380"/>
    <cellStyle name="Процентный 5 3 55 2" xfId="7722"/>
    <cellStyle name="Процентный 5 3 55 2 2" xfId="18402"/>
    <cellStyle name="Процентный 5 3 55 2 2 2" xfId="50446"/>
    <cellStyle name="Процентный 5 3 55 2 3" xfId="29083"/>
    <cellStyle name="Процентный 5 3 55 2 3 2" xfId="61126"/>
    <cellStyle name="Процентный 5 3 55 2 4" xfId="39766"/>
    <cellStyle name="Процентный 5 3 55 3" xfId="13062"/>
    <cellStyle name="Процентный 5 3 55 3 2" xfId="45106"/>
    <cellStyle name="Процентный 5 3 55 4" xfId="23743"/>
    <cellStyle name="Процентный 5 3 55 4 2" xfId="55786"/>
    <cellStyle name="Процентный 5 3 55 5" xfId="34426"/>
    <cellStyle name="Процентный 5 3 56" xfId="2410"/>
    <cellStyle name="Процентный 5 3 56 2" xfId="7752"/>
    <cellStyle name="Процентный 5 3 56 2 2" xfId="18432"/>
    <cellStyle name="Процентный 5 3 56 2 2 2" xfId="50476"/>
    <cellStyle name="Процентный 5 3 56 2 3" xfId="29113"/>
    <cellStyle name="Процентный 5 3 56 2 3 2" xfId="61156"/>
    <cellStyle name="Процентный 5 3 56 2 4" xfId="39796"/>
    <cellStyle name="Процентный 5 3 56 3" xfId="13092"/>
    <cellStyle name="Процентный 5 3 56 3 2" xfId="45136"/>
    <cellStyle name="Процентный 5 3 56 4" xfId="23773"/>
    <cellStyle name="Процентный 5 3 56 4 2" xfId="55816"/>
    <cellStyle name="Процентный 5 3 56 5" xfId="34456"/>
    <cellStyle name="Процентный 5 3 57" xfId="2440"/>
    <cellStyle name="Процентный 5 3 57 2" xfId="7782"/>
    <cellStyle name="Процентный 5 3 57 2 2" xfId="18462"/>
    <cellStyle name="Процентный 5 3 57 2 2 2" xfId="50506"/>
    <cellStyle name="Процентный 5 3 57 2 3" xfId="29143"/>
    <cellStyle name="Процентный 5 3 57 2 3 2" xfId="61186"/>
    <cellStyle name="Процентный 5 3 57 2 4" xfId="39826"/>
    <cellStyle name="Процентный 5 3 57 3" xfId="13122"/>
    <cellStyle name="Процентный 5 3 57 3 2" xfId="45166"/>
    <cellStyle name="Процентный 5 3 57 4" xfId="23803"/>
    <cellStyle name="Процентный 5 3 57 4 2" xfId="55846"/>
    <cellStyle name="Процентный 5 3 57 5" xfId="34486"/>
    <cellStyle name="Процентный 5 3 58" xfId="2470"/>
    <cellStyle name="Процентный 5 3 58 2" xfId="7812"/>
    <cellStyle name="Процентный 5 3 58 2 2" xfId="18492"/>
    <cellStyle name="Процентный 5 3 58 2 2 2" xfId="50536"/>
    <cellStyle name="Процентный 5 3 58 2 3" xfId="29173"/>
    <cellStyle name="Процентный 5 3 58 2 3 2" xfId="61216"/>
    <cellStyle name="Процентный 5 3 58 2 4" xfId="39856"/>
    <cellStyle name="Процентный 5 3 58 3" xfId="13152"/>
    <cellStyle name="Процентный 5 3 58 3 2" xfId="45196"/>
    <cellStyle name="Процентный 5 3 58 4" xfId="23833"/>
    <cellStyle name="Процентный 5 3 58 4 2" xfId="55876"/>
    <cellStyle name="Процентный 5 3 58 5" xfId="34516"/>
    <cellStyle name="Процентный 5 3 59" xfId="2502"/>
    <cellStyle name="Процентный 5 3 59 2" xfId="7844"/>
    <cellStyle name="Процентный 5 3 59 2 2" xfId="18524"/>
    <cellStyle name="Процентный 5 3 59 2 2 2" xfId="50568"/>
    <cellStyle name="Процентный 5 3 59 2 3" xfId="29205"/>
    <cellStyle name="Процентный 5 3 59 2 3 2" xfId="61248"/>
    <cellStyle name="Процентный 5 3 59 2 4" xfId="39888"/>
    <cellStyle name="Процентный 5 3 59 3" xfId="13184"/>
    <cellStyle name="Процентный 5 3 59 3 2" xfId="45228"/>
    <cellStyle name="Процентный 5 3 59 4" xfId="23865"/>
    <cellStyle name="Процентный 5 3 59 4 2" xfId="55908"/>
    <cellStyle name="Процентный 5 3 59 5" xfId="34548"/>
    <cellStyle name="Процентный 5 3 6" xfId="1055"/>
    <cellStyle name="Процентный 5 3 6 2" xfId="6398"/>
    <cellStyle name="Процентный 5 3 6 2 2" xfId="17078"/>
    <cellStyle name="Процентный 5 3 6 2 2 2" xfId="49122"/>
    <cellStyle name="Процентный 5 3 6 2 3" xfId="27759"/>
    <cellStyle name="Процентный 5 3 6 2 3 2" xfId="59802"/>
    <cellStyle name="Процентный 5 3 6 2 4" xfId="38442"/>
    <cellStyle name="Процентный 5 3 6 3" xfId="11738"/>
    <cellStyle name="Процентный 5 3 6 3 2" xfId="43782"/>
    <cellStyle name="Процентный 5 3 6 4" xfId="22419"/>
    <cellStyle name="Процентный 5 3 6 4 2" xfId="54462"/>
    <cellStyle name="Процентный 5 3 6 5" xfId="33102"/>
    <cellStyle name="Процентный 5 3 60" xfId="2536"/>
    <cellStyle name="Процентный 5 3 60 2" xfId="7878"/>
    <cellStyle name="Процентный 5 3 60 2 2" xfId="18558"/>
    <cellStyle name="Процентный 5 3 60 2 2 2" xfId="50602"/>
    <cellStyle name="Процентный 5 3 60 2 3" xfId="29239"/>
    <cellStyle name="Процентный 5 3 60 2 3 2" xfId="61282"/>
    <cellStyle name="Процентный 5 3 60 2 4" xfId="39922"/>
    <cellStyle name="Процентный 5 3 60 3" xfId="13218"/>
    <cellStyle name="Процентный 5 3 60 3 2" xfId="45262"/>
    <cellStyle name="Процентный 5 3 60 4" xfId="23899"/>
    <cellStyle name="Процентный 5 3 60 4 2" xfId="55942"/>
    <cellStyle name="Процентный 5 3 60 5" xfId="34582"/>
    <cellStyle name="Процентный 5 3 61" xfId="2568"/>
    <cellStyle name="Процентный 5 3 61 2" xfId="7910"/>
    <cellStyle name="Процентный 5 3 61 2 2" xfId="18590"/>
    <cellStyle name="Процентный 5 3 61 2 2 2" xfId="50634"/>
    <cellStyle name="Процентный 5 3 61 2 3" xfId="29271"/>
    <cellStyle name="Процентный 5 3 61 2 3 2" xfId="61314"/>
    <cellStyle name="Процентный 5 3 61 2 4" xfId="39954"/>
    <cellStyle name="Процентный 5 3 61 3" xfId="13250"/>
    <cellStyle name="Процентный 5 3 61 3 2" xfId="45294"/>
    <cellStyle name="Процентный 5 3 61 4" xfId="23931"/>
    <cellStyle name="Процентный 5 3 61 4 2" xfId="55974"/>
    <cellStyle name="Процентный 5 3 61 5" xfId="34614"/>
    <cellStyle name="Процентный 5 3 62" xfId="2600"/>
    <cellStyle name="Процентный 5 3 62 2" xfId="7942"/>
    <cellStyle name="Процентный 5 3 62 2 2" xfId="18622"/>
    <cellStyle name="Процентный 5 3 62 2 2 2" xfId="50666"/>
    <cellStyle name="Процентный 5 3 62 2 3" xfId="29303"/>
    <cellStyle name="Процентный 5 3 62 2 3 2" xfId="61346"/>
    <cellStyle name="Процентный 5 3 62 2 4" xfId="39986"/>
    <cellStyle name="Процентный 5 3 62 3" xfId="13282"/>
    <cellStyle name="Процентный 5 3 62 3 2" xfId="45326"/>
    <cellStyle name="Процентный 5 3 62 4" xfId="23963"/>
    <cellStyle name="Процентный 5 3 62 4 2" xfId="56006"/>
    <cellStyle name="Процентный 5 3 62 5" xfId="34646"/>
    <cellStyle name="Процентный 5 3 63" xfId="2632"/>
    <cellStyle name="Процентный 5 3 63 2" xfId="7974"/>
    <cellStyle name="Процентный 5 3 63 2 2" xfId="18654"/>
    <cellStyle name="Процентный 5 3 63 2 2 2" xfId="50698"/>
    <cellStyle name="Процентный 5 3 63 2 3" xfId="29335"/>
    <cellStyle name="Процентный 5 3 63 2 3 2" xfId="61378"/>
    <cellStyle name="Процентный 5 3 63 2 4" xfId="40018"/>
    <cellStyle name="Процентный 5 3 63 3" xfId="13314"/>
    <cellStyle name="Процентный 5 3 63 3 2" xfId="45358"/>
    <cellStyle name="Процентный 5 3 63 4" xfId="23995"/>
    <cellStyle name="Процентный 5 3 63 4 2" xfId="56038"/>
    <cellStyle name="Процентный 5 3 63 5" xfId="34678"/>
    <cellStyle name="Процентный 5 3 64" xfId="2664"/>
    <cellStyle name="Процентный 5 3 64 2" xfId="8006"/>
    <cellStyle name="Процентный 5 3 64 2 2" xfId="18686"/>
    <cellStyle name="Процентный 5 3 64 2 2 2" xfId="50730"/>
    <cellStyle name="Процентный 5 3 64 2 3" xfId="29367"/>
    <cellStyle name="Процентный 5 3 64 2 3 2" xfId="61410"/>
    <cellStyle name="Процентный 5 3 64 2 4" xfId="40050"/>
    <cellStyle name="Процентный 5 3 64 3" xfId="13346"/>
    <cellStyle name="Процентный 5 3 64 3 2" xfId="45390"/>
    <cellStyle name="Процентный 5 3 64 4" xfId="24027"/>
    <cellStyle name="Процентный 5 3 64 4 2" xfId="56070"/>
    <cellStyle name="Процентный 5 3 64 5" xfId="34710"/>
    <cellStyle name="Процентный 5 3 65" xfId="2696"/>
    <cellStyle name="Процентный 5 3 65 2" xfId="8038"/>
    <cellStyle name="Процентный 5 3 65 2 2" xfId="18718"/>
    <cellStyle name="Процентный 5 3 65 2 2 2" xfId="50762"/>
    <cellStyle name="Процентный 5 3 65 2 3" xfId="29399"/>
    <cellStyle name="Процентный 5 3 65 2 3 2" xfId="61442"/>
    <cellStyle name="Процентный 5 3 65 2 4" xfId="40082"/>
    <cellStyle name="Процентный 5 3 65 3" xfId="13378"/>
    <cellStyle name="Процентный 5 3 65 3 2" xfId="45422"/>
    <cellStyle name="Процентный 5 3 65 4" xfId="24059"/>
    <cellStyle name="Процентный 5 3 65 4 2" xfId="56102"/>
    <cellStyle name="Процентный 5 3 65 5" xfId="34742"/>
    <cellStyle name="Процентный 5 3 66" xfId="2728"/>
    <cellStyle name="Процентный 5 3 66 2" xfId="8070"/>
    <cellStyle name="Процентный 5 3 66 2 2" xfId="18750"/>
    <cellStyle name="Процентный 5 3 66 2 2 2" xfId="50794"/>
    <cellStyle name="Процентный 5 3 66 2 3" xfId="29431"/>
    <cellStyle name="Процентный 5 3 66 2 3 2" xfId="61474"/>
    <cellStyle name="Процентный 5 3 66 2 4" xfId="40114"/>
    <cellStyle name="Процентный 5 3 66 3" xfId="13410"/>
    <cellStyle name="Процентный 5 3 66 3 2" xfId="45454"/>
    <cellStyle name="Процентный 5 3 66 4" xfId="24091"/>
    <cellStyle name="Процентный 5 3 66 4 2" xfId="56134"/>
    <cellStyle name="Процентный 5 3 66 5" xfId="34774"/>
    <cellStyle name="Процентный 5 3 67" xfId="2762"/>
    <cellStyle name="Процентный 5 3 67 2" xfId="8104"/>
    <cellStyle name="Процентный 5 3 67 2 2" xfId="18784"/>
    <cellStyle name="Процентный 5 3 67 2 2 2" xfId="50828"/>
    <cellStyle name="Процентный 5 3 67 2 3" xfId="29465"/>
    <cellStyle name="Процентный 5 3 67 2 3 2" xfId="61508"/>
    <cellStyle name="Процентный 5 3 67 2 4" xfId="40148"/>
    <cellStyle name="Процентный 5 3 67 3" xfId="13444"/>
    <cellStyle name="Процентный 5 3 67 3 2" xfId="45488"/>
    <cellStyle name="Процентный 5 3 67 4" xfId="24125"/>
    <cellStyle name="Процентный 5 3 67 4 2" xfId="56168"/>
    <cellStyle name="Процентный 5 3 67 5" xfId="34808"/>
    <cellStyle name="Процентный 5 3 68" xfId="2794"/>
    <cellStyle name="Процентный 5 3 68 2" xfId="8136"/>
    <cellStyle name="Процентный 5 3 68 2 2" xfId="18816"/>
    <cellStyle name="Процентный 5 3 68 2 2 2" xfId="50860"/>
    <cellStyle name="Процентный 5 3 68 2 3" xfId="29497"/>
    <cellStyle name="Процентный 5 3 68 2 3 2" xfId="61540"/>
    <cellStyle name="Процентный 5 3 68 2 4" xfId="40180"/>
    <cellStyle name="Процентный 5 3 68 3" xfId="13476"/>
    <cellStyle name="Процентный 5 3 68 3 2" xfId="45520"/>
    <cellStyle name="Процентный 5 3 68 4" xfId="24157"/>
    <cellStyle name="Процентный 5 3 68 4 2" xfId="56200"/>
    <cellStyle name="Процентный 5 3 68 5" xfId="34840"/>
    <cellStyle name="Процентный 5 3 69" xfId="2826"/>
    <cellStyle name="Процентный 5 3 69 2" xfId="8168"/>
    <cellStyle name="Процентный 5 3 69 2 2" xfId="18848"/>
    <cellStyle name="Процентный 5 3 69 2 2 2" xfId="50892"/>
    <cellStyle name="Процентный 5 3 69 2 3" xfId="29529"/>
    <cellStyle name="Процентный 5 3 69 2 3 2" xfId="61572"/>
    <cellStyle name="Процентный 5 3 69 2 4" xfId="40212"/>
    <cellStyle name="Процентный 5 3 69 3" xfId="13508"/>
    <cellStyle name="Процентный 5 3 69 3 2" xfId="45552"/>
    <cellStyle name="Процентный 5 3 69 4" xfId="24189"/>
    <cellStyle name="Процентный 5 3 69 4 2" xfId="56232"/>
    <cellStyle name="Процентный 5 3 69 5" xfId="34872"/>
    <cellStyle name="Процентный 5 3 7" xfId="1081"/>
    <cellStyle name="Процентный 5 3 7 2" xfId="6424"/>
    <cellStyle name="Процентный 5 3 7 2 2" xfId="17104"/>
    <cellStyle name="Процентный 5 3 7 2 2 2" xfId="49148"/>
    <cellStyle name="Процентный 5 3 7 2 3" xfId="27785"/>
    <cellStyle name="Процентный 5 3 7 2 3 2" xfId="59828"/>
    <cellStyle name="Процентный 5 3 7 2 4" xfId="38468"/>
    <cellStyle name="Процентный 5 3 7 3" xfId="11764"/>
    <cellStyle name="Процентный 5 3 7 3 2" xfId="43808"/>
    <cellStyle name="Процентный 5 3 7 4" xfId="22445"/>
    <cellStyle name="Процентный 5 3 7 4 2" xfId="54488"/>
    <cellStyle name="Процентный 5 3 7 5" xfId="33128"/>
    <cellStyle name="Процентный 5 3 70" xfId="2858"/>
    <cellStyle name="Процентный 5 3 70 2" xfId="8200"/>
    <cellStyle name="Процентный 5 3 70 2 2" xfId="18880"/>
    <cellStyle name="Процентный 5 3 70 2 2 2" xfId="50924"/>
    <cellStyle name="Процентный 5 3 70 2 3" xfId="29561"/>
    <cellStyle name="Процентный 5 3 70 2 3 2" xfId="61604"/>
    <cellStyle name="Процентный 5 3 70 2 4" xfId="40244"/>
    <cellStyle name="Процентный 5 3 70 3" xfId="13540"/>
    <cellStyle name="Процентный 5 3 70 3 2" xfId="45584"/>
    <cellStyle name="Процентный 5 3 70 4" xfId="24221"/>
    <cellStyle name="Процентный 5 3 70 4 2" xfId="56264"/>
    <cellStyle name="Процентный 5 3 70 5" xfId="34904"/>
    <cellStyle name="Процентный 5 3 71" xfId="2890"/>
    <cellStyle name="Процентный 5 3 71 2" xfId="8232"/>
    <cellStyle name="Процентный 5 3 71 2 2" xfId="18912"/>
    <cellStyle name="Процентный 5 3 71 2 2 2" xfId="50956"/>
    <cellStyle name="Процентный 5 3 71 2 3" xfId="29593"/>
    <cellStyle name="Процентный 5 3 71 2 3 2" xfId="61636"/>
    <cellStyle name="Процентный 5 3 71 2 4" xfId="40276"/>
    <cellStyle name="Процентный 5 3 71 3" xfId="13572"/>
    <cellStyle name="Процентный 5 3 71 3 2" xfId="45616"/>
    <cellStyle name="Процентный 5 3 71 4" xfId="24253"/>
    <cellStyle name="Процентный 5 3 71 4 2" xfId="56296"/>
    <cellStyle name="Процентный 5 3 71 5" xfId="34936"/>
    <cellStyle name="Процентный 5 3 72" xfId="2922"/>
    <cellStyle name="Процентный 5 3 72 2" xfId="8264"/>
    <cellStyle name="Процентный 5 3 72 2 2" xfId="18944"/>
    <cellStyle name="Процентный 5 3 72 2 2 2" xfId="50988"/>
    <cellStyle name="Процентный 5 3 72 2 3" xfId="29625"/>
    <cellStyle name="Процентный 5 3 72 2 3 2" xfId="61668"/>
    <cellStyle name="Процентный 5 3 72 2 4" xfId="40308"/>
    <cellStyle name="Процентный 5 3 72 3" xfId="13604"/>
    <cellStyle name="Процентный 5 3 72 3 2" xfId="45648"/>
    <cellStyle name="Процентный 5 3 72 4" xfId="24285"/>
    <cellStyle name="Процентный 5 3 72 4 2" xfId="56328"/>
    <cellStyle name="Процентный 5 3 72 5" xfId="34968"/>
    <cellStyle name="Процентный 5 3 73" xfId="2954"/>
    <cellStyle name="Процентный 5 3 73 2" xfId="8296"/>
    <cellStyle name="Процентный 5 3 73 2 2" xfId="18976"/>
    <cellStyle name="Процентный 5 3 73 2 2 2" xfId="51020"/>
    <cellStyle name="Процентный 5 3 73 2 3" xfId="29657"/>
    <cellStyle name="Процентный 5 3 73 2 3 2" xfId="61700"/>
    <cellStyle name="Процентный 5 3 73 2 4" xfId="40340"/>
    <cellStyle name="Процентный 5 3 73 3" xfId="13636"/>
    <cellStyle name="Процентный 5 3 73 3 2" xfId="45680"/>
    <cellStyle name="Процентный 5 3 73 4" xfId="24317"/>
    <cellStyle name="Процентный 5 3 73 4 2" xfId="56360"/>
    <cellStyle name="Процентный 5 3 73 5" xfId="35000"/>
    <cellStyle name="Процентный 5 3 74" xfId="2986"/>
    <cellStyle name="Процентный 5 3 74 2" xfId="8328"/>
    <cellStyle name="Процентный 5 3 74 2 2" xfId="19008"/>
    <cellStyle name="Процентный 5 3 74 2 2 2" xfId="51052"/>
    <cellStyle name="Процентный 5 3 74 2 3" xfId="29689"/>
    <cellStyle name="Процентный 5 3 74 2 3 2" xfId="61732"/>
    <cellStyle name="Процентный 5 3 74 2 4" xfId="40372"/>
    <cellStyle name="Процентный 5 3 74 3" xfId="13668"/>
    <cellStyle name="Процентный 5 3 74 3 2" xfId="45712"/>
    <cellStyle name="Процентный 5 3 74 4" xfId="24349"/>
    <cellStyle name="Процентный 5 3 74 4 2" xfId="56392"/>
    <cellStyle name="Процентный 5 3 74 5" xfId="35032"/>
    <cellStyle name="Процентный 5 3 75" xfId="3018"/>
    <cellStyle name="Процентный 5 3 75 2" xfId="8360"/>
    <cellStyle name="Процентный 5 3 75 2 2" xfId="19040"/>
    <cellStyle name="Процентный 5 3 75 2 2 2" xfId="51084"/>
    <cellStyle name="Процентный 5 3 75 2 3" xfId="29721"/>
    <cellStyle name="Процентный 5 3 75 2 3 2" xfId="61764"/>
    <cellStyle name="Процентный 5 3 75 2 4" xfId="40404"/>
    <cellStyle name="Процентный 5 3 75 3" xfId="13700"/>
    <cellStyle name="Процентный 5 3 75 3 2" xfId="45744"/>
    <cellStyle name="Процентный 5 3 75 4" xfId="24381"/>
    <cellStyle name="Процентный 5 3 75 4 2" xfId="56424"/>
    <cellStyle name="Процентный 5 3 75 5" xfId="35064"/>
    <cellStyle name="Процентный 5 3 76" xfId="3050"/>
    <cellStyle name="Процентный 5 3 76 2" xfId="8392"/>
    <cellStyle name="Процентный 5 3 76 2 2" xfId="19072"/>
    <cellStyle name="Процентный 5 3 76 2 2 2" xfId="51116"/>
    <cellStyle name="Процентный 5 3 76 2 3" xfId="29753"/>
    <cellStyle name="Процентный 5 3 76 2 3 2" xfId="61796"/>
    <cellStyle name="Процентный 5 3 76 2 4" xfId="40436"/>
    <cellStyle name="Процентный 5 3 76 3" xfId="13732"/>
    <cellStyle name="Процентный 5 3 76 3 2" xfId="45776"/>
    <cellStyle name="Процентный 5 3 76 4" xfId="24413"/>
    <cellStyle name="Процентный 5 3 76 4 2" xfId="56456"/>
    <cellStyle name="Процентный 5 3 76 5" xfId="35096"/>
    <cellStyle name="Процентный 5 3 77" xfId="3082"/>
    <cellStyle name="Процентный 5 3 77 2" xfId="8424"/>
    <cellStyle name="Процентный 5 3 77 2 2" xfId="19104"/>
    <cellStyle name="Процентный 5 3 77 2 2 2" xfId="51148"/>
    <cellStyle name="Процентный 5 3 77 2 3" xfId="29785"/>
    <cellStyle name="Процентный 5 3 77 2 3 2" xfId="61828"/>
    <cellStyle name="Процентный 5 3 77 2 4" xfId="40468"/>
    <cellStyle name="Процентный 5 3 77 3" xfId="13764"/>
    <cellStyle name="Процентный 5 3 77 3 2" xfId="45808"/>
    <cellStyle name="Процентный 5 3 77 4" xfId="24445"/>
    <cellStyle name="Процентный 5 3 77 4 2" xfId="56488"/>
    <cellStyle name="Процентный 5 3 77 5" xfId="35128"/>
    <cellStyle name="Процентный 5 3 78" xfId="3115"/>
    <cellStyle name="Процентный 5 3 78 2" xfId="8456"/>
    <cellStyle name="Процентный 5 3 78 2 2" xfId="19136"/>
    <cellStyle name="Процентный 5 3 78 2 2 2" xfId="51180"/>
    <cellStyle name="Процентный 5 3 78 2 3" xfId="29817"/>
    <cellStyle name="Процентный 5 3 78 2 3 2" xfId="61860"/>
    <cellStyle name="Процентный 5 3 78 2 4" xfId="40500"/>
    <cellStyle name="Процентный 5 3 78 3" xfId="13796"/>
    <cellStyle name="Процентный 5 3 78 3 2" xfId="45840"/>
    <cellStyle name="Процентный 5 3 78 4" xfId="24477"/>
    <cellStyle name="Процентный 5 3 78 4 2" xfId="56520"/>
    <cellStyle name="Процентный 5 3 78 5" xfId="35160"/>
    <cellStyle name="Процентный 5 3 79" xfId="3147"/>
    <cellStyle name="Процентный 5 3 79 2" xfId="8488"/>
    <cellStyle name="Процентный 5 3 79 2 2" xfId="19168"/>
    <cellStyle name="Процентный 5 3 79 2 2 2" xfId="51212"/>
    <cellStyle name="Процентный 5 3 79 2 3" xfId="29849"/>
    <cellStyle name="Процентный 5 3 79 2 3 2" xfId="61892"/>
    <cellStyle name="Процентный 5 3 79 2 4" xfId="40532"/>
    <cellStyle name="Процентный 5 3 79 3" xfId="13828"/>
    <cellStyle name="Процентный 5 3 79 3 2" xfId="45872"/>
    <cellStyle name="Процентный 5 3 79 4" xfId="24509"/>
    <cellStyle name="Процентный 5 3 79 4 2" xfId="56552"/>
    <cellStyle name="Процентный 5 3 79 5" xfId="35192"/>
    <cellStyle name="Процентный 5 3 8" xfId="1107"/>
    <cellStyle name="Процентный 5 3 8 2" xfId="6450"/>
    <cellStyle name="Процентный 5 3 8 2 2" xfId="17130"/>
    <cellStyle name="Процентный 5 3 8 2 2 2" xfId="49174"/>
    <cellStyle name="Процентный 5 3 8 2 3" xfId="27811"/>
    <cellStyle name="Процентный 5 3 8 2 3 2" xfId="59854"/>
    <cellStyle name="Процентный 5 3 8 2 4" xfId="38494"/>
    <cellStyle name="Процентный 5 3 8 3" xfId="11790"/>
    <cellStyle name="Процентный 5 3 8 3 2" xfId="43834"/>
    <cellStyle name="Процентный 5 3 8 4" xfId="22471"/>
    <cellStyle name="Процентный 5 3 8 4 2" xfId="54514"/>
    <cellStyle name="Процентный 5 3 8 5" xfId="33154"/>
    <cellStyle name="Процентный 5 3 80" xfId="3179"/>
    <cellStyle name="Процентный 5 3 80 2" xfId="8520"/>
    <cellStyle name="Процентный 5 3 80 2 2" xfId="19200"/>
    <cellStyle name="Процентный 5 3 80 2 2 2" xfId="51244"/>
    <cellStyle name="Процентный 5 3 80 2 3" xfId="29881"/>
    <cellStyle name="Процентный 5 3 80 2 3 2" xfId="61924"/>
    <cellStyle name="Процентный 5 3 80 2 4" xfId="40564"/>
    <cellStyle name="Процентный 5 3 80 3" xfId="13860"/>
    <cellStyle name="Процентный 5 3 80 3 2" xfId="45904"/>
    <cellStyle name="Процентный 5 3 80 4" xfId="24541"/>
    <cellStyle name="Процентный 5 3 80 4 2" xfId="56584"/>
    <cellStyle name="Процентный 5 3 80 5" xfId="35224"/>
    <cellStyle name="Процентный 5 3 81" xfId="3211"/>
    <cellStyle name="Процентный 5 3 81 2" xfId="8552"/>
    <cellStyle name="Процентный 5 3 81 2 2" xfId="19232"/>
    <cellStyle name="Процентный 5 3 81 2 2 2" xfId="51276"/>
    <cellStyle name="Процентный 5 3 81 2 3" xfId="29913"/>
    <cellStyle name="Процентный 5 3 81 2 3 2" xfId="61956"/>
    <cellStyle name="Процентный 5 3 81 2 4" xfId="40596"/>
    <cellStyle name="Процентный 5 3 81 3" xfId="13892"/>
    <cellStyle name="Процентный 5 3 81 3 2" xfId="45936"/>
    <cellStyle name="Процентный 5 3 81 4" xfId="24573"/>
    <cellStyle name="Процентный 5 3 81 4 2" xfId="56616"/>
    <cellStyle name="Процентный 5 3 81 5" xfId="35256"/>
    <cellStyle name="Процентный 5 3 82" xfId="3243"/>
    <cellStyle name="Процентный 5 3 82 2" xfId="8584"/>
    <cellStyle name="Процентный 5 3 82 2 2" xfId="19264"/>
    <cellStyle name="Процентный 5 3 82 2 2 2" xfId="51308"/>
    <cellStyle name="Процентный 5 3 82 2 3" xfId="29945"/>
    <cellStyle name="Процентный 5 3 82 2 3 2" xfId="61988"/>
    <cellStyle name="Процентный 5 3 82 2 4" xfId="40628"/>
    <cellStyle name="Процентный 5 3 82 3" xfId="13924"/>
    <cellStyle name="Процентный 5 3 82 3 2" xfId="45968"/>
    <cellStyle name="Процентный 5 3 82 4" xfId="24605"/>
    <cellStyle name="Процентный 5 3 82 4 2" xfId="56648"/>
    <cellStyle name="Процентный 5 3 82 5" xfId="35288"/>
    <cellStyle name="Процентный 5 3 83" xfId="3275"/>
    <cellStyle name="Процентный 5 3 83 2" xfId="8616"/>
    <cellStyle name="Процентный 5 3 83 2 2" xfId="19296"/>
    <cellStyle name="Процентный 5 3 83 2 2 2" xfId="51340"/>
    <cellStyle name="Процентный 5 3 83 2 3" xfId="29977"/>
    <cellStyle name="Процентный 5 3 83 2 3 2" xfId="62020"/>
    <cellStyle name="Процентный 5 3 83 2 4" xfId="40660"/>
    <cellStyle name="Процентный 5 3 83 3" xfId="13956"/>
    <cellStyle name="Процентный 5 3 83 3 2" xfId="46000"/>
    <cellStyle name="Процентный 5 3 83 4" xfId="24637"/>
    <cellStyle name="Процентный 5 3 83 4 2" xfId="56680"/>
    <cellStyle name="Процентный 5 3 83 5" xfId="35320"/>
    <cellStyle name="Процентный 5 3 84" xfId="3307"/>
    <cellStyle name="Процентный 5 3 84 2" xfId="8648"/>
    <cellStyle name="Процентный 5 3 84 2 2" xfId="19328"/>
    <cellStyle name="Процентный 5 3 84 2 2 2" xfId="51372"/>
    <cellStyle name="Процентный 5 3 84 2 3" xfId="30009"/>
    <cellStyle name="Процентный 5 3 84 2 3 2" xfId="62052"/>
    <cellStyle name="Процентный 5 3 84 2 4" xfId="40692"/>
    <cellStyle name="Процентный 5 3 84 3" xfId="13988"/>
    <cellStyle name="Процентный 5 3 84 3 2" xfId="46032"/>
    <cellStyle name="Процентный 5 3 84 4" xfId="24669"/>
    <cellStyle name="Процентный 5 3 84 4 2" xfId="56712"/>
    <cellStyle name="Процентный 5 3 84 5" xfId="35352"/>
    <cellStyle name="Процентный 5 3 85" xfId="3339"/>
    <cellStyle name="Процентный 5 3 85 2" xfId="8680"/>
    <cellStyle name="Процентный 5 3 85 2 2" xfId="19360"/>
    <cellStyle name="Процентный 5 3 85 2 2 2" xfId="51404"/>
    <cellStyle name="Процентный 5 3 85 2 3" xfId="30041"/>
    <cellStyle name="Процентный 5 3 85 2 3 2" xfId="62084"/>
    <cellStyle name="Процентный 5 3 85 2 4" xfId="40724"/>
    <cellStyle name="Процентный 5 3 85 3" xfId="14020"/>
    <cellStyle name="Процентный 5 3 85 3 2" xfId="46064"/>
    <cellStyle name="Процентный 5 3 85 4" xfId="24701"/>
    <cellStyle name="Процентный 5 3 85 4 2" xfId="56744"/>
    <cellStyle name="Процентный 5 3 85 5" xfId="35384"/>
    <cellStyle name="Процентный 5 3 86" xfId="3371"/>
    <cellStyle name="Процентный 5 3 86 2" xfId="8712"/>
    <cellStyle name="Процентный 5 3 86 2 2" xfId="19392"/>
    <cellStyle name="Процентный 5 3 86 2 2 2" xfId="51436"/>
    <cellStyle name="Процентный 5 3 86 2 3" xfId="30073"/>
    <cellStyle name="Процентный 5 3 86 2 3 2" xfId="62116"/>
    <cellStyle name="Процентный 5 3 86 2 4" xfId="40756"/>
    <cellStyle name="Процентный 5 3 86 3" xfId="14052"/>
    <cellStyle name="Процентный 5 3 86 3 2" xfId="46096"/>
    <cellStyle name="Процентный 5 3 86 4" xfId="24733"/>
    <cellStyle name="Процентный 5 3 86 4 2" xfId="56776"/>
    <cellStyle name="Процентный 5 3 86 5" xfId="35416"/>
    <cellStyle name="Процентный 5 3 87" xfId="3403"/>
    <cellStyle name="Процентный 5 3 87 2" xfId="8744"/>
    <cellStyle name="Процентный 5 3 87 2 2" xfId="19424"/>
    <cellStyle name="Процентный 5 3 87 2 2 2" xfId="51468"/>
    <cellStyle name="Процентный 5 3 87 2 3" xfId="30105"/>
    <cellStyle name="Процентный 5 3 87 2 3 2" xfId="62148"/>
    <cellStyle name="Процентный 5 3 87 2 4" xfId="40788"/>
    <cellStyle name="Процентный 5 3 87 3" xfId="14084"/>
    <cellStyle name="Процентный 5 3 87 3 2" xfId="46128"/>
    <cellStyle name="Процентный 5 3 87 4" xfId="24765"/>
    <cellStyle name="Процентный 5 3 87 4 2" xfId="56808"/>
    <cellStyle name="Процентный 5 3 87 5" xfId="35448"/>
    <cellStyle name="Процентный 5 3 88" xfId="3435"/>
    <cellStyle name="Процентный 5 3 88 2" xfId="8776"/>
    <cellStyle name="Процентный 5 3 88 2 2" xfId="19456"/>
    <cellStyle name="Процентный 5 3 88 2 2 2" xfId="51500"/>
    <cellStyle name="Процентный 5 3 88 2 3" xfId="30137"/>
    <cellStyle name="Процентный 5 3 88 2 3 2" xfId="62180"/>
    <cellStyle name="Процентный 5 3 88 2 4" xfId="40820"/>
    <cellStyle name="Процентный 5 3 88 3" xfId="14116"/>
    <cellStyle name="Процентный 5 3 88 3 2" xfId="46160"/>
    <cellStyle name="Процентный 5 3 88 4" xfId="24797"/>
    <cellStyle name="Процентный 5 3 88 4 2" xfId="56840"/>
    <cellStyle name="Процентный 5 3 88 5" xfId="35480"/>
    <cellStyle name="Процентный 5 3 89" xfId="3467"/>
    <cellStyle name="Процентный 5 3 89 2" xfId="8808"/>
    <cellStyle name="Процентный 5 3 89 2 2" xfId="19488"/>
    <cellStyle name="Процентный 5 3 89 2 2 2" xfId="51532"/>
    <cellStyle name="Процентный 5 3 89 2 3" xfId="30169"/>
    <cellStyle name="Процентный 5 3 89 2 3 2" xfId="62212"/>
    <cellStyle name="Процентный 5 3 89 2 4" xfId="40852"/>
    <cellStyle name="Процентный 5 3 89 3" xfId="14148"/>
    <cellStyle name="Процентный 5 3 89 3 2" xfId="46192"/>
    <cellStyle name="Процентный 5 3 89 4" xfId="24829"/>
    <cellStyle name="Процентный 5 3 89 4 2" xfId="56872"/>
    <cellStyle name="Процентный 5 3 89 5" xfId="35512"/>
    <cellStyle name="Процентный 5 3 9" xfId="1133"/>
    <cellStyle name="Процентный 5 3 9 2" xfId="6476"/>
    <cellStyle name="Процентный 5 3 9 2 2" xfId="17156"/>
    <cellStyle name="Процентный 5 3 9 2 2 2" xfId="49200"/>
    <cellStyle name="Процентный 5 3 9 2 3" xfId="27837"/>
    <cellStyle name="Процентный 5 3 9 2 3 2" xfId="59880"/>
    <cellStyle name="Процентный 5 3 9 2 4" xfId="38520"/>
    <cellStyle name="Процентный 5 3 9 3" xfId="11816"/>
    <cellStyle name="Процентный 5 3 9 3 2" xfId="43860"/>
    <cellStyle name="Процентный 5 3 9 4" xfId="22497"/>
    <cellStyle name="Процентный 5 3 9 4 2" xfId="54540"/>
    <cellStyle name="Процентный 5 3 9 5" xfId="33180"/>
    <cellStyle name="Процентный 5 3 90" xfId="3499"/>
    <cellStyle name="Процентный 5 3 90 2" xfId="8840"/>
    <cellStyle name="Процентный 5 3 90 2 2" xfId="19520"/>
    <cellStyle name="Процентный 5 3 90 2 2 2" xfId="51564"/>
    <cellStyle name="Процентный 5 3 90 2 3" xfId="30201"/>
    <cellStyle name="Процентный 5 3 90 2 3 2" xfId="62244"/>
    <cellStyle name="Процентный 5 3 90 2 4" xfId="40884"/>
    <cellStyle name="Процентный 5 3 90 3" xfId="14180"/>
    <cellStyle name="Процентный 5 3 90 3 2" xfId="46224"/>
    <cellStyle name="Процентный 5 3 90 4" xfId="24861"/>
    <cellStyle name="Процентный 5 3 90 4 2" xfId="56904"/>
    <cellStyle name="Процентный 5 3 90 5" xfId="35544"/>
    <cellStyle name="Процентный 5 3 91" xfId="3531"/>
    <cellStyle name="Процентный 5 3 91 2" xfId="8872"/>
    <cellStyle name="Процентный 5 3 91 2 2" xfId="19552"/>
    <cellStyle name="Процентный 5 3 91 2 2 2" xfId="51596"/>
    <cellStyle name="Процентный 5 3 91 2 3" xfId="30233"/>
    <cellStyle name="Процентный 5 3 91 2 3 2" xfId="62276"/>
    <cellStyle name="Процентный 5 3 91 2 4" xfId="40916"/>
    <cellStyle name="Процентный 5 3 91 3" xfId="14212"/>
    <cellStyle name="Процентный 5 3 91 3 2" xfId="46256"/>
    <cellStyle name="Процентный 5 3 91 4" xfId="24893"/>
    <cellStyle name="Процентный 5 3 91 4 2" xfId="56936"/>
    <cellStyle name="Процентный 5 3 91 5" xfId="35576"/>
    <cellStyle name="Процентный 5 3 92" xfId="3563"/>
    <cellStyle name="Процентный 5 3 92 2" xfId="8904"/>
    <cellStyle name="Процентный 5 3 92 2 2" xfId="19584"/>
    <cellStyle name="Процентный 5 3 92 2 2 2" xfId="51628"/>
    <cellStyle name="Процентный 5 3 92 2 3" xfId="30265"/>
    <cellStyle name="Процентный 5 3 92 2 3 2" xfId="62308"/>
    <cellStyle name="Процентный 5 3 92 2 4" xfId="40948"/>
    <cellStyle name="Процентный 5 3 92 3" xfId="14244"/>
    <cellStyle name="Процентный 5 3 92 3 2" xfId="46288"/>
    <cellStyle name="Процентный 5 3 92 4" xfId="24925"/>
    <cellStyle name="Процентный 5 3 92 4 2" xfId="56968"/>
    <cellStyle name="Процентный 5 3 92 5" xfId="35608"/>
    <cellStyle name="Процентный 5 3 93" xfId="3595"/>
    <cellStyle name="Процентный 5 3 93 2" xfId="8936"/>
    <cellStyle name="Процентный 5 3 93 2 2" xfId="19616"/>
    <cellStyle name="Процентный 5 3 93 2 2 2" xfId="51660"/>
    <cellStyle name="Процентный 5 3 93 2 3" xfId="30297"/>
    <cellStyle name="Процентный 5 3 93 2 3 2" xfId="62340"/>
    <cellStyle name="Процентный 5 3 93 2 4" xfId="40980"/>
    <cellStyle name="Процентный 5 3 93 3" xfId="14276"/>
    <cellStyle name="Процентный 5 3 93 3 2" xfId="46320"/>
    <cellStyle name="Процентный 5 3 93 4" xfId="24957"/>
    <cellStyle name="Процентный 5 3 93 4 2" xfId="57000"/>
    <cellStyle name="Процентный 5 3 93 5" xfId="35640"/>
    <cellStyle name="Процентный 5 3 94" xfId="3627"/>
    <cellStyle name="Процентный 5 3 94 2" xfId="8968"/>
    <cellStyle name="Процентный 5 3 94 2 2" xfId="19648"/>
    <cellStyle name="Процентный 5 3 94 2 2 2" xfId="51692"/>
    <cellStyle name="Процентный 5 3 94 2 3" xfId="30329"/>
    <cellStyle name="Процентный 5 3 94 2 3 2" xfId="62372"/>
    <cellStyle name="Процентный 5 3 94 2 4" xfId="41012"/>
    <cellStyle name="Процентный 5 3 94 3" xfId="14308"/>
    <cellStyle name="Процентный 5 3 94 3 2" xfId="46352"/>
    <cellStyle name="Процентный 5 3 94 4" xfId="24989"/>
    <cellStyle name="Процентный 5 3 94 4 2" xfId="57032"/>
    <cellStyle name="Процентный 5 3 94 5" xfId="35672"/>
    <cellStyle name="Процентный 5 3 95" xfId="3659"/>
    <cellStyle name="Процентный 5 3 95 2" xfId="9000"/>
    <cellStyle name="Процентный 5 3 95 2 2" xfId="19680"/>
    <cellStyle name="Процентный 5 3 95 2 2 2" xfId="51724"/>
    <cellStyle name="Процентный 5 3 95 2 3" xfId="30361"/>
    <cellStyle name="Процентный 5 3 95 2 3 2" xfId="62404"/>
    <cellStyle name="Процентный 5 3 95 2 4" xfId="41044"/>
    <cellStyle name="Процентный 5 3 95 3" xfId="14340"/>
    <cellStyle name="Процентный 5 3 95 3 2" xfId="46384"/>
    <cellStyle name="Процентный 5 3 95 4" xfId="25021"/>
    <cellStyle name="Процентный 5 3 95 4 2" xfId="57064"/>
    <cellStyle name="Процентный 5 3 95 5" xfId="35704"/>
    <cellStyle name="Процентный 5 3 96" xfId="3691"/>
    <cellStyle name="Процентный 5 3 96 2" xfId="9032"/>
    <cellStyle name="Процентный 5 3 96 2 2" xfId="19712"/>
    <cellStyle name="Процентный 5 3 96 2 2 2" xfId="51756"/>
    <cellStyle name="Процентный 5 3 96 2 3" xfId="30393"/>
    <cellStyle name="Процентный 5 3 96 2 3 2" xfId="62436"/>
    <cellStyle name="Процентный 5 3 96 2 4" xfId="41076"/>
    <cellStyle name="Процентный 5 3 96 3" xfId="14372"/>
    <cellStyle name="Процентный 5 3 96 3 2" xfId="46416"/>
    <cellStyle name="Процентный 5 3 96 4" xfId="25053"/>
    <cellStyle name="Процентный 5 3 96 4 2" xfId="57096"/>
    <cellStyle name="Процентный 5 3 96 5" xfId="35736"/>
    <cellStyle name="Процентный 5 3 97" xfId="3723"/>
    <cellStyle name="Процентный 5 3 97 2" xfId="9064"/>
    <cellStyle name="Процентный 5 3 97 2 2" xfId="19744"/>
    <cellStyle name="Процентный 5 3 97 2 2 2" xfId="51788"/>
    <cellStyle name="Процентный 5 3 97 2 3" xfId="30425"/>
    <cellStyle name="Процентный 5 3 97 2 3 2" xfId="62468"/>
    <cellStyle name="Процентный 5 3 97 2 4" xfId="41108"/>
    <cellStyle name="Процентный 5 3 97 3" xfId="14404"/>
    <cellStyle name="Процентный 5 3 97 3 2" xfId="46448"/>
    <cellStyle name="Процентный 5 3 97 4" xfId="25085"/>
    <cellStyle name="Процентный 5 3 97 4 2" xfId="57128"/>
    <cellStyle name="Процентный 5 3 97 5" xfId="35768"/>
    <cellStyle name="Процентный 5 3 98" xfId="3755"/>
    <cellStyle name="Процентный 5 3 98 2" xfId="9096"/>
    <cellStyle name="Процентный 5 3 98 2 2" xfId="19776"/>
    <cellStyle name="Процентный 5 3 98 2 2 2" xfId="51820"/>
    <cellStyle name="Процентный 5 3 98 2 3" xfId="30457"/>
    <cellStyle name="Процентный 5 3 98 2 3 2" xfId="62500"/>
    <cellStyle name="Процентный 5 3 98 2 4" xfId="41140"/>
    <cellStyle name="Процентный 5 3 98 3" xfId="14436"/>
    <cellStyle name="Процентный 5 3 98 3 2" xfId="46480"/>
    <cellStyle name="Процентный 5 3 98 4" xfId="25117"/>
    <cellStyle name="Процентный 5 3 98 4 2" xfId="57160"/>
    <cellStyle name="Процентный 5 3 98 5" xfId="35800"/>
    <cellStyle name="Процентный 5 3 99" xfId="3787"/>
    <cellStyle name="Процентный 5 3 99 2" xfId="9128"/>
    <cellStyle name="Процентный 5 3 99 2 2" xfId="19808"/>
    <cellStyle name="Процентный 5 3 99 2 2 2" xfId="51852"/>
    <cellStyle name="Процентный 5 3 99 2 3" xfId="30489"/>
    <cellStyle name="Процентный 5 3 99 2 3 2" xfId="62532"/>
    <cellStyle name="Процентный 5 3 99 2 4" xfId="41172"/>
    <cellStyle name="Процентный 5 3 99 3" xfId="14468"/>
    <cellStyle name="Процентный 5 3 99 3 2" xfId="46512"/>
    <cellStyle name="Процентный 5 3 99 4" xfId="25149"/>
    <cellStyle name="Процентный 5 3 99 4 2" xfId="57192"/>
    <cellStyle name="Процентный 5 3 99 5" xfId="35832"/>
    <cellStyle name="Процентный 5 30" xfId="293"/>
    <cellStyle name="Процентный 5 30 2" xfId="761"/>
    <cellStyle name="Процентный 5 30 2 2" xfId="6104"/>
    <cellStyle name="Процентный 5 30 2 2 2" xfId="16784"/>
    <cellStyle name="Процентный 5 30 2 2 2 2" xfId="48828"/>
    <cellStyle name="Процентный 5 30 2 2 3" xfId="27465"/>
    <cellStyle name="Процентный 5 30 2 2 3 2" xfId="59508"/>
    <cellStyle name="Процентный 5 30 2 2 4" xfId="38148"/>
    <cellStyle name="Процентный 5 30 2 3" xfId="11444"/>
    <cellStyle name="Процентный 5 30 2 3 2" xfId="43488"/>
    <cellStyle name="Процентный 5 30 2 4" xfId="22125"/>
    <cellStyle name="Процентный 5 30 2 4 2" xfId="54168"/>
    <cellStyle name="Процентный 5 30 2 5" xfId="32808"/>
    <cellStyle name="Процентный 5 30 3" xfId="5637"/>
    <cellStyle name="Процентный 5 30 3 2" xfId="16317"/>
    <cellStyle name="Процентный 5 30 3 2 2" xfId="48361"/>
    <cellStyle name="Процентный 5 30 3 3" xfId="26998"/>
    <cellStyle name="Процентный 5 30 3 3 2" xfId="59041"/>
    <cellStyle name="Процентный 5 30 3 4" xfId="37681"/>
    <cellStyle name="Процентный 5 30 4" xfId="10977"/>
    <cellStyle name="Процентный 5 30 4 2" xfId="43021"/>
    <cellStyle name="Процентный 5 30 5" xfId="21658"/>
    <cellStyle name="Процентный 5 30 5 2" xfId="53701"/>
    <cellStyle name="Процентный 5 30 6" xfId="32341"/>
    <cellStyle name="Процентный 5 31" xfId="303"/>
    <cellStyle name="Процентный 5 31 2" xfId="771"/>
    <cellStyle name="Процентный 5 31 2 2" xfId="6114"/>
    <cellStyle name="Процентный 5 31 2 2 2" xfId="16794"/>
    <cellStyle name="Процентный 5 31 2 2 2 2" xfId="48838"/>
    <cellStyle name="Процентный 5 31 2 2 3" xfId="27475"/>
    <cellStyle name="Процентный 5 31 2 2 3 2" xfId="59518"/>
    <cellStyle name="Процентный 5 31 2 2 4" xfId="38158"/>
    <cellStyle name="Процентный 5 31 2 3" xfId="11454"/>
    <cellStyle name="Процентный 5 31 2 3 2" xfId="43498"/>
    <cellStyle name="Процентный 5 31 2 4" xfId="22135"/>
    <cellStyle name="Процентный 5 31 2 4 2" xfId="54178"/>
    <cellStyle name="Процентный 5 31 2 5" xfId="32818"/>
    <cellStyle name="Процентный 5 31 3" xfId="5647"/>
    <cellStyle name="Процентный 5 31 3 2" xfId="16327"/>
    <cellStyle name="Процентный 5 31 3 2 2" xfId="48371"/>
    <cellStyle name="Процентный 5 31 3 3" xfId="27008"/>
    <cellStyle name="Процентный 5 31 3 3 2" xfId="59051"/>
    <cellStyle name="Процентный 5 31 3 4" xfId="37691"/>
    <cellStyle name="Процентный 5 31 4" xfId="10987"/>
    <cellStyle name="Процентный 5 31 4 2" xfId="43031"/>
    <cellStyle name="Процентный 5 31 5" xfId="21668"/>
    <cellStyle name="Процентный 5 31 5 2" xfId="53711"/>
    <cellStyle name="Процентный 5 31 6" xfId="32351"/>
    <cellStyle name="Процентный 5 32" xfId="313"/>
    <cellStyle name="Процентный 5 32 2" xfId="781"/>
    <cellStyle name="Процентный 5 32 2 2" xfId="6124"/>
    <cellStyle name="Процентный 5 32 2 2 2" xfId="16804"/>
    <cellStyle name="Процентный 5 32 2 2 2 2" xfId="48848"/>
    <cellStyle name="Процентный 5 32 2 2 3" xfId="27485"/>
    <cellStyle name="Процентный 5 32 2 2 3 2" xfId="59528"/>
    <cellStyle name="Процентный 5 32 2 2 4" xfId="38168"/>
    <cellStyle name="Процентный 5 32 2 3" xfId="11464"/>
    <cellStyle name="Процентный 5 32 2 3 2" xfId="43508"/>
    <cellStyle name="Процентный 5 32 2 4" xfId="22145"/>
    <cellStyle name="Процентный 5 32 2 4 2" xfId="54188"/>
    <cellStyle name="Процентный 5 32 2 5" xfId="32828"/>
    <cellStyle name="Процентный 5 32 3" xfId="5657"/>
    <cellStyle name="Процентный 5 32 3 2" xfId="16337"/>
    <cellStyle name="Процентный 5 32 3 2 2" xfId="48381"/>
    <cellStyle name="Процентный 5 32 3 3" xfId="27018"/>
    <cellStyle name="Процентный 5 32 3 3 2" xfId="59061"/>
    <cellStyle name="Процентный 5 32 3 4" xfId="37701"/>
    <cellStyle name="Процентный 5 32 4" xfId="10997"/>
    <cellStyle name="Процентный 5 32 4 2" xfId="43041"/>
    <cellStyle name="Процентный 5 32 5" xfId="21678"/>
    <cellStyle name="Процентный 5 32 5 2" xfId="53721"/>
    <cellStyle name="Процентный 5 32 6" xfId="32361"/>
    <cellStyle name="Процентный 5 33" xfId="323"/>
    <cellStyle name="Процентный 5 33 2" xfId="791"/>
    <cellStyle name="Процентный 5 33 2 2" xfId="6134"/>
    <cellStyle name="Процентный 5 33 2 2 2" xfId="16814"/>
    <cellStyle name="Процентный 5 33 2 2 2 2" xfId="48858"/>
    <cellStyle name="Процентный 5 33 2 2 3" xfId="27495"/>
    <cellStyle name="Процентный 5 33 2 2 3 2" xfId="59538"/>
    <cellStyle name="Процентный 5 33 2 2 4" xfId="38178"/>
    <cellStyle name="Процентный 5 33 2 3" xfId="11474"/>
    <cellStyle name="Процентный 5 33 2 3 2" xfId="43518"/>
    <cellStyle name="Процентный 5 33 2 4" xfId="22155"/>
    <cellStyle name="Процентный 5 33 2 4 2" xfId="54198"/>
    <cellStyle name="Процентный 5 33 2 5" xfId="32838"/>
    <cellStyle name="Процентный 5 33 3" xfId="5667"/>
    <cellStyle name="Процентный 5 33 3 2" xfId="16347"/>
    <cellStyle name="Процентный 5 33 3 2 2" xfId="48391"/>
    <cellStyle name="Процентный 5 33 3 3" xfId="27028"/>
    <cellStyle name="Процентный 5 33 3 3 2" xfId="59071"/>
    <cellStyle name="Процентный 5 33 3 4" xfId="37711"/>
    <cellStyle name="Процентный 5 33 4" xfId="11007"/>
    <cellStyle name="Процентный 5 33 4 2" xfId="43051"/>
    <cellStyle name="Процентный 5 33 5" xfId="21688"/>
    <cellStyle name="Процентный 5 33 5 2" xfId="53731"/>
    <cellStyle name="Процентный 5 33 6" xfId="32371"/>
    <cellStyle name="Процентный 5 34" xfId="333"/>
    <cellStyle name="Процентный 5 34 2" xfId="801"/>
    <cellStyle name="Процентный 5 34 2 2" xfId="6144"/>
    <cellStyle name="Процентный 5 34 2 2 2" xfId="16824"/>
    <cellStyle name="Процентный 5 34 2 2 2 2" xfId="48868"/>
    <cellStyle name="Процентный 5 34 2 2 3" xfId="27505"/>
    <cellStyle name="Процентный 5 34 2 2 3 2" xfId="59548"/>
    <cellStyle name="Процентный 5 34 2 2 4" xfId="38188"/>
    <cellStyle name="Процентный 5 34 2 3" xfId="11484"/>
    <cellStyle name="Процентный 5 34 2 3 2" xfId="43528"/>
    <cellStyle name="Процентный 5 34 2 4" xfId="22165"/>
    <cellStyle name="Процентный 5 34 2 4 2" xfId="54208"/>
    <cellStyle name="Процентный 5 34 2 5" xfId="32848"/>
    <cellStyle name="Процентный 5 34 3" xfId="5677"/>
    <cellStyle name="Процентный 5 34 3 2" xfId="16357"/>
    <cellStyle name="Процентный 5 34 3 2 2" xfId="48401"/>
    <cellStyle name="Процентный 5 34 3 3" xfId="27038"/>
    <cellStyle name="Процентный 5 34 3 3 2" xfId="59081"/>
    <cellStyle name="Процентный 5 34 3 4" xfId="37721"/>
    <cellStyle name="Процентный 5 34 4" xfId="11017"/>
    <cellStyle name="Процентный 5 34 4 2" xfId="43061"/>
    <cellStyle name="Процентный 5 34 5" xfId="21698"/>
    <cellStyle name="Процентный 5 34 5 2" xfId="53741"/>
    <cellStyle name="Процентный 5 34 6" xfId="32381"/>
    <cellStyle name="Процентный 5 35" xfId="343"/>
    <cellStyle name="Процентный 5 35 2" xfId="811"/>
    <cellStyle name="Процентный 5 35 2 2" xfId="6154"/>
    <cellStyle name="Процентный 5 35 2 2 2" xfId="16834"/>
    <cellStyle name="Процентный 5 35 2 2 2 2" xfId="48878"/>
    <cellStyle name="Процентный 5 35 2 2 3" xfId="27515"/>
    <cellStyle name="Процентный 5 35 2 2 3 2" xfId="59558"/>
    <cellStyle name="Процентный 5 35 2 2 4" xfId="38198"/>
    <cellStyle name="Процентный 5 35 2 3" xfId="11494"/>
    <cellStyle name="Процентный 5 35 2 3 2" xfId="43538"/>
    <cellStyle name="Процентный 5 35 2 4" xfId="22175"/>
    <cellStyle name="Процентный 5 35 2 4 2" xfId="54218"/>
    <cellStyle name="Процентный 5 35 2 5" xfId="32858"/>
    <cellStyle name="Процентный 5 35 3" xfId="5687"/>
    <cellStyle name="Процентный 5 35 3 2" xfId="16367"/>
    <cellStyle name="Процентный 5 35 3 2 2" xfId="48411"/>
    <cellStyle name="Процентный 5 35 3 3" xfId="27048"/>
    <cellStyle name="Процентный 5 35 3 3 2" xfId="59091"/>
    <cellStyle name="Процентный 5 35 3 4" xfId="37731"/>
    <cellStyle name="Процентный 5 35 4" xfId="11027"/>
    <cellStyle name="Процентный 5 35 4 2" xfId="43071"/>
    <cellStyle name="Процентный 5 35 5" xfId="21708"/>
    <cellStyle name="Процентный 5 35 5 2" xfId="53751"/>
    <cellStyle name="Процентный 5 35 6" xfId="32391"/>
    <cellStyle name="Процентный 5 36" xfId="353"/>
    <cellStyle name="Процентный 5 36 2" xfId="821"/>
    <cellStyle name="Процентный 5 36 2 2" xfId="6164"/>
    <cellStyle name="Процентный 5 36 2 2 2" xfId="16844"/>
    <cellStyle name="Процентный 5 36 2 2 2 2" xfId="48888"/>
    <cellStyle name="Процентный 5 36 2 2 3" xfId="27525"/>
    <cellStyle name="Процентный 5 36 2 2 3 2" xfId="59568"/>
    <cellStyle name="Процентный 5 36 2 2 4" xfId="38208"/>
    <cellStyle name="Процентный 5 36 2 3" xfId="11504"/>
    <cellStyle name="Процентный 5 36 2 3 2" xfId="43548"/>
    <cellStyle name="Процентный 5 36 2 4" xfId="22185"/>
    <cellStyle name="Процентный 5 36 2 4 2" xfId="54228"/>
    <cellStyle name="Процентный 5 36 2 5" xfId="32868"/>
    <cellStyle name="Процентный 5 36 3" xfId="5697"/>
    <cellStyle name="Процентный 5 36 3 2" xfId="16377"/>
    <cellStyle name="Процентный 5 36 3 2 2" xfId="48421"/>
    <cellStyle name="Процентный 5 36 3 3" xfId="27058"/>
    <cellStyle name="Процентный 5 36 3 3 2" xfId="59101"/>
    <cellStyle name="Процентный 5 36 3 4" xfId="37741"/>
    <cellStyle name="Процентный 5 36 4" xfId="11037"/>
    <cellStyle name="Процентный 5 36 4 2" xfId="43081"/>
    <cellStyle name="Процентный 5 36 5" xfId="21718"/>
    <cellStyle name="Процентный 5 36 5 2" xfId="53761"/>
    <cellStyle name="Процентный 5 36 6" xfId="32401"/>
    <cellStyle name="Процентный 5 37" xfId="363"/>
    <cellStyle name="Процентный 5 37 2" xfId="831"/>
    <cellStyle name="Процентный 5 37 2 2" xfId="6174"/>
    <cellStyle name="Процентный 5 37 2 2 2" xfId="16854"/>
    <cellStyle name="Процентный 5 37 2 2 2 2" xfId="48898"/>
    <cellStyle name="Процентный 5 37 2 2 3" xfId="27535"/>
    <cellStyle name="Процентный 5 37 2 2 3 2" xfId="59578"/>
    <cellStyle name="Процентный 5 37 2 2 4" xfId="38218"/>
    <cellStyle name="Процентный 5 37 2 3" xfId="11514"/>
    <cellStyle name="Процентный 5 37 2 3 2" xfId="43558"/>
    <cellStyle name="Процентный 5 37 2 4" xfId="22195"/>
    <cellStyle name="Процентный 5 37 2 4 2" xfId="54238"/>
    <cellStyle name="Процентный 5 37 2 5" xfId="32878"/>
    <cellStyle name="Процентный 5 37 3" xfId="5707"/>
    <cellStyle name="Процентный 5 37 3 2" xfId="16387"/>
    <cellStyle name="Процентный 5 37 3 2 2" xfId="48431"/>
    <cellStyle name="Процентный 5 37 3 3" xfId="27068"/>
    <cellStyle name="Процентный 5 37 3 3 2" xfId="59111"/>
    <cellStyle name="Процентный 5 37 3 4" xfId="37751"/>
    <cellStyle name="Процентный 5 37 4" xfId="11047"/>
    <cellStyle name="Процентный 5 37 4 2" xfId="43091"/>
    <cellStyle name="Процентный 5 37 5" xfId="21728"/>
    <cellStyle name="Процентный 5 37 5 2" xfId="53771"/>
    <cellStyle name="Процентный 5 37 6" xfId="32411"/>
    <cellStyle name="Процентный 5 38" xfId="373"/>
    <cellStyle name="Процентный 5 38 2" xfId="841"/>
    <cellStyle name="Процентный 5 38 2 2" xfId="6184"/>
    <cellStyle name="Процентный 5 38 2 2 2" xfId="16864"/>
    <cellStyle name="Процентный 5 38 2 2 2 2" xfId="48908"/>
    <cellStyle name="Процентный 5 38 2 2 3" xfId="27545"/>
    <cellStyle name="Процентный 5 38 2 2 3 2" xfId="59588"/>
    <cellStyle name="Процентный 5 38 2 2 4" xfId="38228"/>
    <cellStyle name="Процентный 5 38 2 3" xfId="11524"/>
    <cellStyle name="Процентный 5 38 2 3 2" xfId="43568"/>
    <cellStyle name="Процентный 5 38 2 4" xfId="22205"/>
    <cellStyle name="Процентный 5 38 2 4 2" xfId="54248"/>
    <cellStyle name="Процентный 5 38 2 5" xfId="32888"/>
    <cellStyle name="Процентный 5 38 3" xfId="5717"/>
    <cellStyle name="Процентный 5 38 3 2" xfId="16397"/>
    <cellStyle name="Процентный 5 38 3 2 2" xfId="48441"/>
    <cellStyle name="Процентный 5 38 3 3" xfId="27078"/>
    <cellStyle name="Процентный 5 38 3 3 2" xfId="59121"/>
    <cellStyle name="Процентный 5 38 3 4" xfId="37761"/>
    <cellStyle name="Процентный 5 38 4" xfId="11057"/>
    <cellStyle name="Процентный 5 38 4 2" xfId="43101"/>
    <cellStyle name="Процентный 5 38 5" xfId="21738"/>
    <cellStyle name="Процентный 5 38 5 2" xfId="53781"/>
    <cellStyle name="Процентный 5 38 6" xfId="32421"/>
    <cellStyle name="Процентный 5 39" xfId="383"/>
    <cellStyle name="Процентный 5 39 2" xfId="851"/>
    <cellStyle name="Процентный 5 39 2 2" xfId="6194"/>
    <cellStyle name="Процентный 5 39 2 2 2" xfId="16874"/>
    <cellStyle name="Процентный 5 39 2 2 2 2" xfId="48918"/>
    <cellStyle name="Процентный 5 39 2 2 3" xfId="27555"/>
    <cellStyle name="Процентный 5 39 2 2 3 2" xfId="59598"/>
    <cellStyle name="Процентный 5 39 2 2 4" xfId="38238"/>
    <cellStyle name="Процентный 5 39 2 3" xfId="11534"/>
    <cellStyle name="Процентный 5 39 2 3 2" xfId="43578"/>
    <cellStyle name="Процентный 5 39 2 4" xfId="22215"/>
    <cellStyle name="Процентный 5 39 2 4 2" xfId="54258"/>
    <cellStyle name="Процентный 5 39 2 5" xfId="32898"/>
    <cellStyle name="Процентный 5 39 3" xfId="5727"/>
    <cellStyle name="Процентный 5 39 3 2" xfId="16407"/>
    <cellStyle name="Процентный 5 39 3 2 2" xfId="48451"/>
    <cellStyle name="Процентный 5 39 3 3" xfId="27088"/>
    <cellStyle name="Процентный 5 39 3 3 2" xfId="59131"/>
    <cellStyle name="Процентный 5 39 3 4" xfId="37771"/>
    <cellStyle name="Процентный 5 39 4" xfId="11067"/>
    <cellStyle name="Процентный 5 39 4 2" xfId="43111"/>
    <cellStyle name="Процентный 5 39 5" xfId="21748"/>
    <cellStyle name="Процентный 5 39 5 2" xfId="53791"/>
    <cellStyle name="Процентный 5 39 6" xfId="32431"/>
    <cellStyle name="Процентный 5 4" xfId="61"/>
    <cellStyle name="Процентный 5 4 2" xfId="529"/>
    <cellStyle name="Процентный 5 4 2 2" xfId="5872"/>
    <cellStyle name="Процентный 5 4 2 2 2" xfId="16552"/>
    <cellStyle name="Процентный 5 4 2 2 2 2" xfId="48596"/>
    <cellStyle name="Процентный 5 4 2 2 3" xfId="27233"/>
    <cellStyle name="Процентный 5 4 2 2 3 2" xfId="59276"/>
    <cellStyle name="Процентный 5 4 2 2 4" xfId="37916"/>
    <cellStyle name="Процентный 5 4 2 3" xfId="11212"/>
    <cellStyle name="Процентный 5 4 2 3 2" xfId="43256"/>
    <cellStyle name="Процентный 5 4 2 4" xfId="21893"/>
    <cellStyle name="Процентный 5 4 2 4 2" xfId="53936"/>
    <cellStyle name="Процентный 5 4 2 5" xfId="32576"/>
    <cellStyle name="Процентный 5 4 3" xfId="5405"/>
    <cellStyle name="Процентный 5 4 3 2" xfId="16085"/>
    <cellStyle name="Процентный 5 4 3 2 2" xfId="48129"/>
    <cellStyle name="Процентный 5 4 3 3" xfId="26766"/>
    <cellStyle name="Процентный 5 4 3 3 2" xfId="58809"/>
    <cellStyle name="Процентный 5 4 3 4" xfId="37449"/>
    <cellStyle name="Процентный 5 4 4" xfId="10745"/>
    <cellStyle name="Процентный 5 4 4 2" xfId="42789"/>
    <cellStyle name="Процентный 5 4 5" xfId="21426"/>
    <cellStyle name="Процентный 5 4 5 2" xfId="53469"/>
    <cellStyle name="Процентный 5 4 6" xfId="32109"/>
    <cellStyle name="Процентный 5 40" xfId="393"/>
    <cellStyle name="Процентный 5 40 2" xfId="861"/>
    <cellStyle name="Процентный 5 40 2 2" xfId="6204"/>
    <cellStyle name="Процентный 5 40 2 2 2" xfId="16884"/>
    <cellStyle name="Процентный 5 40 2 2 2 2" xfId="48928"/>
    <cellStyle name="Процентный 5 40 2 2 3" xfId="27565"/>
    <cellStyle name="Процентный 5 40 2 2 3 2" xfId="59608"/>
    <cellStyle name="Процентный 5 40 2 2 4" xfId="38248"/>
    <cellStyle name="Процентный 5 40 2 3" xfId="11544"/>
    <cellStyle name="Процентный 5 40 2 3 2" xfId="43588"/>
    <cellStyle name="Процентный 5 40 2 4" xfId="22225"/>
    <cellStyle name="Процентный 5 40 2 4 2" xfId="54268"/>
    <cellStyle name="Процентный 5 40 2 5" xfId="32908"/>
    <cellStyle name="Процентный 5 40 3" xfId="5737"/>
    <cellStyle name="Процентный 5 40 3 2" xfId="16417"/>
    <cellStyle name="Процентный 5 40 3 2 2" xfId="48461"/>
    <cellStyle name="Процентный 5 40 3 3" xfId="27098"/>
    <cellStyle name="Процентный 5 40 3 3 2" xfId="59141"/>
    <cellStyle name="Процентный 5 40 3 4" xfId="37781"/>
    <cellStyle name="Процентный 5 40 4" xfId="11077"/>
    <cellStyle name="Процентный 5 40 4 2" xfId="43121"/>
    <cellStyle name="Процентный 5 40 5" xfId="21758"/>
    <cellStyle name="Процентный 5 40 5 2" xfId="53801"/>
    <cellStyle name="Процентный 5 40 6" xfId="32441"/>
    <cellStyle name="Процентный 5 41" xfId="405"/>
    <cellStyle name="Процентный 5 41 2" xfId="873"/>
    <cellStyle name="Процентный 5 41 2 2" xfId="6216"/>
    <cellStyle name="Процентный 5 41 2 2 2" xfId="16896"/>
    <cellStyle name="Процентный 5 41 2 2 2 2" xfId="48940"/>
    <cellStyle name="Процентный 5 41 2 2 3" xfId="27577"/>
    <cellStyle name="Процентный 5 41 2 2 3 2" xfId="59620"/>
    <cellStyle name="Процентный 5 41 2 2 4" xfId="38260"/>
    <cellStyle name="Процентный 5 41 2 3" xfId="11556"/>
    <cellStyle name="Процентный 5 41 2 3 2" xfId="43600"/>
    <cellStyle name="Процентный 5 41 2 4" xfId="22237"/>
    <cellStyle name="Процентный 5 41 2 4 2" xfId="54280"/>
    <cellStyle name="Процентный 5 41 2 5" xfId="32920"/>
    <cellStyle name="Процентный 5 41 3" xfId="5749"/>
    <cellStyle name="Процентный 5 41 3 2" xfId="16429"/>
    <cellStyle name="Процентный 5 41 3 2 2" xfId="48473"/>
    <cellStyle name="Процентный 5 41 3 3" xfId="27110"/>
    <cellStyle name="Процентный 5 41 3 3 2" xfId="59153"/>
    <cellStyle name="Процентный 5 41 3 4" xfId="37793"/>
    <cellStyle name="Процентный 5 41 4" xfId="11089"/>
    <cellStyle name="Процентный 5 41 4 2" xfId="43133"/>
    <cellStyle name="Процентный 5 41 5" xfId="21770"/>
    <cellStyle name="Процентный 5 41 5 2" xfId="53813"/>
    <cellStyle name="Процентный 5 41 6" xfId="32453"/>
    <cellStyle name="Процентный 5 42" xfId="417"/>
    <cellStyle name="Процентный 5 42 2" xfId="885"/>
    <cellStyle name="Процентный 5 42 2 2" xfId="6228"/>
    <cellStyle name="Процентный 5 42 2 2 2" xfId="16908"/>
    <cellStyle name="Процентный 5 42 2 2 2 2" xfId="48952"/>
    <cellStyle name="Процентный 5 42 2 2 3" xfId="27589"/>
    <cellStyle name="Процентный 5 42 2 2 3 2" xfId="59632"/>
    <cellStyle name="Процентный 5 42 2 2 4" xfId="38272"/>
    <cellStyle name="Процентный 5 42 2 3" xfId="11568"/>
    <cellStyle name="Процентный 5 42 2 3 2" xfId="43612"/>
    <cellStyle name="Процентный 5 42 2 4" xfId="22249"/>
    <cellStyle name="Процентный 5 42 2 4 2" xfId="54292"/>
    <cellStyle name="Процентный 5 42 2 5" xfId="32932"/>
    <cellStyle name="Процентный 5 42 3" xfId="5761"/>
    <cellStyle name="Процентный 5 42 3 2" xfId="16441"/>
    <cellStyle name="Процентный 5 42 3 2 2" xfId="48485"/>
    <cellStyle name="Процентный 5 42 3 3" xfId="27122"/>
    <cellStyle name="Процентный 5 42 3 3 2" xfId="59165"/>
    <cellStyle name="Процентный 5 42 3 4" xfId="37805"/>
    <cellStyle name="Процентный 5 42 4" xfId="11101"/>
    <cellStyle name="Процентный 5 42 4 2" xfId="43145"/>
    <cellStyle name="Процентный 5 42 5" xfId="21782"/>
    <cellStyle name="Процентный 5 42 5 2" xfId="53825"/>
    <cellStyle name="Процентный 5 42 6" xfId="32465"/>
    <cellStyle name="Процентный 5 43" xfId="429"/>
    <cellStyle name="Процентный 5 43 2" xfId="897"/>
    <cellStyle name="Процентный 5 43 2 2" xfId="6240"/>
    <cellStyle name="Процентный 5 43 2 2 2" xfId="16920"/>
    <cellStyle name="Процентный 5 43 2 2 2 2" xfId="48964"/>
    <cellStyle name="Процентный 5 43 2 2 3" xfId="27601"/>
    <cellStyle name="Процентный 5 43 2 2 3 2" xfId="59644"/>
    <cellStyle name="Процентный 5 43 2 2 4" xfId="38284"/>
    <cellStyle name="Процентный 5 43 2 3" xfId="11580"/>
    <cellStyle name="Процентный 5 43 2 3 2" xfId="43624"/>
    <cellStyle name="Процентный 5 43 2 4" xfId="22261"/>
    <cellStyle name="Процентный 5 43 2 4 2" xfId="54304"/>
    <cellStyle name="Процентный 5 43 2 5" xfId="32944"/>
    <cellStyle name="Процентный 5 43 3" xfId="5773"/>
    <cellStyle name="Процентный 5 43 3 2" xfId="16453"/>
    <cellStyle name="Процентный 5 43 3 2 2" xfId="48497"/>
    <cellStyle name="Процентный 5 43 3 3" xfId="27134"/>
    <cellStyle name="Процентный 5 43 3 3 2" xfId="59177"/>
    <cellStyle name="Процентный 5 43 3 4" xfId="37817"/>
    <cellStyle name="Процентный 5 43 4" xfId="11113"/>
    <cellStyle name="Процентный 5 43 4 2" xfId="43157"/>
    <cellStyle name="Процентный 5 43 5" xfId="21794"/>
    <cellStyle name="Процентный 5 43 5 2" xfId="53837"/>
    <cellStyle name="Процентный 5 43 6" xfId="32477"/>
    <cellStyle name="Процентный 5 44" xfId="441"/>
    <cellStyle name="Процентный 5 44 2" xfId="909"/>
    <cellStyle name="Процентный 5 44 2 2" xfId="6252"/>
    <cellStyle name="Процентный 5 44 2 2 2" xfId="16932"/>
    <cellStyle name="Процентный 5 44 2 2 2 2" xfId="48976"/>
    <cellStyle name="Процентный 5 44 2 2 3" xfId="27613"/>
    <cellStyle name="Процентный 5 44 2 2 3 2" xfId="59656"/>
    <cellStyle name="Процентный 5 44 2 2 4" xfId="38296"/>
    <cellStyle name="Процентный 5 44 2 3" xfId="11592"/>
    <cellStyle name="Процентный 5 44 2 3 2" xfId="43636"/>
    <cellStyle name="Процентный 5 44 2 4" xfId="22273"/>
    <cellStyle name="Процентный 5 44 2 4 2" xfId="54316"/>
    <cellStyle name="Процентный 5 44 2 5" xfId="32956"/>
    <cellStyle name="Процентный 5 44 3" xfId="5785"/>
    <cellStyle name="Процентный 5 44 3 2" xfId="16465"/>
    <cellStyle name="Процентный 5 44 3 2 2" xfId="48509"/>
    <cellStyle name="Процентный 5 44 3 3" xfId="27146"/>
    <cellStyle name="Процентный 5 44 3 3 2" xfId="59189"/>
    <cellStyle name="Процентный 5 44 3 4" xfId="37829"/>
    <cellStyle name="Процентный 5 44 4" xfId="11125"/>
    <cellStyle name="Процентный 5 44 4 2" xfId="43169"/>
    <cellStyle name="Процентный 5 44 5" xfId="21806"/>
    <cellStyle name="Процентный 5 44 5 2" xfId="53849"/>
    <cellStyle name="Процентный 5 44 6" xfId="32489"/>
    <cellStyle name="Процентный 5 45" xfId="453"/>
    <cellStyle name="Процентный 5 45 2" xfId="921"/>
    <cellStyle name="Процентный 5 45 2 2" xfId="6264"/>
    <cellStyle name="Процентный 5 45 2 2 2" xfId="16944"/>
    <cellStyle name="Процентный 5 45 2 2 2 2" xfId="48988"/>
    <cellStyle name="Процентный 5 45 2 2 3" xfId="27625"/>
    <cellStyle name="Процентный 5 45 2 2 3 2" xfId="59668"/>
    <cellStyle name="Процентный 5 45 2 2 4" xfId="38308"/>
    <cellStyle name="Процентный 5 45 2 3" xfId="11604"/>
    <cellStyle name="Процентный 5 45 2 3 2" xfId="43648"/>
    <cellStyle name="Процентный 5 45 2 4" xfId="22285"/>
    <cellStyle name="Процентный 5 45 2 4 2" xfId="54328"/>
    <cellStyle name="Процентный 5 45 2 5" xfId="32968"/>
    <cellStyle name="Процентный 5 45 3" xfId="5797"/>
    <cellStyle name="Процентный 5 45 3 2" xfId="16477"/>
    <cellStyle name="Процентный 5 45 3 2 2" xfId="48521"/>
    <cellStyle name="Процентный 5 45 3 3" xfId="27158"/>
    <cellStyle name="Процентный 5 45 3 3 2" xfId="59201"/>
    <cellStyle name="Процентный 5 45 3 4" xfId="37841"/>
    <cellStyle name="Процентный 5 45 4" xfId="11137"/>
    <cellStyle name="Процентный 5 45 4 2" xfId="43181"/>
    <cellStyle name="Процентный 5 45 5" xfId="21818"/>
    <cellStyle name="Процентный 5 45 5 2" xfId="53861"/>
    <cellStyle name="Процентный 5 45 6" xfId="32501"/>
    <cellStyle name="Процентный 5 46" xfId="465"/>
    <cellStyle name="Процентный 5 46 2" xfId="933"/>
    <cellStyle name="Процентный 5 46 2 2" xfId="6276"/>
    <cellStyle name="Процентный 5 46 2 2 2" xfId="16956"/>
    <cellStyle name="Процентный 5 46 2 2 2 2" xfId="49000"/>
    <cellStyle name="Процентный 5 46 2 2 3" xfId="27637"/>
    <cellStyle name="Процентный 5 46 2 2 3 2" xfId="59680"/>
    <cellStyle name="Процентный 5 46 2 2 4" xfId="38320"/>
    <cellStyle name="Процентный 5 46 2 3" xfId="11616"/>
    <cellStyle name="Процентный 5 46 2 3 2" xfId="43660"/>
    <cellStyle name="Процентный 5 46 2 4" xfId="22297"/>
    <cellStyle name="Процентный 5 46 2 4 2" xfId="54340"/>
    <cellStyle name="Процентный 5 46 2 5" xfId="32980"/>
    <cellStyle name="Процентный 5 46 3" xfId="5809"/>
    <cellStyle name="Процентный 5 46 3 2" xfId="16489"/>
    <cellStyle name="Процентный 5 46 3 2 2" xfId="48533"/>
    <cellStyle name="Процентный 5 46 3 3" xfId="27170"/>
    <cellStyle name="Процентный 5 46 3 3 2" xfId="59213"/>
    <cellStyle name="Процентный 5 46 3 4" xfId="37853"/>
    <cellStyle name="Процентный 5 46 4" xfId="11149"/>
    <cellStyle name="Процентный 5 46 4 2" xfId="43193"/>
    <cellStyle name="Процентный 5 46 5" xfId="21830"/>
    <cellStyle name="Процентный 5 46 5 2" xfId="53873"/>
    <cellStyle name="Процентный 5 46 6" xfId="32513"/>
    <cellStyle name="Процентный 5 47" xfId="477"/>
    <cellStyle name="Процентный 5 47 2" xfId="945"/>
    <cellStyle name="Процентный 5 47 2 2" xfId="6288"/>
    <cellStyle name="Процентный 5 47 2 2 2" xfId="16968"/>
    <cellStyle name="Процентный 5 47 2 2 2 2" xfId="49012"/>
    <cellStyle name="Процентный 5 47 2 2 3" xfId="27649"/>
    <cellStyle name="Процентный 5 47 2 2 3 2" xfId="59692"/>
    <cellStyle name="Процентный 5 47 2 2 4" xfId="38332"/>
    <cellStyle name="Процентный 5 47 2 3" xfId="11628"/>
    <cellStyle name="Процентный 5 47 2 3 2" xfId="43672"/>
    <cellStyle name="Процентный 5 47 2 4" xfId="22309"/>
    <cellStyle name="Процентный 5 47 2 4 2" xfId="54352"/>
    <cellStyle name="Процентный 5 47 2 5" xfId="32992"/>
    <cellStyle name="Процентный 5 47 3" xfId="5821"/>
    <cellStyle name="Процентный 5 47 3 2" xfId="16501"/>
    <cellStyle name="Процентный 5 47 3 2 2" xfId="48545"/>
    <cellStyle name="Процентный 5 47 3 3" xfId="27182"/>
    <cellStyle name="Процентный 5 47 3 3 2" xfId="59225"/>
    <cellStyle name="Процентный 5 47 3 4" xfId="37865"/>
    <cellStyle name="Процентный 5 47 4" xfId="11161"/>
    <cellStyle name="Процентный 5 47 4 2" xfId="43205"/>
    <cellStyle name="Процентный 5 47 5" xfId="21842"/>
    <cellStyle name="Процентный 5 47 5 2" xfId="53885"/>
    <cellStyle name="Процентный 5 47 6" xfId="32525"/>
    <cellStyle name="Процентный 5 48" xfId="489"/>
    <cellStyle name="Процентный 5 48 2" xfId="957"/>
    <cellStyle name="Процентный 5 48 2 2" xfId="6300"/>
    <cellStyle name="Процентный 5 48 2 2 2" xfId="16980"/>
    <cellStyle name="Процентный 5 48 2 2 2 2" xfId="49024"/>
    <cellStyle name="Процентный 5 48 2 2 3" xfId="27661"/>
    <cellStyle name="Процентный 5 48 2 2 3 2" xfId="59704"/>
    <cellStyle name="Процентный 5 48 2 2 4" xfId="38344"/>
    <cellStyle name="Процентный 5 48 2 3" xfId="11640"/>
    <cellStyle name="Процентный 5 48 2 3 2" xfId="43684"/>
    <cellStyle name="Процентный 5 48 2 4" xfId="22321"/>
    <cellStyle name="Процентный 5 48 2 4 2" xfId="54364"/>
    <cellStyle name="Процентный 5 48 2 5" xfId="33004"/>
    <cellStyle name="Процентный 5 48 3" xfId="5833"/>
    <cellStyle name="Процентный 5 48 3 2" xfId="16513"/>
    <cellStyle name="Процентный 5 48 3 2 2" xfId="48557"/>
    <cellStyle name="Процентный 5 48 3 3" xfId="27194"/>
    <cellStyle name="Процентный 5 48 3 3 2" xfId="59237"/>
    <cellStyle name="Процентный 5 48 3 4" xfId="37877"/>
    <cellStyle name="Процентный 5 48 4" xfId="11173"/>
    <cellStyle name="Процентный 5 48 4 2" xfId="43217"/>
    <cellStyle name="Процентный 5 48 5" xfId="21854"/>
    <cellStyle name="Процентный 5 48 5 2" xfId="53897"/>
    <cellStyle name="Процентный 5 48 6" xfId="32537"/>
    <cellStyle name="Процентный 5 49" xfId="507"/>
    <cellStyle name="Процентный 5 49 2" xfId="5850"/>
    <cellStyle name="Процентный 5 49 2 2" xfId="16530"/>
    <cellStyle name="Процентный 5 49 2 2 2" xfId="48574"/>
    <cellStyle name="Процентный 5 49 2 3" xfId="27211"/>
    <cellStyle name="Процентный 5 49 2 3 2" xfId="59254"/>
    <cellStyle name="Процентный 5 49 2 4" xfId="37894"/>
    <cellStyle name="Процентный 5 49 3" xfId="11190"/>
    <cellStyle name="Процентный 5 49 3 2" xfId="43234"/>
    <cellStyle name="Процентный 5 49 4" xfId="21871"/>
    <cellStyle name="Процентный 5 49 4 2" xfId="53914"/>
    <cellStyle name="Процентный 5 49 5" xfId="32554"/>
    <cellStyle name="Процентный 5 5" xfId="65"/>
    <cellStyle name="Процентный 5 5 2" xfId="533"/>
    <cellStyle name="Процентный 5 5 2 2" xfId="5876"/>
    <cellStyle name="Процентный 5 5 2 2 2" xfId="16556"/>
    <cellStyle name="Процентный 5 5 2 2 2 2" xfId="48600"/>
    <cellStyle name="Процентный 5 5 2 2 3" xfId="27237"/>
    <cellStyle name="Процентный 5 5 2 2 3 2" xfId="59280"/>
    <cellStyle name="Процентный 5 5 2 2 4" xfId="37920"/>
    <cellStyle name="Процентный 5 5 2 3" xfId="11216"/>
    <cellStyle name="Процентный 5 5 2 3 2" xfId="43260"/>
    <cellStyle name="Процентный 5 5 2 4" xfId="21897"/>
    <cellStyle name="Процентный 5 5 2 4 2" xfId="53940"/>
    <cellStyle name="Процентный 5 5 2 5" xfId="32580"/>
    <cellStyle name="Процентный 5 5 3" xfId="5409"/>
    <cellStyle name="Процентный 5 5 3 2" xfId="16089"/>
    <cellStyle name="Процентный 5 5 3 2 2" xfId="48133"/>
    <cellStyle name="Процентный 5 5 3 3" xfId="26770"/>
    <cellStyle name="Процентный 5 5 3 3 2" xfId="58813"/>
    <cellStyle name="Процентный 5 5 3 4" xfId="37453"/>
    <cellStyle name="Процентный 5 5 4" xfId="10749"/>
    <cellStyle name="Процентный 5 5 4 2" xfId="42793"/>
    <cellStyle name="Процентный 5 5 5" xfId="21430"/>
    <cellStyle name="Процентный 5 5 5 2" xfId="53473"/>
    <cellStyle name="Процентный 5 5 6" xfId="32113"/>
    <cellStyle name="Процентный 5 50" xfId="969"/>
    <cellStyle name="Процентный 5 50 2" xfId="6312"/>
    <cellStyle name="Процентный 5 50 2 2" xfId="16992"/>
    <cellStyle name="Процентный 5 50 2 2 2" xfId="49036"/>
    <cellStyle name="Процентный 5 50 2 3" xfId="27673"/>
    <cellStyle name="Процентный 5 50 2 3 2" xfId="59716"/>
    <cellStyle name="Процентный 5 50 2 4" xfId="38356"/>
    <cellStyle name="Процентный 5 50 3" xfId="11652"/>
    <cellStyle name="Процентный 5 50 3 2" xfId="43696"/>
    <cellStyle name="Процентный 5 50 4" xfId="22333"/>
    <cellStyle name="Процентный 5 50 4 2" xfId="54376"/>
    <cellStyle name="Процентный 5 50 5" xfId="33016"/>
    <cellStyle name="Процентный 5 51" xfId="993"/>
    <cellStyle name="Процентный 5 51 2" xfId="6336"/>
    <cellStyle name="Процентный 5 51 2 2" xfId="17016"/>
    <cellStyle name="Процентный 5 51 2 2 2" xfId="49060"/>
    <cellStyle name="Процентный 5 51 2 3" xfId="27697"/>
    <cellStyle name="Процентный 5 51 2 3 2" xfId="59740"/>
    <cellStyle name="Процентный 5 51 2 4" xfId="38380"/>
    <cellStyle name="Процентный 5 51 3" xfId="11676"/>
    <cellStyle name="Процентный 5 51 3 2" xfId="43720"/>
    <cellStyle name="Процентный 5 51 4" xfId="22357"/>
    <cellStyle name="Процентный 5 51 4 2" xfId="54400"/>
    <cellStyle name="Процентный 5 51 5" xfId="33040"/>
    <cellStyle name="Процентный 5 52" xfId="1017"/>
    <cellStyle name="Процентный 5 52 2" xfId="6360"/>
    <cellStyle name="Процентный 5 52 2 2" xfId="17040"/>
    <cellStyle name="Процентный 5 52 2 2 2" xfId="49084"/>
    <cellStyle name="Процентный 5 52 2 3" xfId="27721"/>
    <cellStyle name="Процентный 5 52 2 3 2" xfId="59764"/>
    <cellStyle name="Процентный 5 52 2 4" xfId="38404"/>
    <cellStyle name="Процентный 5 52 3" xfId="11700"/>
    <cellStyle name="Процентный 5 52 3 2" xfId="43744"/>
    <cellStyle name="Процентный 5 52 4" xfId="22381"/>
    <cellStyle name="Процентный 5 52 4 2" xfId="54424"/>
    <cellStyle name="Процентный 5 52 5" xfId="33064"/>
    <cellStyle name="Процентный 5 53" xfId="1043"/>
    <cellStyle name="Процентный 5 53 2" xfId="6386"/>
    <cellStyle name="Процентный 5 53 2 2" xfId="17066"/>
    <cellStyle name="Процентный 5 53 2 2 2" xfId="49110"/>
    <cellStyle name="Процентный 5 53 2 3" xfId="27747"/>
    <cellStyle name="Процентный 5 53 2 3 2" xfId="59790"/>
    <cellStyle name="Процентный 5 53 2 4" xfId="38430"/>
    <cellStyle name="Процентный 5 53 3" xfId="11726"/>
    <cellStyle name="Процентный 5 53 3 2" xfId="43770"/>
    <cellStyle name="Процентный 5 53 4" xfId="22407"/>
    <cellStyle name="Процентный 5 53 4 2" xfId="54450"/>
    <cellStyle name="Процентный 5 53 5" xfId="33090"/>
    <cellStyle name="Процентный 5 54" xfId="1069"/>
    <cellStyle name="Процентный 5 54 2" xfId="6412"/>
    <cellStyle name="Процентный 5 54 2 2" xfId="17092"/>
    <cellStyle name="Процентный 5 54 2 2 2" xfId="49136"/>
    <cellStyle name="Процентный 5 54 2 3" xfId="27773"/>
    <cellStyle name="Процентный 5 54 2 3 2" xfId="59816"/>
    <cellStyle name="Процентный 5 54 2 4" xfId="38456"/>
    <cellStyle name="Процентный 5 54 3" xfId="11752"/>
    <cellStyle name="Процентный 5 54 3 2" xfId="43796"/>
    <cellStyle name="Процентный 5 54 4" xfId="22433"/>
    <cellStyle name="Процентный 5 54 4 2" xfId="54476"/>
    <cellStyle name="Процентный 5 54 5" xfId="33116"/>
    <cellStyle name="Процентный 5 55" xfId="1095"/>
    <cellStyle name="Процентный 5 55 2" xfId="6438"/>
    <cellStyle name="Процентный 5 55 2 2" xfId="17118"/>
    <cellStyle name="Процентный 5 55 2 2 2" xfId="49162"/>
    <cellStyle name="Процентный 5 55 2 3" xfId="27799"/>
    <cellStyle name="Процентный 5 55 2 3 2" xfId="59842"/>
    <cellStyle name="Процентный 5 55 2 4" xfId="38482"/>
    <cellStyle name="Процентный 5 55 3" xfId="11778"/>
    <cellStyle name="Процентный 5 55 3 2" xfId="43822"/>
    <cellStyle name="Процентный 5 55 4" xfId="22459"/>
    <cellStyle name="Процентный 5 55 4 2" xfId="54502"/>
    <cellStyle name="Процентный 5 55 5" xfId="33142"/>
    <cellStyle name="Процентный 5 56" xfId="1121"/>
    <cellStyle name="Процентный 5 56 2" xfId="6464"/>
    <cellStyle name="Процентный 5 56 2 2" xfId="17144"/>
    <cellStyle name="Процентный 5 56 2 2 2" xfId="49188"/>
    <cellStyle name="Процентный 5 56 2 3" xfId="27825"/>
    <cellStyle name="Процентный 5 56 2 3 2" xfId="59868"/>
    <cellStyle name="Процентный 5 56 2 4" xfId="38508"/>
    <cellStyle name="Процентный 5 56 3" xfId="11804"/>
    <cellStyle name="Процентный 5 56 3 2" xfId="43848"/>
    <cellStyle name="Процентный 5 56 4" xfId="22485"/>
    <cellStyle name="Процентный 5 56 4 2" xfId="54528"/>
    <cellStyle name="Процентный 5 56 5" xfId="33168"/>
    <cellStyle name="Процентный 5 57" xfId="1147"/>
    <cellStyle name="Процентный 5 57 2" xfId="6490"/>
    <cellStyle name="Процентный 5 57 2 2" xfId="17170"/>
    <cellStyle name="Процентный 5 57 2 2 2" xfId="49214"/>
    <cellStyle name="Процентный 5 57 2 3" xfId="27851"/>
    <cellStyle name="Процентный 5 57 2 3 2" xfId="59894"/>
    <cellStyle name="Процентный 5 57 2 4" xfId="38534"/>
    <cellStyle name="Процентный 5 57 3" xfId="11830"/>
    <cellStyle name="Процентный 5 57 3 2" xfId="43874"/>
    <cellStyle name="Процентный 5 57 4" xfId="22511"/>
    <cellStyle name="Процентный 5 57 4 2" xfId="54554"/>
    <cellStyle name="Процентный 5 57 5" xfId="33194"/>
    <cellStyle name="Процентный 5 58" xfId="1173"/>
    <cellStyle name="Процентный 5 58 2" xfId="6516"/>
    <cellStyle name="Процентный 5 58 2 2" xfId="17196"/>
    <cellStyle name="Процентный 5 58 2 2 2" xfId="49240"/>
    <cellStyle name="Процентный 5 58 2 3" xfId="27877"/>
    <cellStyle name="Процентный 5 58 2 3 2" xfId="59920"/>
    <cellStyle name="Процентный 5 58 2 4" xfId="38560"/>
    <cellStyle name="Процентный 5 58 3" xfId="11856"/>
    <cellStyle name="Процентный 5 58 3 2" xfId="43900"/>
    <cellStyle name="Процентный 5 58 4" xfId="22537"/>
    <cellStyle name="Процентный 5 58 4 2" xfId="54580"/>
    <cellStyle name="Процентный 5 58 5" xfId="33220"/>
    <cellStyle name="Процентный 5 59" xfId="1199"/>
    <cellStyle name="Процентный 5 59 2" xfId="6542"/>
    <cellStyle name="Процентный 5 59 2 2" xfId="17222"/>
    <cellStyle name="Процентный 5 59 2 2 2" xfId="49266"/>
    <cellStyle name="Процентный 5 59 2 3" xfId="27903"/>
    <cellStyle name="Процентный 5 59 2 3 2" xfId="59946"/>
    <cellStyle name="Процентный 5 59 2 4" xfId="38586"/>
    <cellStyle name="Процентный 5 59 3" xfId="11882"/>
    <cellStyle name="Процентный 5 59 3 2" xfId="43926"/>
    <cellStyle name="Процентный 5 59 4" xfId="22563"/>
    <cellStyle name="Процентный 5 59 4 2" xfId="54606"/>
    <cellStyle name="Процентный 5 59 5" xfId="33246"/>
    <cellStyle name="Процентный 5 6" xfId="69"/>
    <cellStyle name="Процентный 5 6 2" xfId="537"/>
    <cellStyle name="Процентный 5 6 2 2" xfId="5880"/>
    <cellStyle name="Процентный 5 6 2 2 2" xfId="16560"/>
    <cellStyle name="Процентный 5 6 2 2 2 2" xfId="48604"/>
    <cellStyle name="Процентный 5 6 2 2 3" xfId="27241"/>
    <cellStyle name="Процентный 5 6 2 2 3 2" xfId="59284"/>
    <cellStyle name="Процентный 5 6 2 2 4" xfId="37924"/>
    <cellStyle name="Процентный 5 6 2 3" xfId="11220"/>
    <cellStyle name="Процентный 5 6 2 3 2" xfId="43264"/>
    <cellStyle name="Процентный 5 6 2 4" xfId="21901"/>
    <cellStyle name="Процентный 5 6 2 4 2" xfId="53944"/>
    <cellStyle name="Процентный 5 6 2 5" xfId="32584"/>
    <cellStyle name="Процентный 5 6 3" xfId="5413"/>
    <cellStyle name="Процентный 5 6 3 2" xfId="16093"/>
    <cellStyle name="Процентный 5 6 3 2 2" xfId="48137"/>
    <cellStyle name="Процентный 5 6 3 3" xfId="26774"/>
    <cellStyle name="Процентный 5 6 3 3 2" xfId="58817"/>
    <cellStyle name="Процентный 5 6 3 4" xfId="37457"/>
    <cellStyle name="Процентный 5 6 4" xfId="10753"/>
    <cellStyle name="Процентный 5 6 4 2" xfId="42797"/>
    <cellStyle name="Процентный 5 6 5" xfId="21434"/>
    <cellStyle name="Процентный 5 6 5 2" xfId="53477"/>
    <cellStyle name="Процентный 5 6 6" xfId="32117"/>
    <cellStyle name="Процентный 5 60" xfId="1225"/>
    <cellStyle name="Процентный 5 60 2" xfId="6568"/>
    <cellStyle name="Процентный 5 60 2 2" xfId="17248"/>
    <cellStyle name="Процентный 5 60 2 2 2" xfId="49292"/>
    <cellStyle name="Процентный 5 60 2 3" xfId="27929"/>
    <cellStyle name="Процентный 5 60 2 3 2" xfId="59972"/>
    <cellStyle name="Процентный 5 60 2 4" xfId="38612"/>
    <cellStyle name="Процентный 5 60 3" xfId="11908"/>
    <cellStyle name="Процентный 5 60 3 2" xfId="43952"/>
    <cellStyle name="Процентный 5 60 4" xfId="22589"/>
    <cellStyle name="Процентный 5 60 4 2" xfId="54632"/>
    <cellStyle name="Процентный 5 60 5" xfId="33272"/>
    <cellStyle name="Процентный 5 61" xfId="1251"/>
    <cellStyle name="Процентный 5 61 2" xfId="6594"/>
    <cellStyle name="Процентный 5 61 2 2" xfId="17274"/>
    <cellStyle name="Процентный 5 61 2 2 2" xfId="49318"/>
    <cellStyle name="Процентный 5 61 2 3" xfId="27955"/>
    <cellStyle name="Процентный 5 61 2 3 2" xfId="59998"/>
    <cellStyle name="Процентный 5 61 2 4" xfId="38638"/>
    <cellStyle name="Процентный 5 61 3" xfId="11934"/>
    <cellStyle name="Процентный 5 61 3 2" xfId="43978"/>
    <cellStyle name="Процентный 5 61 4" xfId="22615"/>
    <cellStyle name="Процентный 5 61 4 2" xfId="54658"/>
    <cellStyle name="Процентный 5 61 5" xfId="33298"/>
    <cellStyle name="Процентный 5 62" xfId="1277"/>
    <cellStyle name="Процентный 5 62 2" xfId="6620"/>
    <cellStyle name="Процентный 5 62 2 2" xfId="17300"/>
    <cellStyle name="Процентный 5 62 2 2 2" xfId="49344"/>
    <cellStyle name="Процентный 5 62 2 3" xfId="27981"/>
    <cellStyle name="Процентный 5 62 2 3 2" xfId="60024"/>
    <cellStyle name="Процентный 5 62 2 4" xfId="38664"/>
    <cellStyle name="Процентный 5 62 3" xfId="11960"/>
    <cellStyle name="Процентный 5 62 3 2" xfId="44004"/>
    <cellStyle name="Процентный 5 62 4" xfId="22641"/>
    <cellStyle name="Процентный 5 62 4 2" xfId="54684"/>
    <cellStyle name="Процентный 5 62 5" xfId="33324"/>
    <cellStyle name="Процентный 5 63" xfId="1304"/>
    <cellStyle name="Процентный 5 63 2" xfId="6646"/>
    <cellStyle name="Процентный 5 63 2 2" xfId="17326"/>
    <cellStyle name="Процентный 5 63 2 2 2" xfId="49370"/>
    <cellStyle name="Процентный 5 63 2 3" xfId="28007"/>
    <cellStyle name="Процентный 5 63 2 3 2" xfId="60050"/>
    <cellStyle name="Процентный 5 63 2 4" xfId="38690"/>
    <cellStyle name="Процентный 5 63 3" xfId="11986"/>
    <cellStyle name="Процентный 5 63 3 2" xfId="44030"/>
    <cellStyle name="Процентный 5 63 4" xfId="22667"/>
    <cellStyle name="Процентный 5 63 4 2" xfId="54710"/>
    <cellStyle name="Процентный 5 63 5" xfId="33350"/>
    <cellStyle name="Процентный 5 64" xfId="1330"/>
    <cellStyle name="Процентный 5 64 2" xfId="6672"/>
    <cellStyle name="Процентный 5 64 2 2" xfId="17352"/>
    <cellStyle name="Процентный 5 64 2 2 2" xfId="49396"/>
    <cellStyle name="Процентный 5 64 2 3" xfId="28033"/>
    <cellStyle name="Процентный 5 64 2 3 2" xfId="60076"/>
    <cellStyle name="Процентный 5 64 2 4" xfId="38716"/>
    <cellStyle name="Процентный 5 64 3" xfId="12012"/>
    <cellStyle name="Процентный 5 64 3 2" xfId="44056"/>
    <cellStyle name="Процентный 5 64 4" xfId="22693"/>
    <cellStyle name="Процентный 5 64 4 2" xfId="54736"/>
    <cellStyle name="Процентный 5 64 5" xfId="33376"/>
    <cellStyle name="Процентный 5 65" xfId="1356"/>
    <cellStyle name="Процентный 5 65 2" xfId="6698"/>
    <cellStyle name="Процентный 5 65 2 2" xfId="17378"/>
    <cellStyle name="Процентный 5 65 2 2 2" xfId="49422"/>
    <cellStyle name="Процентный 5 65 2 3" xfId="28059"/>
    <cellStyle name="Процентный 5 65 2 3 2" xfId="60102"/>
    <cellStyle name="Процентный 5 65 2 4" xfId="38742"/>
    <cellStyle name="Процентный 5 65 3" xfId="12038"/>
    <cellStyle name="Процентный 5 65 3 2" xfId="44082"/>
    <cellStyle name="Процентный 5 65 4" xfId="22719"/>
    <cellStyle name="Процентный 5 65 4 2" xfId="54762"/>
    <cellStyle name="Процентный 5 65 5" xfId="33402"/>
    <cellStyle name="Процентный 5 66" xfId="1382"/>
    <cellStyle name="Процентный 5 66 2" xfId="6724"/>
    <cellStyle name="Процентный 5 66 2 2" xfId="17404"/>
    <cellStyle name="Процентный 5 66 2 2 2" xfId="49448"/>
    <cellStyle name="Процентный 5 66 2 3" xfId="28085"/>
    <cellStyle name="Процентный 5 66 2 3 2" xfId="60128"/>
    <cellStyle name="Процентный 5 66 2 4" xfId="38768"/>
    <cellStyle name="Процентный 5 66 3" xfId="12064"/>
    <cellStyle name="Процентный 5 66 3 2" xfId="44108"/>
    <cellStyle name="Процентный 5 66 4" xfId="22745"/>
    <cellStyle name="Процентный 5 66 4 2" xfId="54788"/>
    <cellStyle name="Процентный 5 66 5" xfId="33428"/>
    <cellStyle name="Процентный 5 67" xfId="1408"/>
    <cellStyle name="Процентный 5 67 2" xfId="6750"/>
    <cellStyle name="Процентный 5 67 2 2" xfId="17430"/>
    <cellStyle name="Процентный 5 67 2 2 2" xfId="49474"/>
    <cellStyle name="Процентный 5 67 2 3" xfId="28111"/>
    <cellStyle name="Процентный 5 67 2 3 2" xfId="60154"/>
    <cellStyle name="Процентный 5 67 2 4" xfId="38794"/>
    <cellStyle name="Процентный 5 67 3" xfId="12090"/>
    <cellStyle name="Процентный 5 67 3 2" xfId="44134"/>
    <cellStyle name="Процентный 5 67 4" xfId="22771"/>
    <cellStyle name="Процентный 5 67 4 2" xfId="54814"/>
    <cellStyle name="Процентный 5 67 5" xfId="33454"/>
    <cellStyle name="Процентный 5 68" xfId="1434"/>
    <cellStyle name="Процентный 5 68 2" xfId="6776"/>
    <cellStyle name="Процентный 5 68 2 2" xfId="17456"/>
    <cellStyle name="Процентный 5 68 2 2 2" xfId="49500"/>
    <cellStyle name="Процентный 5 68 2 3" xfId="28137"/>
    <cellStyle name="Процентный 5 68 2 3 2" xfId="60180"/>
    <cellStyle name="Процентный 5 68 2 4" xfId="38820"/>
    <cellStyle name="Процентный 5 68 3" xfId="12116"/>
    <cellStyle name="Процентный 5 68 3 2" xfId="44160"/>
    <cellStyle name="Процентный 5 68 4" xfId="22797"/>
    <cellStyle name="Процентный 5 68 4 2" xfId="54840"/>
    <cellStyle name="Процентный 5 68 5" xfId="33480"/>
    <cellStyle name="Процентный 5 69" xfId="1460"/>
    <cellStyle name="Процентный 5 69 2" xfId="6802"/>
    <cellStyle name="Процентный 5 69 2 2" xfId="17482"/>
    <cellStyle name="Процентный 5 69 2 2 2" xfId="49526"/>
    <cellStyle name="Процентный 5 69 2 3" xfId="28163"/>
    <cellStyle name="Процентный 5 69 2 3 2" xfId="60206"/>
    <cellStyle name="Процентный 5 69 2 4" xfId="38846"/>
    <cellStyle name="Процентный 5 69 3" xfId="12142"/>
    <cellStyle name="Процентный 5 69 3 2" xfId="44186"/>
    <cellStyle name="Процентный 5 69 4" xfId="22823"/>
    <cellStyle name="Процентный 5 69 4 2" xfId="54866"/>
    <cellStyle name="Процентный 5 69 5" xfId="33506"/>
    <cellStyle name="Процентный 5 7" xfId="73"/>
    <cellStyle name="Процентный 5 7 2" xfId="541"/>
    <cellStyle name="Процентный 5 7 2 2" xfId="5884"/>
    <cellStyle name="Процентный 5 7 2 2 2" xfId="16564"/>
    <cellStyle name="Процентный 5 7 2 2 2 2" xfId="48608"/>
    <cellStyle name="Процентный 5 7 2 2 3" xfId="27245"/>
    <cellStyle name="Процентный 5 7 2 2 3 2" xfId="59288"/>
    <cellStyle name="Процентный 5 7 2 2 4" xfId="37928"/>
    <cellStyle name="Процентный 5 7 2 3" xfId="11224"/>
    <cellStyle name="Процентный 5 7 2 3 2" xfId="43268"/>
    <cellStyle name="Процентный 5 7 2 4" xfId="21905"/>
    <cellStyle name="Процентный 5 7 2 4 2" xfId="53948"/>
    <cellStyle name="Процентный 5 7 2 5" xfId="32588"/>
    <cellStyle name="Процентный 5 7 3" xfId="5417"/>
    <cellStyle name="Процентный 5 7 3 2" xfId="16097"/>
    <cellStyle name="Процентный 5 7 3 2 2" xfId="48141"/>
    <cellStyle name="Процентный 5 7 3 3" xfId="26778"/>
    <cellStyle name="Процентный 5 7 3 3 2" xfId="58821"/>
    <cellStyle name="Процентный 5 7 3 4" xfId="37461"/>
    <cellStyle name="Процентный 5 7 4" xfId="10757"/>
    <cellStyle name="Процентный 5 7 4 2" xfId="42801"/>
    <cellStyle name="Процентный 5 7 5" xfId="21438"/>
    <cellStyle name="Процентный 5 7 5 2" xfId="53481"/>
    <cellStyle name="Процентный 5 7 6" xfId="32121"/>
    <cellStyle name="Процентный 5 70" xfId="1486"/>
    <cellStyle name="Процентный 5 70 2" xfId="6828"/>
    <cellStyle name="Процентный 5 70 2 2" xfId="17508"/>
    <cellStyle name="Процентный 5 70 2 2 2" xfId="49552"/>
    <cellStyle name="Процентный 5 70 2 3" xfId="28189"/>
    <cellStyle name="Процентный 5 70 2 3 2" xfId="60232"/>
    <cellStyle name="Процентный 5 70 2 4" xfId="38872"/>
    <cellStyle name="Процентный 5 70 3" xfId="12168"/>
    <cellStyle name="Процентный 5 70 3 2" xfId="44212"/>
    <cellStyle name="Процентный 5 70 4" xfId="22849"/>
    <cellStyle name="Процентный 5 70 4 2" xfId="54892"/>
    <cellStyle name="Процентный 5 70 5" xfId="33532"/>
    <cellStyle name="Процентный 5 71" xfId="1512"/>
    <cellStyle name="Процентный 5 71 2" xfId="6854"/>
    <cellStyle name="Процентный 5 71 2 2" xfId="17534"/>
    <cellStyle name="Процентный 5 71 2 2 2" xfId="49578"/>
    <cellStyle name="Процентный 5 71 2 3" xfId="28215"/>
    <cellStyle name="Процентный 5 71 2 3 2" xfId="60258"/>
    <cellStyle name="Процентный 5 71 2 4" xfId="38898"/>
    <cellStyle name="Процентный 5 71 3" xfId="12194"/>
    <cellStyle name="Процентный 5 71 3 2" xfId="44238"/>
    <cellStyle name="Процентный 5 71 4" xfId="22875"/>
    <cellStyle name="Процентный 5 71 4 2" xfId="54918"/>
    <cellStyle name="Процентный 5 71 5" xfId="33558"/>
    <cellStyle name="Процентный 5 72" xfId="1538"/>
    <cellStyle name="Процентный 5 72 2" xfId="6880"/>
    <cellStyle name="Процентный 5 72 2 2" xfId="17560"/>
    <cellStyle name="Процентный 5 72 2 2 2" xfId="49604"/>
    <cellStyle name="Процентный 5 72 2 3" xfId="28241"/>
    <cellStyle name="Процентный 5 72 2 3 2" xfId="60284"/>
    <cellStyle name="Процентный 5 72 2 4" xfId="38924"/>
    <cellStyle name="Процентный 5 72 3" xfId="12220"/>
    <cellStyle name="Процентный 5 72 3 2" xfId="44264"/>
    <cellStyle name="Процентный 5 72 4" xfId="22901"/>
    <cellStyle name="Процентный 5 72 4 2" xfId="54944"/>
    <cellStyle name="Процентный 5 72 5" xfId="33584"/>
    <cellStyle name="Процентный 5 73" xfId="1564"/>
    <cellStyle name="Процентный 5 73 2" xfId="6906"/>
    <cellStyle name="Процентный 5 73 2 2" xfId="17586"/>
    <cellStyle name="Процентный 5 73 2 2 2" xfId="49630"/>
    <cellStyle name="Процентный 5 73 2 3" xfId="28267"/>
    <cellStyle name="Процентный 5 73 2 3 2" xfId="60310"/>
    <cellStyle name="Процентный 5 73 2 4" xfId="38950"/>
    <cellStyle name="Процентный 5 73 3" xfId="12246"/>
    <cellStyle name="Процентный 5 73 3 2" xfId="44290"/>
    <cellStyle name="Процентный 5 73 4" xfId="22927"/>
    <cellStyle name="Процентный 5 73 4 2" xfId="54970"/>
    <cellStyle name="Процентный 5 73 5" xfId="33610"/>
    <cellStyle name="Процентный 5 74" xfId="1590"/>
    <cellStyle name="Процентный 5 74 2" xfId="6932"/>
    <cellStyle name="Процентный 5 74 2 2" xfId="17612"/>
    <cellStyle name="Процентный 5 74 2 2 2" xfId="49656"/>
    <cellStyle name="Процентный 5 74 2 3" xfId="28293"/>
    <cellStyle name="Процентный 5 74 2 3 2" xfId="60336"/>
    <cellStyle name="Процентный 5 74 2 4" xfId="38976"/>
    <cellStyle name="Процентный 5 74 3" xfId="12272"/>
    <cellStyle name="Процентный 5 74 3 2" xfId="44316"/>
    <cellStyle name="Процентный 5 74 4" xfId="22953"/>
    <cellStyle name="Процентный 5 74 4 2" xfId="54996"/>
    <cellStyle name="Процентный 5 74 5" xfId="33636"/>
    <cellStyle name="Процентный 5 75" xfId="1616"/>
    <cellStyle name="Процентный 5 75 2" xfId="6958"/>
    <cellStyle name="Процентный 5 75 2 2" xfId="17638"/>
    <cellStyle name="Процентный 5 75 2 2 2" xfId="49682"/>
    <cellStyle name="Процентный 5 75 2 3" xfId="28319"/>
    <cellStyle name="Процентный 5 75 2 3 2" xfId="60362"/>
    <cellStyle name="Процентный 5 75 2 4" xfId="39002"/>
    <cellStyle name="Процентный 5 75 3" xfId="12298"/>
    <cellStyle name="Процентный 5 75 3 2" xfId="44342"/>
    <cellStyle name="Процентный 5 75 4" xfId="22979"/>
    <cellStyle name="Процентный 5 75 4 2" xfId="55022"/>
    <cellStyle name="Процентный 5 75 5" xfId="33662"/>
    <cellStyle name="Процентный 5 76" xfId="1642"/>
    <cellStyle name="Процентный 5 76 2" xfId="6984"/>
    <cellStyle name="Процентный 5 76 2 2" xfId="17664"/>
    <cellStyle name="Процентный 5 76 2 2 2" xfId="49708"/>
    <cellStyle name="Процентный 5 76 2 3" xfId="28345"/>
    <cellStyle name="Процентный 5 76 2 3 2" xfId="60388"/>
    <cellStyle name="Процентный 5 76 2 4" xfId="39028"/>
    <cellStyle name="Процентный 5 76 3" xfId="12324"/>
    <cellStyle name="Процентный 5 76 3 2" xfId="44368"/>
    <cellStyle name="Процентный 5 76 4" xfId="23005"/>
    <cellStyle name="Процентный 5 76 4 2" xfId="55048"/>
    <cellStyle name="Процентный 5 76 5" xfId="33688"/>
    <cellStyle name="Процентный 5 77" xfId="1668"/>
    <cellStyle name="Процентный 5 77 2" xfId="7010"/>
    <cellStyle name="Процентный 5 77 2 2" xfId="17690"/>
    <cellStyle name="Процентный 5 77 2 2 2" xfId="49734"/>
    <cellStyle name="Процентный 5 77 2 3" xfId="28371"/>
    <cellStyle name="Процентный 5 77 2 3 2" xfId="60414"/>
    <cellStyle name="Процентный 5 77 2 4" xfId="39054"/>
    <cellStyle name="Процентный 5 77 3" xfId="12350"/>
    <cellStyle name="Процентный 5 77 3 2" xfId="44394"/>
    <cellStyle name="Процентный 5 77 4" xfId="23031"/>
    <cellStyle name="Процентный 5 77 4 2" xfId="55074"/>
    <cellStyle name="Процентный 5 77 5" xfId="33714"/>
    <cellStyle name="Процентный 5 78" xfId="1694"/>
    <cellStyle name="Процентный 5 78 2" xfId="7036"/>
    <cellStyle name="Процентный 5 78 2 2" xfId="17716"/>
    <cellStyle name="Процентный 5 78 2 2 2" xfId="49760"/>
    <cellStyle name="Процентный 5 78 2 3" xfId="28397"/>
    <cellStyle name="Процентный 5 78 2 3 2" xfId="60440"/>
    <cellStyle name="Процентный 5 78 2 4" xfId="39080"/>
    <cellStyle name="Процентный 5 78 3" xfId="12376"/>
    <cellStyle name="Процентный 5 78 3 2" xfId="44420"/>
    <cellStyle name="Процентный 5 78 4" xfId="23057"/>
    <cellStyle name="Процентный 5 78 4 2" xfId="55100"/>
    <cellStyle name="Процентный 5 78 5" xfId="33740"/>
    <cellStyle name="Процентный 5 79" xfId="1720"/>
    <cellStyle name="Процентный 5 79 2" xfId="7062"/>
    <cellStyle name="Процентный 5 79 2 2" xfId="17742"/>
    <cellStyle name="Процентный 5 79 2 2 2" xfId="49786"/>
    <cellStyle name="Процентный 5 79 2 3" xfId="28423"/>
    <cellStyle name="Процентный 5 79 2 3 2" xfId="60466"/>
    <cellStyle name="Процентный 5 79 2 4" xfId="39106"/>
    <cellStyle name="Процентный 5 79 3" xfId="12402"/>
    <cellStyle name="Процентный 5 79 3 2" xfId="44446"/>
    <cellStyle name="Процентный 5 79 4" xfId="23083"/>
    <cellStyle name="Процентный 5 79 4 2" xfId="55126"/>
    <cellStyle name="Процентный 5 79 5" xfId="33766"/>
    <cellStyle name="Процентный 5 8" xfId="77"/>
    <cellStyle name="Процентный 5 8 2" xfId="545"/>
    <cellStyle name="Процентный 5 8 2 2" xfId="5888"/>
    <cellStyle name="Процентный 5 8 2 2 2" xfId="16568"/>
    <cellStyle name="Процентный 5 8 2 2 2 2" xfId="48612"/>
    <cellStyle name="Процентный 5 8 2 2 3" xfId="27249"/>
    <cellStyle name="Процентный 5 8 2 2 3 2" xfId="59292"/>
    <cellStyle name="Процентный 5 8 2 2 4" xfId="37932"/>
    <cellStyle name="Процентный 5 8 2 3" xfId="11228"/>
    <cellStyle name="Процентный 5 8 2 3 2" xfId="43272"/>
    <cellStyle name="Процентный 5 8 2 4" xfId="21909"/>
    <cellStyle name="Процентный 5 8 2 4 2" xfId="53952"/>
    <cellStyle name="Процентный 5 8 2 5" xfId="32592"/>
    <cellStyle name="Процентный 5 8 3" xfId="5421"/>
    <cellStyle name="Процентный 5 8 3 2" xfId="16101"/>
    <cellStyle name="Процентный 5 8 3 2 2" xfId="48145"/>
    <cellStyle name="Процентный 5 8 3 3" xfId="26782"/>
    <cellStyle name="Процентный 5 8 3 3 2" xfId="58825"/>
    <cellStyle name="Процентный 5 8 3 4" xfId="37465"/>
    <cellStyle name="Процентный 5 8 4" xfId="10761"/>
    <cellStyle name="Процентный 5 8 4 2" xfId="42805"/>
    <cellStyle name="Процентный 5 8 5" xfId="21442"/>
    <cellStyle name="Процентный 5 8 5 2" xfId="53485"/>
    <cellStyle name="Процентный 5 8 6" xfId="32125"/>
    <cellStyle name="Процентный 5 80" xfId="1746"/>
    <cellStyle name="Процентный 5 80 2" xfId="7088"/>
    <cellStyle name="Процентный 5 80 2 2" xfId="17768"/>
    <cellStyle name="Процентный 5 80 2 2 2" xfId="49812"/>
    <cellStyle name="Процентный 5 80 2 3" xfId="28449"/>
    <cellStyle name="Процентный 5 80 2 3 2" xfId="60492"/>
    <cellStyle name="Процентный 5 80 2 4" xfId="39132"/>
    <cellStyle name="Процентный 5 80 3" xfId="12428"/>
    <cellStyle name="Процентный 5 80 3 2" xfId="44472"/>
    <cellStyle name="Процентный 5 80 4" xfId="23109"/>
    <cellStyle name="Процентный 5 80 4 2" xfId="55152"/>
    <cellStyle name="Процентный 5 80 5" xfId="33792"/>
    <cellStyle name="Процентный 5 81" xfId="1772"/>
    <cellStyle name="Процентный 5 81 2" xfId="7114"/>
    <cellStyle name="Процентный 5 81 2 2" xfId="17794"/>
    <cellStyle name="Процентный 5 81 2 2 2" xfId="49838"/>
    <cellStyle name="Процентный 5 81 2 3" xfId="28475"/>
    <cellStyle name="Процентный 5 81 2 3 2" xfId="60518"/>
    <cellStyle name="Процентный 5 81 2 4" xfId="39158"/>
    <cellStyle name="Процентный 5 81 3" xfId="12454"/>
    <cellStyle name="Процентный 5 81 3 2" xfId="44498"/>
    <cellStyle name="Процентный 5 81 4" xfId="23135"/>
    <cellStyle name="Процентный 5 81 4 2" xfId="55178"/>
    <cellStyle name="Процентный 5 81 5" xfId="33818"/>
    <cellStyle name="Процентный 5 82" xfId="1798"/>
    <cellStyle name="Процентный 5 82 2" xfId="7140"/>
    <cellStyle name="Процентный 5 82 2 2" xfId="17820"/>
    <cellStyle name="Процентный 5 82 2 2 2" xfId="49864"/>
    <cellStyle name="Процентный 5 82 2 3" xfId="28501"/>
    <cellStyle name="Процентный 5 82 2 3 2" xfId="60544"/>
    <cellStyle name="Процентный 5 82 2 4" xfId="39184"/>
    <cellStyle name="Процентный 5 82 3" xfId="12480"/>
    <cellStyle name="Процентный 5 82 3 2" xfId="44524"/>
    <cellStyle name="Процентный 5 82 4" xfId="23161"/>
    <cellStyle name="Процентный 5 82 4 2" xfId="55204"/>
    <cellStyle name="Процентный 5 82 5" xfId="33844"/>
    <cellStyle name="Процентный 5 83" xfId="1824"/>
    <cellStyle name="Процентный 5 83 2" xfId="7166"/>
    <cellStyle name="Процентный 5 83 2 2" xfId="17846"/>
    <cellStyle name="Процентный 5 83 2 2 2" xfId="49890"/>
    <cellStyle name="Процентный 5 83 2 3" xfId="28527"/>
    <cellStyle name="Процентный 5 83 2 3 2" xfId="60570"/>
    <cellStyle name="Процентный 5 83 2 4" xfId="39210"/>
    <cellStyle name="Процентный 5 83 3" xfId="12506"/>
    <cellStyle name="Процентный 5 83 3 2" xfId="44550"/>
    <cellStyle name="Процентный 5 83 4" xfId="23187"/>
    <cellStyle name="Процентный 5 83 4 2" xfId="55230"/>
    <cellStyle name="Процентный 5 83 5" xfId="33870"/>
    <cellStyle name="Процентный 5 84" xfId="1850"/>
    <cellStyle name="Процентный 5 84 2" xfId="7192"/>
    <cellStyle name="Процентный 5 84 2 2" xfId="17872"/>
    <cellStyle name="Процентный 5 84 2 2 2" xfId="49916"/>
    <cellStyle name="Процентный 5 84 2 3" xfId="28553"/>
    <cellStyle name="Процентный 5 84 2 3 2" xfId="60596"/>
    <cellStyle name="Процентный 5 84 2 4" xfId="39236"/>
    <cellStyle name="Процентный 5 84 3" xfId="12532"/>
    <cellStyle name="Процентный 5 84 3 2" xfId="44576"/>
    <cellStyle name="Процентный 5 84 4" xfId="23213"/>
    <cellStyle name="Процентный 5 84 4 2" xfId="55256"/>
    <cellStyle name="Процентный 5 84 5" xfId="33896"/>
    <cellStyle name="Процентный 5 85" xfId="1876"/>
    <cellStyle name="Процентный 5 85 2" xfId="7218"/>
    <cellStyle name="Процентный 5 85 2 2" xfId="17898"/>
    <cellStyle name="Процентный 5 85 2 2 2" xfId="49942"/>
    <cellStyle name="Процентный 5 85 2 3" xfId="28579"/>
    <cellStyle name="Процентный 5 85 2 3 2" xfId="60622"/>
    <cellStyle name="Процентный 5 85 2 4" xfId="39262"/>
    <cellStyle name="Процентный 5 85 3" xfId="12558"/>
    <cellStyle name="Процентный 5 85 3 2" xfId="44602"/>
    <cellStyle name="Процентный 5 85 4" xfId="23239"/>
    <cellStyle name="Процентный 5 85 4 2" xfId="55282"/>
    <cellStyle name="Процентный 5 85 5" xfId="33922"/>
    <cellStyle name="Процентный 5 86" xfId="1902"/>
    <cellStyle name="Процентный 5 86 2" xfId="7244"/>
    <cellStyle name="Процентный 5 86 2 2" xfId="17924"/>
    <cellStyle name="Процентный 5 86 2 2 2" xfId="49968"/>
    <cellStyle name="Процентный 5 86 2 3" xfId="28605"/>
    <cellStyle name="Процентный 5 86 2 3 2" xfId="60648"/>
    <cellStyle name="Процентный 5 86 2 4" xfId="39288"/>
    <cellStyle name="Процентный 5 86 3" xfId="12584"/>
    <cellStyle name="Процентный 5 86 3 2" xfId="44628"/>
    <cellStyle name="Процентный 5 86 4" xfId="23265"/>
    <cellStyle name="Процентный 5 86 4 2" xfId="55308"/>
    <cellStyle name="Процентный 5 86 5" xfId="33948"/>
    <cellStyle name="Процентный 5 87" xfId="1930"/>
    <cellStyle name="Процентный 5 87 2" xfId="7272"/>
    <cellStyle name="Процентный 5 87 2 2" xfId="17952"/>
    <cellStyle name="Процентный 5 87 2 2 2" xfId="49996"/>
    <cellStyle name="Процентный 5 87 2 3" xfId="28633"/>
    <cellStyle name="Процентный 5 87 2 3 2" xfId="60676"/>
    <cellStyle name="Процентный 5 87 2 4" xfId="39316"/>
    <cellStyle name="Процентный 5 87 3" xfId="12612"/>
    <cellStyle name="Процентный 5 87 3 2" xfId="44656"/>
    <cellStyle name="Процентный 5 87 4" xfId="23293"/>
    <cellStyle name="Процентный 5 87 4 2" xfId="55336"/>
    <cellStyle name="Процентный 5 87 5" xfId="33976"/>
    <cellStyle name="Процентный 5 88" xfId="1958"/>
    <cellStyle name="Процентный 5 88 2" xfId="7300"/>
    <cellStyle name="Процентный 5 88 2 2" xfId="17980"/>
    <cellStyle name="Процентный 5 88 2 2 2" xfId="50024"/>
    <cellStyle name="Процентный 5 88 2 3" xfId="28661"/>
    <cellStyle name="Процентный 5 88 2 3 2" xfId="60704"/>
    <cellStyle name="Процентный 5 88 2 4" xfId="39344"/>
    <cellStyle name="Процентный 5 88 3" xfId="12640"/>
    <cellStyle name="Процентный 5 88 3 2" xfId="44684"/>
    <cellStyle name="Процентный 5 88 4" xfId="23321"/>
    <cellStyle name="Процентный 5 88 4 2" xfId="55364"/>
    <cellStyle name="Процентный 5 88 5" xfId="34004"/>
    <cellStyle name="Процентный 5 89" xfId="1986"/>
    <cellStyle name="Процентный 5 89 2" xfId="7328"/>
    <cellStyle name="Процентный 5 89 2 2" xfId="18008"/>
    <cellStyle name="Процентный 5 89 2 2 2" xfId="50052"/>
    <cellStyle name="Процентный 5 89 2 3" xfId="28689"/>
    <cellStyle name="Процентный 5 89 2 3 2" xfId="60732"/>
    <cellStyle name="Процентный 5 89 2 4" xfId="39372"/>
    <cellStyle name="Процентный 5 89 3" xfId="12668"/>
    <cellStyle name="Процентный 5 89 3 2" xfId="44712"/>
    <cellStyle name="Процентный 5 89 4" xfId="23349"/>
    <cellStyle name="Процентный 5 89 4 2" xfId="55392"/>
    <cellStyle name="Процентный 5 89 5" xfId="34032"/>
    <cellStyle name="Процентный 5 9" xfId="85"/>
    <cellStyle name="Процентный 5 9 2" xfId="553"/>
    <cellStyle name="Процентный 5 9 2 2" xfId="5896"/>
    <cellStyle name="Процентный 5 9 2 2 2" xfId="16576"/>
    <cellStyle name="Процентный 5 9 2 2 2 2" xfId="48620"/>
    <cellStyle name="Процентный 5 9 2 2 3" xfId="27257"/>
    <cellStyle name="Процентный 5 9 2 2 3 2" xfId="59300"/>
    <cellStyle name="Процентный 5 9 2 2 4" xfId="37940"/>
    <cellStyle name="Процентный 5 9 2 3" xfId="11236"/>
    <cellStyle name="Процентный 5 9 2 3 2" xfId="43280"/>
    <cellStyle name="Процентный 5 9 2 4" xfId="21917"/>
    <cellStyle name="Процентный 5 9 2 4 2" xfId="53960"/>
    <cellStyle name="Процентный 5 9 2 5" xfId="32600"/>
    <cellStyle name="Процентный 5 9 3" xfId="5429"/>
    <cellStyle name="Процентный 5 9 3 2" xfId="16109"/>
    <cellStyle name="Процентный 5 9 3 2 2" xfId="48153"/>
    <cellStyle name="Процентный 5 9 3 3" xfId="26790"/>
    <cellStyle name="Процентный 5 9 3 3 2" xfId="58833"/>
    <cellStyle name="Процентный 5 9 3 4" xfId="37473"/>
    <cellStyle name="Процентный 5 9 4" xfId="10769"/>
    <cellStyle name="Процентный 5 9 4 2" xfId="42813"/>
    <cellStyle name="Процентный 5 9 5" xfId="21450"/>
    <cellStyle name="Процентный 5 9 5 2" xfId="53493"/>
    <cellStyle name="Процентный 5 9 6" xfId="32133"/>
    <cellStyle name="Процентный 5 90" xfId="2014"/>
    <cellStyle name="Процентный 5 90 2" xfId="7356"/>
    <cellStyle name="Процентный 5 90 2 2" xfId="18036"/>
    <cellStyle name="Процентный 5 90 2 2 2" xfId="50080"/>
    <cellStyle name="Процентный 5 90 2 3" xfId="28717"/>
    <cellStyle name="Процентный 5 90 2 3 2" xfId="60760"/>
    <cellStyle name="Процентный 5 90 2 4" xfId="39400"/>
    <cellStyle name="Процентный 5 90 3" xfId="12696"/>
    <cellStyle name="Процентный 5 90 3 2" xfId="44740"/>
    <cellStyle name="Процентный 5 90 4" xfId="23377"/>
    <cellStyle name="Процентный 5 90 4 2" xfId="55420"/>
    <cellStyle name="Процентный 5 90 5" xfId="34060"/>
    <cellStyle name="Процентный 5 91" xfId="2042"/>
    <cellStyle name="Процентный 5 91 2" xfId="7384"/>
    <cellStyle name="Процентный 5 91 2 2" xfId="18064"/>
    <cellStyle name="Процентный 5 91 2 2 2" xfId="50108"/>
    <cellStyle name="Процентный 5 91 2 3" xfId="28745"/>
    <cellStyle name="Процентный 5 91 2 3 2" xfId="60788"/>
    <cellStyle name="Процентный 5 91 2 4" xfId="39428"/>
    <cellStyle name="Процентный 5 91 3" xfId="12724"/>
    <cellStyle name="Процентный 5 91 3 2" xfId="44768"/>
    <cellStyle name="Процентный 5 91 4" xfId="23405"/>
    <cellStyle name="Процентный 5 91 4 2" xfId="55448"/>
    <cellStyle name="Процентный 5 91 5" xfId="34088"/>
    <cellStyle name="Процентный 5 92" xfId="2070"/>
    <cellStyle name="Процентный 5 92 2" xfId="7412"/>
    <cellStyle name="Процентный 5 92 2 2" xfId="18092"/>
    <cellStyle name="Процентный 5 92 2 2 2" xfId="50136"/>
    <cellStyle name="Процентный 5 92 2 3" xfId="28773"/>
    <cellStyle name="Процентный 5 92 2 3 2" xfId="60816"/>
    <cellStyle name="Процентный 5 92 2 4" xfId="39456"/>
    <cellStyle name="Процентный 5 92 3" xfId="12752"/>
    <cellStyle name="Процентный 5 92 3 2" xfId="44796"/>
    <cellStyle name="Процентный 5 92 4" xfId="23433"/>
    <cellStyle name="Процентный 5 92 4 2" xfId="55476"/>
    <cellStyle name="Процентный 5 92 5" xfId="34116"/>
    <cellStyle name="Процентный 5 93" xfId="2098"/>
    <cellStyle name="Процентный 5 93 2" xfId="7440"/>
    <cellStyle name="Процентный 5 93 2 2" xfId="18120"/>
    <cellStyle name="Процентный 5 93 2 2 2" xfId="50164"/>
    <cellStyle name="Процентный 5 93 2 3" xfId="28801"/>
    <cellStyle name="Процентный 5 93 2 3 2" xfId="60844"/>
    <cellStyle name="Процентный 5 93 2 4" xfId="39484"/>
    <cellStyle name="Процентный 5 93 3" xfId="12780"/>
    <cellStyle name="Процентный 5 93 3 2" xfId="44824"/>
    <cellStyle name="Процентный 5 93 4" xfId="23461"/>
    <cellStyle name="Процентный 5 93 4 2" xfId="55504"/>
    <cellStyle name="Процентный 5 93 5" xfId="34144"/>
    <cellStyle name="Процентный 5 94" xfId="2128"/>
    <cellStyle name="Процентный 5 94 2" xfId="7470"/>
    <cellStyle name="Процентный 5 94 2 2" xfId="18150"/>
    <cellStyle name="Процентный 5 94 2 2 2" xfId="50194"/>
    <cellStyle name="Процентный 5 94 2 3" xfId="28831"/>
    <cellStyle name="Процентный 5 94 2 3 2" xfId="60874"/>
    <cellStyle name="Процентный 5 94 2 4" xfId="39514"/>
    <cellStyle name="Процентный 5 94 3" xfId="12810"/>
    <cellStyle name="Процентный 5 94 3 2" xfId="44854"/>
    <cellStyle name="Процентный 5 94 4" xfId="23491"/>
    <cellStyle name="Процентный 5 94 4 2" xfId="55534"/>
    <cellStyle name="Процентный 5 94 5" xfId="34174"/>
    <cellStyle name="Процентный 5 95" xfId="2158"/>
    <cellStyle name="Процентный 5 95 2" xfId="7500"/>
    <cellStyle name="Процентный 5 95 2 2" xfId="18180"/>
    <cellStyle name="Процентный 5 95 2 2 2" xfId="50224"/>
    <cellStyle name="Процентный 5 95 2 3" xfId="28861"/>
    <cellStyle name="Процентный 5 95 2 3 2" xfId="60904"/>
    <cellStyle name="Процентный 5 95 2 4" xfId="39544"/>
    <cellStyle name="Процентный 5 95 3" xfId="12840"/>
    <cellStyle name="Процентный 5 95 3 2" xfId="44884"/>
    <cellStyle name="Процентный 5 95 4" xfId="23521"/>
    <cellStyle name="Процентный 5 95 4 2" xfId="55564"/>
    <cellStyle name="Процентный 5 95 5" xfId="34204"/>
    <cellStyle name="Процентный 5 96" xfId="2188"/>
    <cellStyle name="Процентный 5 96 2" xfId="7530"/>
    <cellStyle name="Процентный 5 96 2 2" xfId="18210"/>
    <cellStyle name="Процентный 5 96 2 2 2" xfId="50254"/>
    <cellStyle name="Процентный 5 96 2 3" xfId="28891"/>
    <cellStyle name="Процентный 5 96 2 3 2" xfId="60934"/>
    <cellStyle name="Процентный 5 96 2 4" xfId="39574"/>
    <cellStyle name="Процентный 5 96 3" xfId="12870"/>
    <cellStyle name="Процентный 5 96 3 2" xfId="44914"/>
    <cellStyle name="Процентный 5 96 4" xfId="23551"/>
    <cellStyle name="Процентный 5 96 4 2" xfId="55594"/>
    <cellStyle name="Процентный 5 96 5" xfId="34234"/>
    <cellStyle name="Процентный 5 97" xfId="2218"/>
    <cellStyle name="Процентный 5 97 2" xfId="7560"/>
    <cellStyle name="Процентный 5 97 2 2" xfId="18240"/>
    <cellStyle name="Процентный 5 97 2 2 2" xfId="50284"/>
    <cellStyle name="Процентный 5 97 2 3" xfId="28921"/>
    <cellStyle name="Процентный 5 97 2 3 2" xfId="60964"/>
    <cellStyle name="Процентный 5 97 2 4" xfId="39604"/>
    <cellStyle name="Процентный 5 97 3" xfId="12900"/>
    <cellStyle name="Процентный 5 97 3 2" xfId="44944"/>
    <cellStyle name="Процентный 5 97 4" xfId="23581"/>
    <cellStyle name="Процентный 5 97 4 2" xfId="55624"/>
    <cellStyle name="Процентный 5 97 5" xfId="34264"/>
    <cellStyle name="Процентный 5 98" xfId="2248"/>
    <cellStyle name="Процентный 5 98 2" xfId="7590"/>
    <cellStyle name="Процентный 5 98 2 2" xfId="18270"/>
    <cellStyle name="Процентный 5 98 2 2 2" xfId="50314"/>
    <cellStyle name="Процентный 5 98 2 3" xfId="28951"/>
    <cellStyle name="Процентный 5 98 2 3 2" xfId="60994"/>
    <cellStyle name="Процентный 5 98 2 4" xfId="39634"/>
    <cellStyle name="Процентный 5 98 3" xfId="12930"/>
    <cellStyle name="Процентный 5 98 3 2" xfId="44974"/>
    <cellStyle name="Процентный 5 98 4" xfId="23611"/>
    <cellStyle name="Процентный 5 98 4 2" xfId="55654"/>
    <cellStyle name="Процентный 5 98 5" xfId="34294"/>
    <cellStyle name="Процентный 5 99" xfId="2278"/>
    <cellStyle name="Процентный 5 99 2" xfId="7620"/>
    <cellStyle name="Процентный 5 99 2 2" xfId="18300"/>
    <cellStyle name="Процентный 5 99 2 2 2" xfId="50344"/>
    <cellStyle name="Процентный 5 99 2 3" xfId="28981"/>
    <cellStyle name="Процентный 5 99 2 3 2" xfId="61024"/>
    <cellStyle name="Процентный 5 99 2 4" xfId="39664"/>
    <cellStyle name="Процентный 5 99 3" xfId="12960"/>
    <cellStyle name="Процентный 5 99 3 2" xfId="45004"/>
    <cellStyle name="Процентный 5 99 4" xfId="23641"/>
    <cellStyle name="Процентный 5 99 4 2" xfId="55684"/>
    <cellStyle name="Процентный 5 99 5" xfId="34324"/>
    <cellStyle name="Процентный 6" xfId="99"/>
    <cellStyle name="Процентный 6 10" xfId="189"/>
    <cellStyle name="Процентный 6 10 2" xfId="657"/>
    <cellStyle name="Процентный 6 10 2 2" xfId="6000"/>
    <cellStyle name="Процентный 6 10 2 2 2" xfId="16680"/>
    <cellStyle name="Процентный 6 10 2 2 2 2" xfId="48724"/>
    <cellStyle name="Процентный 6 10 2 2 3" xfId="27361"/>
    <cellStyle name="Процентный 6 10 2 2 3 2" xfId="59404"/>
    <cellStyle name="Процентный 6 10 2 2 4" xfId="38044"/>
    <cellStyle name="Процентный 6 10 2 3" xfId="11340"/>
    <cellStyle name="Процентный 6 10 2 3 2" xfId="43384"/>
    <cellStyle name="Процентный 6 10 2 4" xfId="22021"/>
    <cellStyle name="Процентный 6 10 2 4 2" xfId="54064"/>
    <cellStyle name="Процентный 6 10 2 5" xfId="32704"/>
    <cellStyle name="Процентный 6 10 3" xfId="5533"/>
    <cellStyle name="Процентный 6 10 3 2" xfId="16213"/>
    <cellStyle name="Процентный 6 10 3 2 2" xfId="48257"/>
    <cellStyle name="Процентный 6 10 3 3" xfId="26894"/>
    <cellStyle name="Процентный 6 10 3 3 2" xfId="58937"/>
    <cellStyle name="Процентный 6 10 3 4" xfId="37577"/>
    <cellStyle name="Процентный 6 10 4" xfId="10873"/>
    <cellStyle name="Процентный 6 10 4 2" xfId="42917"/>
    <cellStyle name="Процентный 6 10 5" xfId="21554"/>
    <cellStyle name="Процентный 6 10 5 2" xfId="53597"/>
    <cellStyle name="Процентный 6 10 6" xfId="32237"/>
    <cellStyle name="Процентный 6 100" xfId="2594"/>
    <cellStyle name="Процентный 6 100 2" xfId="7936"/>
    <cellStyle name="Процентный 6 100 2 2" xfId="18616"/>
    <cellStyle name="Процентный 6 100 2 2 2" xfId="50660"/>
    <cellStyle name="Процентный 6 100 2 3" xfId="29297"/>
    <cellStyle name="Процентный 6 100 2 3 2" xfId="61340"/>
    <cellStyle name="Процентный 6 100 2 4" xfId="39980"/>
    <cellStyle name="Процентный 6 100 3" xfId="13276"/>
    <cellStyle name="Процентный 6 100 3 2" xfId="45320"/>
    <cellStyle name="Процентный 6 100 4" xfId="23957"/>
    <cellStyle name="Процентный 6 100 4 2" xfId="56000"/>
    <cellStyle name="Процентный 6 100 5" xfId="34640"/>
    <cellStyle name="Процентный 6 101" xfId="2626"/>
    <cellStyle name="Процентный 6 101 2" xfId="7968"/>
    <cellStyle name="Процентный 6 101 2 2" xfId="18648"/>
    <cellStyle name="Процентный 6 101 2 2 2" xfId="50692"/>
    <cellStyle name="Процентный 6 101 2 3" xfId="29329"/>
    <cellStyle name="Процентный 6 101 2 3 2" xfId="61372"/>
    <cellStyle name="Процентный 6 101 2 4" xfId="40012"/>
    <cellStyle name="Процентный 6 101 3" xfId="13308"/>
    <cellStyle name="Процентный 6 101 3 2" xfId="45352"/>
    <cellStyle name="Процентный 6 101 4" xfId="23989"/>
    <cellStyle name="Процентный 6 101 4 2" xfId="56032"/>
    <cellStyle name="Процентный 6 101 5" xfId="34672"/>
    <cellStyle name="Процентный 6 102" xfId="2658"/>
    <cellStyle name="Процентный 6 102 2" xfId="8000"/>
    <cellStyle name="Процентный 6 102 2 2" xfId="18680"/>
    <cellStyle name="Процентный 6 102 2 2 2" xfId="50724"/>
    <cellStyle name="Процентный 6 102 2 3" xfId="29361"/>
    <cellStyle name="Процентный 6 102 2 3 2" xfId="61404"/>
    <cellStyle name="Процентный 6 102 2 4" xfId="40044"/>
    <cellStyle name="Процентный 6 102 3" xfId="13340"/>
    <cellStyle name="Процентный 6 102 3 2" xfId="45384"/>
    <cellStyle name="Процентный 6 102 4" xfId="24021"/>
    <cellStyle name="Процентный 6 102 4 2" xfId="56064"/>
    <cellStyle name="Процентный 6 102 5" xfId="34704"/>
    <cellStyle name="Процентный 6 103" xfId="2690"/>
    <cellStyle name="Процентный 6 103 2" xfId="8032"/>
    <cellStyle name="Процентный 6 103 2 2" xfId="18712"/>
    <cellStyle name="Процентный 6 103 2 2 2" xfId="50756"/>
    <cellStyle name="Процентный 6 103 2 3" xfId="29393"/>
    <cellStyle name="Процентный 6 103 2 3 2" xfId="61436"/>
    <cellStyle name="Процентный 6 103 2 4" xfId="40076"/>
    <cellStyle name="Процентный 6 103 3" xfId="13372"/>
    <cellStyle name="Процентный 6 103 3 2" xfId="45416"/>
    <cellStyle name="Процентный 6 103 4" xfId="24053"/>
    <cellStyle name="Процентный 6 103 4 2" xfId="56096"/>
    <cellStyle name="Процентный 6 103 5" xfId="34736"/>
    <cellStyle name="Процентный 6 104" xfId="2722"/>
    <cellStyle name="Процентный 6 104 2" xfId="8064"/>
    <cellStyle name="Процентный 6 104 2 2" xfId="18744"/>
    <cellStyle name="Процентный 6 104 2 2 2" xfId="50788"/>
    <cellStyle name="Процентный 6 104 2 3" xfId="29425"/>
    <cellStyle name="Процентный 6 104 2 3 2" xfId="61468"/>
    <cellStyle name="Процентный 6 104 2 4" xfId="40108"/>
    <cellStyle name="Процентный 6 104 3" xfId="13404"/>
    <cellStyle name="Процентный 6 104 3 2" xfId="45448"/>
    <cellStyle name="Процентный 6 104 4" xfId="24085"/>
    <cellStyle name="Процентный 6 104 4 2" xfId="56128"/>
    <cellStyle name="Процентный 6 104 5" xfId="34768"/>
    <cellStyle name="Процентный 6 105" xfId="2756"/>
    <cellStyle name="Процентный 6 105 2" xfId="8098"/>
    <cellStyle name="Процентный 6 105 2 2" xfId="18778"/>
    <cellStyle name="Процентный 6 105 2 2 2" xfId="50822"/>
    <cellStyle name="Процентный 6 105 2 3" xfId="29459"/>
    <cellStyle name="Процентный 6 105 2 3 2" xfId="61502"/>
    <cellStyle name="Процентный 6 105 2 4" xfId="40142"/>
    <cellStyle name="Процентный 6 105 3" xfId="13438"/>
    <cellStyle name="Процентный 6 105 3 2" xfId="45482"/>
    <cellStyle name="Процентный 6 105 4" xfId="24119"/>
    <cellStyle name="Процентный 6 105 4 2" xfId="56162"/>
    <cellStyle name="Процентный 6 105 5" xfId="34802"/>
    <cellStyle name="Процентный 6 106" xfId="2788"/>
    <cellStyle name="Процентный 6 106 2" xfId="8130"/>
    <cellStyle name="Процентный 6 106 2 2" xfId="18810"/>
    <cellStyle name="Процентный 6 106 2 2 2" xfId="50854"/>
    <cellStyle name="Процентный 6 106 2 3" xfId="29491"/>
    <cellStyle name="Процентный 6 106 2 3 2" xfId="61534"/>
    <cellStyle name="Процентный 6 106 2 4" xfId="40174"/>
    <cellStyle name="Процентный 6 106 3" xfId="13470"/>
    <cellStyle name="Процентный 6 106 3 2" xfId="45514"/>
    <cellStyle name="Процентный 6 106 4" xfId="24151"/>
    <cellStyle name="Процентный 6 106 4 2" xfId="56194"/>
    <cellStyle name="Процентный 6 106 5" xfId="34834"/>
    <cellStyle name="Процентный 6 107" xfId="2820"/>
    <cellStyle name="Процентный 6 107 2" xfId="8162"/>
    <cellStyle name="Процентный 6 107 2 2" xfId="18842"/>
    <cellStyle name="Процентный 6 107 2 2 2" xfId="50886"/>
    <cellStyle name="Процентный 6 107 2 3" xfId="29523"/>
    <cellStyle name="Процентный 6 107 2 3 2" xfId="61566"/>
    <cellStyle name="Процентный 6 107 2 4" xfId="40206"/>
    <cellStyle name="Процентный 6 107 3" xfId="13502"/>
    <cellStyle name="Процентный 6 107 3 2" xfId="45546"/>
    <cellStyle name="Процентный 6 107 4" xfId="24183"/>
    <cellStyle name="Процентный 6 107 4 2" xfId="56226"/>
    <cellStyle name="Процентный 6 107 5" xfId="34866"/>
    <cellStyle name="Процентный 6 108" xfId="2852"/>
    <cellStyle name="Процентный 6 108 2" xfId="8194"/>
    <cellStyle name="Процентный 6 108 2 2" xfId="18874"/>
    <cellStyle name="Процентный 6 108 2 2 2" xfId="50918"/>
    <cellStyle name="Процентный 6 108 2 3" xfId="29555"/>
    <cellStyle name="Процентный 6 108 2 3 2" xfId="61598"/>
    <cellStyle name="Процентный 6 108 2 4" xfId="40238"/>
    <cellStyle name="Процентный 6 108 3" xfId="13534"/>
    <cellStyle name="Процентный 6 108 3 2" xfId="45578"/>
    <cellStyle name="Процентный 6 108 4" xfId="24215"/>
    <cellStyle name="Процентный 6 108 4 2" xfId="56258"/>
    <cellStyle name="Процентный 6 108 5" xfId="34898"/>
    <cellStyle name="Процентный 6 109" xfId="2884"/>
    <cellStyle name="Процентный 6 109 2" xfId="8226"/>
    <cellStyle name="Процентный 6 109 2 2" xfId="18906"/>
    <cellStyle name="Процентный 6 109 2 2 2" xfId="50950"/>
    <cellStyle name="Процентный 6 109 2 3" xfId="29587"/>
    <cellStyle name="Процентный 6 109 2 3 2" xfId="61630"/>
    <cellStyle name="Процентный 6 109 2 4" xfId="40270"/>
    <cellStyle name="Процентный 6 109 3" xfId="13566"/>
    <cellStyle name="Процентный 6 109 3 2" xfId="45610"/>
    <cellStyle name="Процентный 6 109 4" xfId="24247"/>
    <cellStyle name="Процентный 6 109 4 2" xfId="56290"/>
    <cellStyle name="Процентный 6 109 5" xfId="34930"/>
    <cellStyle name="Процентный 6 11" xfId="199"/>
    <cellStyle name="Процентный 6 11 2" xfId="667"/>
    <cellStyle name="Процентный 6 11 2 2" xfId="6010"/>
    <cellStyle name="Процентный 6 11 2 2 2" xfId="16690"/>
    <cellStyle name="Процентный 6 11 2 2 2 2" xfId="48734"/>
    <cellStyle name="Процентный 6 11 2 2 3" xfId="27371"/>
    <cellStyle name="Процентный 6 11 2 2 3 2" xfId="59414"/>
    <cellStyle name="Процентный 6 11 2 2 4" xfId="38054"/>
    <cellStyle name="Процентный 6 11 2 3" xfId="11350"/>
    <cellStyle name="Процентный 6 11 2 3 2" xfId="43394"/>
    <cellStyle name="Процентный 6 11 2 4" xfId="22031"/>
    <cellStyle name="Процентный 6 11 2 4 2" xfId="54074"/>
    <cellStyle name="Процентный 6 11 2 5" xfId="32714"/>
    <cellStyle name="Процентный 6 11 3" xfId="5543"/>
    <cellStyle name="Процентный 6 11 3 2" xfId="16223"/>
    <cellStyle name="Процентный 6 11 3 2 2" xfId="48267"/>
    <cellStyle name="Процентный 6 11 3 3" xfId="26904"/>
    <cellStyle name="Процентный 6 11 3 3 2" xfId="58947"/>
    <cellStyle name="Процентный 6 11 3 4" xfId="37587"/>
    <cellStyle name="Процентный 6 11 4" xfId="10883"/>
    <cellStyle name="Процентный 6 11 4 2" xfId="42927"/>
    <cellStyle name="Процентный 6 11 5" xfId="21564"/>
    <cellStyle name="Процентный 6 11 5 2" xfId="53607"/>
    <cellStyle name="Процентный 6 11 6" xfId="32247"/>
    <cellStyle name="Процентный 6 110" xfId="2916"/>
    <cellStyle name="Процентный 6 110 2" xfId="8258"/>
    <cellStyle name="Процентный 6 110 2 2" xfId="18938"/>
    <cellStyle name="Процентный 6 110 2 2 2" xfId="50982"/>
    <cellStyle name="Процентный 6 110 2 3" xfId="29619"/>
    <cellStyle name="Процентный 6 110 2 3 2" xfId="61662"/>
    <cellStyle name="Процентный 6 110 2 4" xfId="40302"/>
    <cellStyle name="Процентный 6 110 3" xfId="13598"/>
    <cellStyle name="Процентный 6 110 3 2" xfId="45642"/>
    <cellStyle name="Процентный 6 110 4" xfId="24279"/>
    <cellStyle name="Процентный 6 110 4 2" xfId="56322"/>
    <cellStyle name="Процентный 6 110 5" xfId="34962"/>
    <cellStyle name="Процентный 6 111" xfId="2948"/>
    <cellStyle name="Процентный 6 111 2" xfId="8290"/>
    <cellStyle name="Процентный 6 111 2 2" xfId="18970"/>
    <cellStyle name="Процентный 6 111 2 2 2" xfId="51014"/>
    <cellStyle name="Процентный 6 111 2 3" xfId="29651"/>
    <cellStyle name="Процентный 6 111 2 3 2" xfId="61694"/>
    <cellStyle name="Процентный 6 111 2 4" xfId="40334"/>
    <cellStyle name="Процентный 6 111 3" xfId="13630"/>
    <cellStyle name="Процентный 6 111 3 2" xfId="45674"/>
    <cellStyle name="Процентный 6 111 4" xfId="24311"/>
    <cellStyle name="Процентный 6 111 4 2" xfId="56354"/>
    <cellStyle name="Процентный 6 111 5" xfId="34994"/>
    <cellStyle name="Процентный 6 112" xfId="2980"/>
    <cellStyle name="Процентный 6 112 2" xfId="8322"/>
    <cellStyle name="Процентный 6 112 2 2" xfId="19002"/>
    <cellStyle name="Процентный 6 112 2 2 2" xfId="51046"/>
    <cellStyle name="Процентный 6 112 2 3" xfId="29683"/>
    <cellStyle name="Процентный 6 112 2 3 2" xfId="61726"/>
    <cellStyle name="Процентный 6 112 2 4" xfId="40366"/>
    <cellStyle name="Процентный 6 112 3" xfId="13662"/>
    <cellStyle name="Процентный 6 112 3 2" xfId="45706"/>
    <cellStyle name="Процентный 6 112 4" xfId="24343"/>
    <cellStyle name="Процентный 6 112 4 2" xfId="56386"/>
    <cellStyle name="Процентный 6 112 5" xfId="35026"/>
    <cellStyle name="Процентный 6 113" xfId="3012"/>
    <cellStyle name="Процентный 6 113 2" xfId="8354"/>
    <cellStyle name="Процентный 6 113 2 2" xfId="19034"/>
    <cellStyle name="Процентный 6 113 2 2 2" xfId="51078"/>
    <cellStyle name="Процентный 6 113 2 3" xfId="29715"/>
    <cellStyle name="Процентный 6 113 2 3 2" xfId="61758"/>
    <cellStyle name="Процентный 6 113 2 4" xfId="40398"/>
    <cellStyle name="Процентный 6 113 3" xfId="13694"/>
    <cellStyle name="Процентный 6 113 3 2" xfId="45738"/>
    <cellStyle name="Процентный 6 113 4" xfId="24375"/>
    <cellStyle name="Процентный 6 113 4 2" xfId="56418"/>
    <cellStyle name="Процентный 6 113 5" xfId="35058"/>
    <cellStyle name="Процентный 6 114" xfId="3044"/>
    <cellStyle name="Процентный 6 114 2" xfId="8386"/>
    <cellStyle name="Процентный 6 114 2 2" xfId="19066"/>
    <cellStyle name="Процентный 6 114 2 2 2" xfId="51110"/>
    <cellStyle name="Процентный 6 114 2 3" xfId="29747"/>
    <cellStyle name="Процентный 6 114 2 3 2" xfId="61790"/>
    <cellStyle name="Процентный 6 114 2 4" xfId="40430"/>
    <cellStyle name="Процентный 6 114 3" xfId="13726"/>
    <cellStyle name="Процентный 6 114 3 2" xfId="45770"/>
    <cellStyle name="Процентный 6 114 4" xfId="24407"/>
    <cellStyle name="Процентный 6 114 4 2" xfId="56450"/>
    <cellStyle name="Процентный 6 114 5" xfId="35090"/>
    <cellStyle name="Процентный 6 115" xfId="3076"/>
    <cellStyle name="Процентный 6 115 2" xfId="8418"/>
    <cellStyle name="Процентный 6 115 2 2" xfId="19098"/>
    <cellStyle name="Процентный 6 115 2 2 2" xfId="51142"/>
    <cellStyle name="Процентный 6 115 2 3" xfId="29779"/>
    <cellStyle name="Процентный 6 115 2 3 2" xfId="61822"/>
    <cellStyle name="Процентный 6 115 2 4" xfId="40462"/>
    <cellStyle name="Процентный 6 115 3" xfId="13758"/>
    <cellStyle name="Процентный 6 115 3 2" xfId="45802"/>
    <cellStyle name="Процентный 6 115 4" xfId="24439"/>
    <cellStyle name="Процентный 6 115 4 2" xfId="56482"/>
    <cellStyle name="Процентный 6 115 5" xfId="35122"/>
    <cellStyle name="Процентный 6 116" xfId="3109"/>
    <cellStyle name="Процентный 6 116 2" xfId="8450"/>
    <cellStyle name="Процентный 6 116 2 2" xfId="19130"/>
    <cellStyle name="Процентный 6 116 2 2 2" xfId="51174"/>
    <cellStyle name="Процентный 6 116 2 3" xfId="29811"/>
    <cellStyle name="Процентный 6 116 2 3 2" xfId="61854"/>
    <cellStyle name="Процентный 6 116 2 4" xfId="40494"/>
    <cellStyle name="Процентный 6 116 3" xfId="13790"/>
    <cellStyle name="Процентный 6 116 3 2" xfId="45834"/>
    <cellStyle name="Процентный 6 116 4" xfId="24471"/>
    <cellStyle name="Процентный 6 116 4 2" xfId="56514"/>
    <cellStyle name="Процентный 6 116 5" xfId="35154"/>
    <cellStyle name="Процентный 6 117" xfId="3141"/>
    <cellStyle name="Процентный 6 117 2" xfId="8482"/>
    <cellStyle name="Процентный 6 117 2 2" xfId="19162"/>
    <cellStyle name="Процентный 6 117 2 2 2" xfId="51206"/>
    <cellStyle name="Процентный 6 117 2 3" xfId="29843"/>
    <cellStyle name="Процентный 6 117 2 3 2" xfId="61886"/>
    <cellStyle name="Процентный 6 117 2 4" xfId="40526"/>
    <cellStyle name="Процентный 6 117 3" xfId="13822"/>
    <cellStyle name="Процентный 6 117 3 2" xfId="45866"/>
    <cellStyle name="Процентный 6 117 4" xfId="24503"/>
    <cellStyle name="Процентный 6 117 4 2" xfId="56546"/>
    <cellStyle name="Процентный 6 117 5" xfId="35186"/>
    <cellStyle name="Процентный 6 118" xfId="3173"/>
    <cellStyle name="Процентный 6 118 2" xfId="8514"/>
    <cellStyle name="Процентный 6 118 2 2" xfId="19194"/>
    <cellStyle name="Процентный 6 118 2 2 2" xfId="51238"/>
    <cellStyle name="Процентный 6 118 2 3" xfId="29875"/>
    <cellStyle name="Процентный 6 118 2 3 2" xfId="61918"/>
    <cellStyle name="Процентный 6 118 2 4" xfId="40558"/>
    <cellStyle name="Процентный 6 118 3" xfId="13854"/>
    <cellStyle name="Процентный 6 118 3 2" xfId="45898"/>
    <cellStyle name="Процентный 6 118 4" xfId="24535"/>
    <cellStyle name="Процентный 6 118 4 2" xfId="56578"/>
    <cellStyle name="Процентный 6 118 5" xfId="35218"/>
    <cellStyle name="Процентный 6 119" xfId="3205"/>
    <cellStyle name="Процентный 6 119 2" xfId="8546"/>
    <cellStyle name="Процентный 6 119 2 2" xfId="19226"/>
    <cellStyle name="Процентный 6 119 2 2 2" xfId="51270"/>
    <cellStyle name="Процентный 6 119 2 3" xfId="29907"/>
    <cellStyle name="Процентный 6 119 2 3 2" xfId="61950"/>
    <cellStyle name="Процентный 6 119 2 4" xfId="40590"/>
    <cellStyle name="Процентный 6 119 3" xfId="13886"/>
    <cellStyle name="Процентный 6 119 3 2" xfId="45930"/>
    <cellStyle name="Процентный 6 119 4" xfId="24567"/>
    <cellStyle name="Процентный 6 119 4 2" xfId="56610"/>
    <cellStyle name="Процентный 6 119 5" xfId="35250"/>
    <cellStyle name="Процентный 6 12" xfId="209"/>
    <cellStyle name="Процентный 6 12 2" xfId="677"/>
    <cellStyle name="Процентный 6 12 2 2" xfId="6020"/>
    <cellStyle name="Процентный 6 12 2 2 2" xfId="16700"/>
    <cellStyle name="Процентный 6 12 2 2 2 2" xfId="48744"/>
    <cellStyle name="Процентный 6 12 2 2 3" xfId="27381"/>
    <cellStyle name="Процентный 6 12 2 2 3 2" xfId="59424"/>
    <cellStyle name="Процентный 6 12 2 2 4" xfId="38064"/>
    <cellStyle name="Процентный 6 12 2 3" xfId="11360"/>
    <cellStyle name="Процентный 6 12 2 3 2" xfId="43404"/>
    <cellStyle name="Процентный 6 12 2 4" xfId="22041"/>
    <cellStyle name="Процентный 6 12 2 4 2" xfId="54084"/>
    <cellStyle name="Процентный 6 12 2 5" xfId="32724"/>
    <cellStyle name="Процентный 6 12 3" xfId="5553"/>
    <cellStyle name="Процентный 6 12 3 2" xfId="16233"/>
    <cellStyle name="Процентный 6 12 3 2 2" xfId="48277"/>
    <cellStyle name="Процентный 6 12 3 3" xfId="26914"/>
    <cellStyle name="Процентный 6 12 3 3 2" xfId="58957"/>
    <cellStyle name="Процентный 6 12 3 4" xfId="37597"/>
    <cellStyle name="Процентный 6 12 4" xfId="10893"/>
    <cellStyle name="Процентный 6 12 4 2" xfId="42937"/>
    <cellStyle name="Процентный 6 12 5" xfId="21574"/>
    <cellStyle name="Процентный 6 12 5 2" xfId="53617"/>
    <cellStyle name="Процентный 6 12 6" xfId="32257"/>
    <cellStyle name="Процентный 6 120" xfId="3237"/>
    <cellStyle name="Процентный 6 120 2" xfId="8578"/>
    <cellStyle name="Процентный 6 120 2 2" xfId="19258"/>
    <cellStyle name="Процентный 6 120 2 2 2" xfId="51302"/>
    <cellStyle name="Процентный 6 120 2 3" xfId="29939"/>
    <cellStyle name="Процентный 6 120 2 3 2" xfId="61982"/>
    <cellStyle name="Процентный 6 120 2 4" xfId="40622"/>
    <cellStyle name="Процентный 6 120 3" xfId="13918"/>
    <cellStyle name="Процентный 6 120 3 2" xfId="45962"/>
    <cellStyle name="Процентный 6 120 4" xfId="24599"/>
    <cellStyle name="Процентный 6 120 4 2" xfId="56642"/>
    <cellStyle name="Процентный 6 120 5" xfId="35282"/>
    <cellStyle name="Процентный 6 121" xfId="3269"/>
    <cellStyle name="Процентный 6 121 2" xfId="8610"/>
    <cellStyle name="Процентный 6 121 2 2" xfId="19290"/>
    <cellStyle name="Процентный 6 121 2 2 2" xfId="51334"/>
    <cellStyle name="Процентный 6 121 2 3" xfId="29971"/>
    <cellStyle name="Процентный 6 121 2 3 2" xfId="62014"/>
    <cellStyle name="Процентный 6 121 2 4" xfId="40654"/>
    <cellStyle name="Процентный 6 121 3" xfId="13950"/>
    <cellStyle name="Процентный 6 121 3 2" xfId="45994"/>
    <cellStyle name="Процентный 6 121 4" xfId="24631"/>
    <cellStyle name="Процентный 6 121 4 2" xfId="56674"/>
    <cellStyle name="Процентный 6 121 5" xfId="35314"/>
    <cellStyle name="Процентный 6 122" xfId="3301"/>
    <cellStyle name="Процентный 6 122 2" xfId="8642"/>
    <cellStyle name="Процентный 6 122 2 2" xfId="19322"/>
    <cellStyle name="Процентный 6 122 2 2 2" xfId="51366"/>
    <cellStyle name="Процентный 6 122 2 3" xfId="30003"/>
    <cellStyle name="Процентный 6 122 2 3 2" xfId="62046"/>
    <cellStyle name="Процентный 6 122 2 4" xfId="40686"/>
    <cellStyle name="Процентный 6 122 3" xfId="13982"/>
    <cellStyle name="Процентный 6 122 3 2" xfId="46026"/>
    <cellStyle name="Процентный 6 122 4" xfId="24663"/>
    <cellStyle name="Процентный 6 122 4 2" xfId="56706"/>
    <cellStyle name="Процентный 6 122 5" xfId="35346"/>
    <cellStyle name="Процентный 6 123" xfId="3333"/>
    <cellStyle name="Процентный 6 123 2" xfId="8674"/>
    <cellStyle name="Процентный 6 123 2 2" xfId="19354"/>
    <cellStyle name="Процентный 6 123 2 2 2" xfId="51398"/>
    <cellStyle name="Процентный 6 123 2 3" xfId="30035"/>
    <cellStyle name="Процентный 6 123 2 3 2" xfId="62078"/>
    <cellStyle name="Процентный 6 123 2 4" xfId="40718"/>
    <cellStyle name="Процентный 6 123 3" xfId="14014"/>
    <cellStyle name="Процентный 6 123 3 2" xfId="46058"/>
    <cellStyle name="Процентный 6 123 4" xfId="24695"/>
    <cellStyle name="Процентный 6 123 4 2" xfId="56738"/>
    <cellStyle name="Процентный 6 123 5" xfId="35378"/>
    <cellStyle name="Процентный 6 124" xfId="3365"/>
    <cellStyle name="Процентный 6 124 2" xfId="8706"/>
    <cellStyle name="Процентный 6 124 2 2" xfId="19386"/>
    <cellStyle name="Процентный 6 124 2 2 2" xfId="51430"/>
    <cellStyle name="Процентный 6 124 2 3" xfId="30067"/>
    <cellStyle name="Процентный 6 124 2 3 2" xfId="62110"/>
    <cellStyle name="Процентный 6 124 2 4" xfId="40750"/>
    <cellStyle name="Процентный 6 124 3" xfId="14046"/>
    <cellStyle name="Процентный 6 124 3 2" xfId="46090"/>
    <cellStyle name="Процентный 6 124 4" xfId="24727"/>
    <cellStyle name="Процентный 6 124 4 2" xfId="56770"/>
    <cellStyle name="Процентный 6 124 5" xfId="35410"/>
    <cellStyle name="Процентный 6 125" xfId="3397"/>
    <cellStyle name="Процентный 6 125 2" xfId="8738"/>
    <cellStyle name="Процентный 6 125 2 2" xfId="19418"/>
    <cellStyle name="Процентный 6 125 2 2 2" xfId="51462"/>
    <cellStyle name="Процентный 6 125 2 3" xfId="30099"/>
    <cellStyle name="Процентный 6 125 2 3 2" xfId="62142"/>
    <cellStyle name="Процентный 6 125 2 4" xfId="40782"/>
    <cellStyle name="Процентный 6 125 3" xfId="14078"/>
    <cellStyle name="Процентный 6 125 3 2" xfId="46122"/>
    <cellStyle name="Процентный 6 125 4" xfId="24759"/>
    <cellStyle name="Процентный 6 125 4 2" xfId="56802"/>
    <cellStyle name="Процентный 6 125 5" xfId="35442"/>
    <cellStyle name="Процентный 6 126" xfId="3429"/>
    <cellStyle name="Процентный 6 126 2" xfId="8770"/>
    <cellStyle name="Процентный 6 126 2 2" xfId="19450"/>
    <cellStyle name="Процентный 6 126 2 2 2" xfId="51494"/>
    <cellStyle name="Процентный 6 126 2 3" xfId="30131"/>
    <cellStyle name="Процентный 6 126 2 3 2" xfId="62174"/>
    <cellStyle name="Процентный 6 126 2 4" xfId="40814"/>
    <cellStyle name="Процентный 6 126 3" xfId="14110"/>
    <cellStyle name="Процентный 6 126 3 2" xfId="46154"/>
    <cellStyle name="Процентный 6 126 4" xfId="24791"/>
    <cellStyle name="Процентный 6 126 4 2" xfId="56834"/>
    <cellStyle name="Процентный 6 126 5" xfId="35474"/>
    <cellStyle name="Процентный 6 127" xfId="3461"/>
    <cellStyle name="Процентный 6 127 2" xfId="8802"/>
    <cellStyle name="Процентный 6 127 2 2" xfId="19482"/>
    <cellStyle name="Процентный 6 127 2 2 2" xfId="51526"/>
    <cellStyle name="Процентный 6 127 2 3" xfId="30163"/>
    <cellStyle name="Процентный 6 127 2 3 2" xfId="62206"/>
    <cellStyle name="Процентный 6 127 2 4" xfId="40846"/>
    <cellStyle name="Процентный 6 127 3" xfId="14142"/>
    <cellStyle name="Процентный 6 127 3 2" xfId="46186"/>
    <cellStyle name="Процентный 6 127 4" xfId="24823"/>
    <cellStyle name="Процентный 6 127 4 2" xfId="56866"/>
    <cellStyle name="Процентный 6 127 5" xfId="35506"/>
    <cellStyle name="Процентный 6 128" xfId="3493"/>
    <cellStyle name="Процентный 6 128 2" xfId="8834"/>
    <cellStyle name="Процентный 6 128 2 2" xfId="19514"/>
    <cellStyle name="Процентный 6 128 2 2 2" xfId="51558"/>
    <cellStyle name="Процентный 6 128 2 3" xfId="30195"/>
    <cellStyle name="Процентный 6 128 2 3 2" xfId="62238"/>
    <cellStyle name="Процентный 6 128 2 4" xfId="40878"/>
    <cellStyle name="Процентный 6 128 3" xfId="14174"/>
    <cellStyle name="Процентный 6 128 3 2" xfId="46218"/>
    <cellStyle name="Процентный 6 128 4" xfId="24855"/>
    <cellStyle name="Процентный 6 128 4 2" xfId="56898"/>
    <cellStyle name="Процентный 6 128 5" xfId="35538"/>
    <cellStyle name="Процентный 6 129" xfId="3525"/>
    <cellStyle name="Процентный 6 129 2" xfId="8866"/>
    <cellStyle name="Процентный 6 129 2 2" xfId="19546"/>
    <cellStyle name="Процентный 6 129 2 2 2" xfId="51590"/>
    <cellStyle name="Процентный 6 129 2 3" xfId="30227"/>
    <cellStyle name="Процентный 6 129 2 3 2" xfId="62270"/>
    <cellStyle name="Процентный 6 129 2 4" xfId="40910"/>
    <cellStyle name="Процентный 6 129 3" xfId="14206"/>
    <cellStyle name="Процентный 6 129 3 2" xfId="46250"/>
    <cellStyle name="Процентный 6 129 4" xfId="24887"/>
    <cellStyle name="Процентный 6 129 4 2" xfId="56930"/>
    <cellStyle name="Процентный 6 129 5" xfId="35570"/>
    <cellStyle name="Процентный 6 13" xfId="219"/>
    <cellStyle name="Процентный 6 13 2" xfId="687"/>
    <cellStyle name="Процентный 6 13 2 2" xfId="6030"/>
    <cellStyle name="Процентный 6 13 2 2 2" xfId="16710"/>
    <cellStyle name="Процентный 6 13 2 2 2 2" xfId="48754"/>
    <cellStyle name="Процентный 6 13 2 2 3" xfId="27391"/>
    <cellStyle name="Процентный 6 13 2 2 3 2" xfId="59434"/>
    <cellStyle name="Процентный 6 13 2 2 4" xfId="38074"/>
    <cellStyle name="Процентный 6 13 2 3" xfId="11370"/>
    <cellStyle name="Процентный 6 13 2 3 2" xfId="43414"/>
    <cellStyle name="Процентный 6 13 2 4" xfId="22051"/>
    <cellStyle name="Процентный 6 13 2 4 2" xfId="54094"/>
    <cellStyle name="Процентный 6 13 2 5" xfId="32734"/>
    <cellStyle name="Процентный 6 13 3" xfId="5563"/>
    <cellStyle name="Процентный 6 13 3 2" xfId="16243"/>
    <cellStyle name="Процентный 6 13 3 2 2" xfId="48287"/>
    <cellStyle name="Процентный 6 13 3 3" xfId="26924"/>
    <cellStyle name="Процентный 6 13 3 3 2" xfId="58967"/>
    <cellStyle name="Процентный 6 13 3 4" xfId="37607"/>
    <cellStyle name="Процентный 6 13 4" xfId="10903"/>
    <cellStyle name="Процентный 6 13 4 2" xfId="42947"/>
    <cellStyle name="Процентный 6 13 5" xfId="21584"/>
    <cellStyle name="Процентный 6 13 5 2" xfId="53627"/>
    <cellStyle name="Процентный 6 13 6" xfId="32267"/>
    <cellStyle name="Процентный 6 130" xfId="3557"/>
    <cellStyle name="Процентный 6 130 2" xfId="8898"/>
    <cellStyle name="Процентный 6 130 2 2" xfId="19578"/>
    <cellStyle name="Процентный 6 130 2 2 2" xfId="51622"/>
    <cellStyle name="Процентный 6 130 2 3" xfId="30259"/>
    <cellStyle name="Процентный 6 130 2 3 2" xfId="62302"/>
    <cellStyle name="Процентный 6 130 2 4" xfId="40942"/>
    <cellStyle name="Процентный 6 130 3" xfId="14238"/>
    <cellStyle name="Процентный 6 130 3 2" xfId="46282"/>
    <cellStyle name="Процентный 6 130 4" xfId="24919"/>
    <cellStyle name="Процентный 6 130 4 2" xfId="56962"/>
    <cellStyle name="Процентный 6 130 5" xfId="35602"/>
    <cellStyle name="Процентный 6 131" xfId="3589"/>
    <cellStyle name="Процентный 6 131 2" xfId="8930"/>
    <cellStyle name="Процентный 6 131 2 2" xfId="19610"/>
    <cellStyle name="Процентный 6 131 2 2 2" xfId="51654"/>
    <cellStyle name="Процентный 6 131 2 3" xfId="30291"/>
    <cellStyle name="Процентный 6 131 2 3 2" xfId="62334"/>
    <cellStyle name="Процентный 6 131 2 4" xfId="40974"/>
    <cellStyle name="Процентный 6 131 3" xfId="14270"/>
    <cellStyle name="Процентный 6 131 3 2" xfId="46314"/>
    <cellStyle name="Процентный 6 131 4" xfId="24951"/>
    <cellStyle name="Процентный 6 131 4 2" xfId="56994"/>
    <cellStyle name="Процентный 6 131 5" xfId="35634"/>
    <cellStyle name="Процентный 6 132" xfId="3621"/>
    <cellStyle name="Процентный 6 132 2" xfId="8962"/>
    <cellStyle name="Процентный 6 132 2 2" xfId="19642"/>
    <cellStyle name="Процентный 6 132 2 2 2" xfId="51686"/>
    <cellStyle name="Процентный 6 132 2 3" xfId="30323"/>
    <cellStyle name="Процентный 6 132 2 3 2" xfId="62366"/>
    <cellStyle name="Процентный 6 132 2 4" xfId="41006"/>
    <cellStyle name="Процентный 6 132 3" xfId="14302"/>
    <cellStyle name="Процентный 6 132 3 2" xfId="46346"/>
    <cellStyle name="Процентный 6 132 4" xfId="24983"/>
    <cellStyle name="Процентный 6 132 4 2" xfId="57026"/>
    <cellStyle name="Процентный 6 132 5" xfId="35666"/>
    <cellStyle name="Процентный 6 133" xfId="3653"/>
    <cellStyle name="Процентный 6 133 2" xfId="8994"/>
    <cellStyle name="Процентный 6 133 2 2" xfId="19674"/>
    <cellStyle name="Процентный 6 133 2 2 2" xfId="51718"/>
    <cellStyle name="Процентный 6 133 2 3" xfId="30355"/>
    <cellStyle name="Процентный 6 133 2 3 2" xfId="62398"/>
    <cellStyle name="Процентный 6 133 2 4" xfId="41038"/>
    <cellStyle name="Процентный 6 133 3" xfId="14334"/>
    <cellStyle name="Процентный 6 133 3 2" xfId="46378"/>
    <cellStyle name="Процентный 6 133 4" xfId="25015"/>
    <cellStyle name="Процентный 6 133 4 2" xfId="57058"/>
    <cellStyle name="Процентный 6 133 5" xfId="35698"/>
    <cellStyle name="Процентный 6 134" xfId="3685"/>
    <cellStyle name="Процентный 6 134 2" xfId="9026"/>
    <cellStyle name="Процентный 6 134 2 2" xfId="19706"/>
    <cellStyle name="Процентный 6 134 2 2 2" xfId="51750"/>
    <cellStyle name="Процентный 6 134 2 3" xfId="30387"/>
    <cellStyle name="Процентный 6 134 2 3 2" xfId="62430"/>
    <cellStyle name="Процентный 6 134 2 4" xfId="41070"/>
    <cellStyle name="Процентный 6 134 3" xfId="14366"/>
    <cellStyle name="Процентный 6 134 3 2" xfId="46410"/>
    <cellStyle name="Процентный 6 134 4" xfId="25047"/>
    <cellStyle name="Процентный 6 134 4 2" xfId="57090"/>
    <cellStyle name="Процентный 6 134 5" xfId="35730"/>
    <cellStyle name="Процентный 6 135" xfId="3717"/>
    <cellStyle name="Процентный 6 135 2" xfId="9058"/>
    <cellStyle name="Процентный 6 135 2 2" xfId="19738"/>
    <cellStyle name="Процентный 6 135 2 2 2" xfId="51782"/>
    <cellStyle name="Процентный 6 135 2 3" xfId="30419"/>
    <cellStyle name="Процентный 6 135 2 3 2" xfId="62462"/>
    <cellStyle name="Процентный 6 135 2 4" xfId="41102"/>
    <cellStyle name="Процентный 6 135 3" xfId="14398"/>
    <cellStyle name="Процентный 6 135 3 2" xfId="46442"/>
    <cellStyle name="Процентный 6 135 4" xfId="25079"/>
    <cellStyle name="Процентный 6 135 4 2" xfId="57122"/>
    <cellStyle name="Процентный 6 135 5" xfId="35762"/>
    <cellStyle name="Процентный 6 136" xfId="3749"/>
    <cellStyle name="Процентный 6 136 2" xfId="9090"/>
    <cellStyle name="Процентный 6 136 2 2" xfId="19770"/>
    <cellStyle name="Процентный 6 136 2 2 2" xfId="51814"/>
    <cellStyle name="Процентный 6 136 2 3" xfId="30451"/>
    <cellStyle name="Процентный 6 136 2 3 2" xfId="62494"/>
    <cellStyle name="Процентный 6 136 2 4" xfId="41134"/>
    <cellStyle name="Процентный 6 136 3" xfId="14430"/>
    <cellStyle name="Процентный 6 136 3 2" xfId="46474"/>
    <cellStyle name="Процентный 6 136 4" xfId="25111"/>
    <cellStyle name="Процентный 6 136 4 2" xfId="57154"/>
    <cellStyle name="Процентный 6 136 5" xfId="35794"/>
    <cellStyle name="Процентный 6 137" xfId="3781"/>
    <cellStyle name="Процентный 6 137 2" xfId="9122"/>
    <cellStyle name="Процентный 6 137 2 2" xfId="19802"/>
    <cellStyle name="Процентный 6 137 2 2 2" xfId="51846"/>
    <cellStyle name="Процентный 6 137 2 3" xfId="30483"/>
    <cellStyle name="Процентный 6 137 2 3 2" xfId="62526"/>
    <cellStyle name="Процентный 6 137 2 4" xfId="41166"/>
    <cellStyle name="Процентный 6 137 3" xfId="14462"/>
    <cellStyle name="Процентный 6 137 3 2" xfId="46506"/>
    <cellStyle name="Процентный 6 137 4" xfId="25143"/>
    <cellStyle name="Процентный 6 137 4 2" xfId="57186"/>
    <cellStyle name="Процентный 6 137 5" xfId="35826"/>
    <cellStyle name="Процентный 6 138" xfId="3813"/>
    <cellStyle name="Процентный 6 138 2" xfId="9154"/>
    <cellStyle name="Процентный 6 138 2 2" xfId="19834"/>
    <cellStyle name="Процентный 6 138 2 2 2" xfId="51878"/>
    <cellStyle name="Процентный 6 138 2 3" xfId="30515"/>
    <cellStyle name="Процентный 6 138 2 3 2" xfId="62558"/>
    <cellStyle name="Процентный 6 138 2 4" xfId="41198"/>
    <cellStyle name="Процентный 6 138 3" xfId="14494"/>
    <cellStyle name="Процентный 6 138 3 2" xfId="46538"/>
    <cellStyle name="Процентный 6 138 4" xfId="25175"/>
    <cellStyle name="Процентный 6 138 4 2" xfId="57218"/>
    <cellStyle name="Процентный 6 138 5" xfId="35858"/>
    <cellStyle name="Процентный 6 139" xfId="3845"/>
    <cellStyle name="Процентный 6 139 2" xfId="9186"/>
    <cellStyle name="Процентный 6 139 2 2" xfId="19866"/>
    <cellStyle name="Процентный 6 139 2 2 2" xfId="51910"/>
    <cellStyle name="Процентный 6 139 2 3" xfId="30547"/>
    <cellStyle name="Процентный 6 139 2 3 2" xfId="62590"/>
    <cellStyle name="Процентный 6 139 2 4" xfId="41230"/>
    <cellStyle name="Процентный 6 139 3" xfId="14526"/>
    <cellStyle name="Процентный 6 139 3 2" xfId="46570"/>
    <cellStyle name="Процентный 6 139 4" xfId="25207"/>
    <cellStyle name="Процентный 6 139 4 2" xfId="57250"/>
    <cellStyle name="Процентный 6 139 5" xfId="35890"/>
    <cellStyle name="Процентный 6 14" xfId="229"/>
    <cellStyle name="Процентный 6 14 2" xfId="697"/>
    <cellStyle name="Процентный 6 14 2 2" xfId="6040"/>
    <cellStyle name="Процентный 6 14 2 2 2" xfId="16720"/>
    <cellStyle name="Процентный 6 14 2 2 2 2" xfId="48764"/>
    <cellStyle name="Процентный 6 14 2 2 3" xfId="27401"/>
    <cellStyle name="Процентный 6 14 2 2 3 2" xfId="59444"/>
    <cellStyle name="Процентный 6 14 2 2 4" xfId="38084"/>
    <cellStyle name="Процентный 6 14 2 3" xfId="11380"/>
    <cellStyle name="Процентный 6 14 2 3 2" xfId="43424"/>
    <cellStyle name="Процентный 6 14 2 4" xfId="22061"/>
    <cellStyle name="Процентный 6 14 2 4 2" xfId="54104"/>
    <cellStyle name="Процентный 6 14 2 5" xfId="32744"/>
    <cellStyle name="Процентный 6 14 3" xfId="5573"/>
    <cellStyle name="Процентный 6 14 3 2" xfId="16253"/>
    <cellStyle name="Процентный 6 14 3 2 2" xfId="48297"/>
    <cellStyle name="Процентный 6 14 3 3" xfId="26934"/>
    <cellStyle name="Процентный 6 14 3 3 2" xfId="58977"/>
    <cellStyle name="Процентный 6 14 3 4" xfId="37617"/>
    <cellStyle name="Процентный 6 14 4" xfId="10913"/>
    <cellStyle name="Процентный 6 14 4 2" xfId="42957"/>
    <cellStyle name="Процентный 6 14 5" xfId="21594"/>
    <cellStyle name="Процентный 6 14 5 2" xfId="53637"/>
    <cellStyle name="Процентный 6 14 6" xfId="32277"/>
    <cellStyle name="Процентный 6 140" xfId="3877"/>
    <cellStyle name="Процентный 6 140 2" xfId="9218"/>
    <cellStyle name="Процентный 6 140 2 2" xfId="19898"/>
    <cellStyle name="Процентный 6 140 2 2 2" xfId="51942"/>
    <cellStyle name="Процентный 6 140 2 3" xfId="30579"/>
    <cellStyle name="Процентный 6 140 2 3 2" xfId="62622"/>
    <cellStyle name="Процентный 6 140 2 4" xfId="41262"/>
    <cellStyle name="Процентный 6 140 3" xfId="14558"/>
    <cellStyle name="Процентный 6 140 3 2" xfId="46602"/>
    <cellStyle name="Процентный 6 140 4" xfId="25239"/>
    <cellStyle name="Процентный 6 140 4 2" xfId="57282"/>
    <cellStyle name="Процентный 6 140 5" xfId="35922"/>
    <cellStyle name="Процентный 6 141" xfId="3909"/>
    <cellStyle name="Процентный 6 141 2" xfId="9250"/>
    <cellStyle name="Процентный 6 141 2 2" xfId="19930"/>
    <cellStyle name="Процентный 6 141 2 2 2" xfId="51974"/>
    <cellStyle name="Процентный 6 141 2 3" xfId="30611"/>
    <cellStyle name="Процентный 6 141 2 3 2" xfId="62654"/>
    <cellStyle name="Процентный 6 141 2 4" xfId="41294"/>
    <cellStyle name="Процентный 6 141 3" xfId="14590"/>
    <cellStyle name="Процентный 6 141 3 2" xfId="46634"/>
    <cellStyle name="Процентный 6 141 4" xfId="25271"/>
    <cellStyle name="Процентный 6 141 4 2" xfId="57314"/>
    <cellStyle name="Процентный 6 141 5" xfId="35954"/>
    <cellStyle name="Процентный 6 142" xfId="3941"/>
    <cellStyle name="Процентный 6 142 2" xfId="9282"/>
    <cellStyle name="Процентный 6 142 2 2" xfId="19962"/>
    <cellStyle name="Процентный 6 142 2 2 2" xfId="52006"/>
    <cellStyle name="Процентный 6 142 2 3" xfId="30643"/>
    <cellStyle name="Процентный 6 142 2 3 2" xfId="62686"/>
    <cellStyle name="Процентный 6 142 2 4" xfId="41326"/>
    <cellStyle name="Процентный 6 142 3" xfId="14622"/>
    <cellStyle name="Процентный 6 142 3 2" xfId="46666"/>
    <cellStyle name="Процентный 6 142 4" xfId="25303"/>
    <cellStyle name="Процентный 6 142 4 2" xfId="57346"/>
    <cellStyle name="Процентный 6 142 5" xfId="35986"/>
    <cellStyle name="Процентный 6 143" xfId="3973"/>
    <cellStyle name="Процентный 6 143 2" xfId="9314"/>
    <cellStyle name="Процентный 6 143 2 2" xfId="19994"/>
    <cellStyle name="Процентный 6 143 2 2 2" xfId="52038"/>
    <cellStyle name="Процентный 6 143 2 3" xfId="30675"/>
    <cellStyle name="Процентный 6 143 2 3 2" xfId="62718"/>
    <cellStyle name="Процентный 6 143 2 4" xfId="41358"/>
    <cellStyle name="Процентный 6 143 3" xfId="14654"/>
    <cellStyle name="Процентный 6 143 3 2" xfId="46698"/>
    <cellStyle name="Процентный 6 143 4" xfId="25335"/>
    <cellStyle name="Процентный 6 143 4 2" xfId="57378"/>
    <cellStyle name="Процентный 6 143 5" xfId="36018"/>
    <cellStyle name="Процентный 6 144" xfId="4005"/>
    <cellStyle name="Процентный 6 144 2" xfId="9346"/>
    <cellStyle name="Процентный 6 144 2 2" xfId="20026"/>
    <cellStyle name="Процентный 6 144 2 2 2" xfId="52070"/>
    <cellStyle name="Процентный 6 144 2 3" xfId="30707"/>
    <cellStyle name="Процентный 6 144 2 3 2" xfId="62750"/>
    <cellStyle name="Процентный 6 144 2 4" xfId="41390"/>
    <cellStyle name="Процентный 6 144 3" xfId="14686"/>
    <cellStyle name="Процентный 6 144 3 2" xfId="46730"/>
    <cellStyle name="Процентный 6 144 4" xfId="25367"/>
    <cellStyle name="Процентный 6 144 4 2" xfId="57410"/>
    <cellStyle name="Процентный 6 144 5" xfId="36050"/>
    <cellStyle name="Процентный 6 145" xfId="4037"/>
    <cellStyle name="Процентный 6 145 2" xfId="9378"/>
    <cellStyle name="Процентный 6 145 2 2" xfId="20058"/>
    <cellStyle name="Процентный 6 145 2 2 2" xfId="52102"/>
    <cellStyle name="Процентный 6 145 2 3" xfId="30739"/>
    <cellStyle name="Процентный 6 145 2 3 2" xfId="62782"/>
    <cellStyle name="Процентный 6 145 2 4" xfId="41422"/>
    <cellStyle name="Процентный 6 145 3" xfId="14718"/>
    <cellStyle name="Процентный 6 145 3 2" xfId="46762"/>
    <cellStyle name="Процентный 6 145 4" xfId="25399"/>
    <cellStyle name="Процентный 6 145 4 2" xfId="57442"/>
    <cellStyle name="Процентный 6 145 5" xfId="36082"/>
    <cellStyle name="Процентный 6 146" xfId="4069"/>
    <cellStyle name="Процентный 6 146 2" xfId="9410"/>
    <cellStyle name="Процентный 6 146 2 2" xfId="20090"/>
    <cellStyle name="Процентный 6 146 2 2 2" xfId="52134"/>
    <cellStyle name="Процентный 6 146 2 3" xfId="30771"/>
    <cellStyle name="Процентный 6 146 2 3 2" xfId="62814"/>
    <cellStyle name="Процентный 6 146 2 4" xfId="41454"/>
    <cellStyle name="Процентный 6 146 3" xfId="14750"/>
    <cellStyle name="Процентный 6 146 3 2" xfId="46794"/>
    <cellStyle name="Процентный 6 146 4" xfId="25431"/>
    <cellStyle name="Процентный 6 146 4 2" xfId="57474"/>
    <cellStyle name="Процентный 6 146 5" xfId="36114"/>
    <cellStyle name="Процентный 6 147" xfId="4101"/>
    <cellStyle name="Процентный 6 147 2" xfId="9442"/>
    <cellStyle name="Процентный 6 147 2 2" xfId="20122"/>
    <cellStyle name="Процентный 6 147 2 2 2" xfId="52166"/>
    <cellStyle name="Процентный 6 147 2 3" xfId="30803"/>
    <cellStyle name="Процентный 6 147 2 3 2" xfId="62846"/>
    <cellStyle name="Процентный 6 147 2 4" xfId="41486"/>
    <cellStyle name="Процентный 6 147 3" xfId="14782"/>
    <cellStyle name="Процентный 6 147 3 2" xfId="46826"/>
    <cellStyle name="Процентный 6 147 4" xfId="25463"/>
    <cellStyle name="Процентный 6 147 4 2" xfId="57506"/>
    <cellStyle name="Процентный 6 147 5" xfId="36146"/>
    <cellStyle name="Процентный 6 148" xfId="4133"/>
    <cellStyle name="Процентный 6 148 2" xfId="9474"/>
    <cellStyle name="Процентный 6 148 2 2" xfId="20154"/>
    <cellStyle name="Процентный 6 148 2 2 2" xfId="52198"/>
    <cellStyle name="Процентный 6 148 2 3" xfId="30835"/>
    <cellStyle name="Процентный 6 148 2 3 2" xfId="62878"/>
    <cellStyle name="Процентный 6 148 2 4" xfId="41518"/>
    <cellStyle name="Процентный 6 148 3" xfId="14814"/>
    <cellStyle name="Процентный 6 148 3 2" xfId="46858"/>
    <cellStyle name="Процентный 6 148 4" xfId="25495"/>
    <cellStyle name="Процентный 6 148 4 2" xfId="57538"/>
    <cellStyle name="Процентный 6 148 5" xfId="36178"/>
    <cellStyle name="Процентный 6 149" xfId="4165"/>
    <cellStyle name="Процентный 6 149 2" xfId="9506"/>
    <cellStyle name="Процентный 6 149 2 2" xfId="20186"/>
    <cellStyle name="Процентный 6 149 2 2 2" xfId="52230"/>
    <cellStyle name="Процентный 6 149 2 3" xfId="30867"/>
    <cellStyle name="Процентный 6 149 2 3 2" xfId="62910"/>
    <cellStyle name="Процентный 6 149 2 4" xfId="41550"/>
    <cellStyle name="Процентный 6 149 3" xfId="14846"/>
    <cellStyle name="Процентный 6 149 3 2" xfId="46890"/>
    <cellStyle name="Процентный 6 149 4" xfId="25527"/>
    <cellStyle name="Процентный 6 149 4 2" xfId="57570"/>
    <cellStyle name="Процентный 6 149 5" xfId="36210"/>
    <cellStyle name="Процентный 6 15" xfId="239"/>
    <cellStyle name="Процентный 6 15 2" xfId="707"/>
    <cellStyle name="Процентный 6 15 2 2" xfId="6050"/>
    <cellStyle name="Процентный 6 15 2 2 2" xfId="16730"/>
    <cellStyle name="Процентный 6 15 2 2 2 2" xfId="48774"/>
    <cellStyle name="Процентный 6 15 2 2 3" xfId="27411"/>
    <cellStyle name="Процентный 6 15 2 2 3 2" xfId="59454"/>
    <cellStyle name="Процентный 6 15 2 2 4" xfId="38094"/>
    <cellStyle name="Процентный 6 15 2 3" xfId="11390"/>
    <cellStyle name="Процентный 6 15 2 3 2" xfId="43434"/>
    <cellStyle name="Процентный 6 15 2 4" xfId="22071"/>
    <cellStyle name="Процентный 6 15 2 4 2" xfId="54114"/>
    <cellStyle name="Процентный 6 15 2 5" xfId="32754"/>
    <cellStyle name="Процентный 6 15 3" xfId="5583"/>
    <cellStyle name="Процентный 6 15 3 2" xfId="16263"/>
    <cellStyle name="Процентный 6 15 3 2 2" xfId="48307"/>
    <cellStyle name="Процентный 6 15 3 3" xfId="26944"/>
    <cellStyle name="Процентный 6 15 3 3 2" xfId="58987"/>
    <cellStyle name="Процентный 6 15 3 4" xfId="37627"/>
    <cellStyle name="Процентный 6 15 4" xfId="10923"/>
    <cellStyle name="Процентный 6 15 4 2" xfId="42967"/>
    <cellStyle name="Процентный 6 15 5" xfId="21604"/>
    <cellStyle name="Процентный 6 15 5 2" xfId="53647"/>
    <cellStyle name="Процентный 6 15 6" xfId="32287"/>
    <cellStyle name="Процентный 6 150" xfId="4197"/>
    <cellStyle name="Процентный 6 150 2" xfId="9538"/>
    <cellStyle name="Процентный 6 150 2 2" xfId="20218"/>
    <cellStyle name="Процентный 6 150 2 2 2" xfId="52262"/>
    <cellStyle name="Процентный 6 150 2 3" xfId="30899"/>
    <cellStyle name="Процентный 6 150 2 3 2" xfId="62942"/>
    <cellStyle name="Процентный 6 150 2 4" xfId="41582"/>
    <cellStyle name="Процентный 6 150 3" xfId="14878"/>
    <cellStyle name="Процентный 6 150 3 2" xfId="46922"/>
    <cellStyle name="Процентный 6 150 4" xfId="25559"/>
    <cellStyle name="Процентный 6 150 4 2" xfId="57602"/>
    <cellStyle name="Процентный 6 150 5" xfId="36242"/>
    <cellStyle name="Процентный 6 151" xfId="4229"/>
    <cellStyle name="Процентный 6 151 2" xfId="9570"/>
    <cellStyle name="Процентный 6 151 2 2" xfId="20250"/>
    <cellStyle name="Процентный 6 151 2 2 2" xfId="52294"/>
    <cellStyle name="Процентный 6 151 2 3" xfId="30931"/>
    <cellStyle name="Процентный 6 151 2 3 2" xfId="62974"/>
    <cellStyle name="Процентный 6 151 2 4" xfId="41614"/>
    <cellStyle name="Процентный 6 151 3" xfId="14910"/>
    <cellStyle name="Процентный 6 151 3 2" xfId="46954"/>
    <cellStyle name="Процентный 6 151 4" xfId="25591"/>
    <cellStyle name="Процентный 6 151 4 2" xfId="57634"/>
    <cellStyle name="Процентный 6 151 5" xfId="36274"/>
    <cellStyle name="Процентный 6 152" xfId="4261"/>
    <cellStyle name="Процентный 6 152 2" xfId="9602"/>
    <cellStyle name="Процентный 6 152 2 2" xfId="20282"/>
    <cellStyle name="Процентный 6 152 2 2 2" xfId="52326"/>
    <cellStyle name="Процентный 6 152 2 3" xfId="30963"/>
    <cellStyle name="Процентный 6 152 2 3 2" xfId="63006"/>
    <cellStyle name="Процентный 6 152 2 4" xfId="41646"/>
    <cellStyle name="Процентный 6 152 3" xfId="14942"/>
    <cellStyle name="Процентный 6 152 3 2" xfId="46986"/>
    <cellStyle name="Процентный 6 152 4" xfId="25623"/>
    <cellStyle name="Процентный 6 152 4 2" xfId="57666"/>
    <cellStyle name="Процентный 6 152 5" xfId="36306"/>
    <cellStyle name="Процентный 6 153" xfId="4293"/>
    <cellStyle name="Процентный 6 153 2" xfId="9634"/>
    <cellStyle name="Процентный 6 153 2 2" xfId="20314"/>
    <cellStyle name="Процентный 6 153 2 2 2" xfId="52358"/>
    <cellStyle name="Процентный 6 153 2 3" xfId="30995"/>
    <cellStyle name="Процентный 6 153 2 3 2" xfId="63038"/>
    <cellStyle name="Процентный 6 153 2 4" xfId="41678"/>
    <cellStyle name="Процентный 6 153 3" xfId="14974"/>
    <cellStyle name="Процентный 6 153 3 2" xfId="47018"/>
    <cellStyle name="Процентный 6 153 4" xfId="25655"/>
    <cellStyle name="Процентный 6 153 4 2" xfId="57698"/>
    <cellStyle name="Процентный 6 153 5" xfId="36338"/>
    <cellStyle name="Процентный 6 154" xfId="4325"/>
    <cellStyle name="Процентный 6 154 2" xfId="9666"/>
    <cellStyle name="Процентный 6 154 2 2" xfId="20346"/>
    <cellStyle name="Процентный 6 154 2 2 2" xfId="52390"/>
    <cellStyle name="Процентный 6 154 2 3" xfId="31027"/>
    <cellStyle name="Процентный 6 154 2 3 2" xfId="63070"/>
    <cellStyle name="Процентный 6 154 2 4" xfId="41710"/>
    <cellStyle name="Процентный 6 154 3" xfId="15006"/>
    <cellStyle name="Процентный 6 154 3 2" xfId="47050"/>
    <cellStyle name="Процентный 6 154 4" xfId="25687"/>
    <cellStyle name="Процентный 6 154 4 2" xfId="57730"/>
    <cellStyle name="Процентный 6 154 5" xfId="36370"/>
    <cellStyle name="Процентный 6 155" xfId="4357"/>
    <cellStyle name="Процентный 6 155 2" xfId="9698"/>
    <cellStyle name="Процентный 6 155 2 2" xfId="20378"/>
    <cellStyle name="Процентный 6 155 2 2 2" xfId="52422"/>
    <cellStyle name="Процентный 6 155 2 3" xfId="31059"/>
    <cellStyle name="Процентный 6 155 2 3 2" xfId="63102"/>
    <cellStyle name="Процентный 6 155 2 4" xfId="41742"/>
    <cellStyle name="Процентный 6 155 3" xfId="15038"/>
    <cellStyle name="Процентный 6 155 3 2" xfId="47082"/>
    <cellStyle name="Процентный 6 155 4" xfId="25719"/>
    <cellStyle name="Процентный 6 155 4 2" xfId="57762"/>
    <cellStyle name="Процентный 6 155 5" xfId="36402"/>
    <cellStyle name="Процентный 6 156" xfId="4389"/>
    <cellStyle name="Процентный 6 156 2" xfId="9730"/>
    <cellStyle name="Процентный 6 156 2 2" xfId="20410"/>
    <cellStyle name="Процентный 6 156 2 2 2" xfId="52454"/>
    <cellStyle name="Процентный 6 156 2 3" xfId="31091"/>
    <cellStyle name="Процентный 6 156 2 3 2" xfId="63134"/>
    <cellStyle name="Процентный 6 156 2 4" xfId="41774"/>
    <cellStyle name="Процентный 6 156 3" xfId="15070"/>
    <cellStyle name="Процентный 6 156 3 2" xfId="47114"/>
    <cellStyle name="Процентный 6 156 4" xfId="25751"/>
    <cellStyle name="Процентный 6 156 4 2" xfId="57794"/>
    <cellStyle name="Процентный 6 156 5" xfId="36434"/>
    <cellStyle name="Процентный 6 157" xfId="4421"/>
    <cellStyle name="Процентный 6 157 2" xfId="9762"/>
    <cellStyle name="Процентный 6 157 2 2" xfId="20442"/>
    <cellStyle name="Процентный 6 157 2 2 2" xfId="52486"/>
    <cellStyle name="Процентный 6 157 2 3" xfId="31123"/>
    <cellStyle name="Процентный 6 157 2 3 2" xfId="63166"/>
    <cellStyle name="Процентный 6 157 2 4" xfId="41806"/>
    <cellStyle name="Процентный 6 157 3" xfId="15102"/>
    <cellStyle name="Процентный 6 157 3 2" xfId="47146"/>
    <cellStyle name="Процентный 6 157 4" xfId="25783"/>
    <cellStyle name="Процентный 6 157 4 2" xfId="57826"/>
    <cellStyle name="Процентный 6 157 5" xfId="36466"/>
    <cellStyle name="Процентный 6 158" xfId="4453"/>
    <cellStyle name="Процентный 6 158 2" xfId="9794"/>
    <cellStyle name="Процентный 6 158 2 2" xfId="20474"/>
    <cellStyle name="Процентный 6 158 2 2 2" xfId="52518"/>
    <cellStyle name="Процентный 6 158 2 3" xfId="31155"/>
    <cellStyle name="Процентный 6 158 2 3 2" xfId="63198"/>
    <cellStyle name="Процентный 6 158 2 4" xfId="41838"/>
    <cellStyle name="Процентный 6 158 3" xfId="15134"/>
    <cellStyle name="Процентный 6 158 3 2" xfId="47178"/>
    <cellStyle name="Процентный 6 158 4" xfId="25815"/>
    <cellStyle name="Процентный 6 158 4 2" xfId="57858"/>
    <cellStyle name="Процентный 6 158 5" xfId="36498"/>
    <cellStyle name="Процентный 6 159" xfId="4485"/>
    <cellStyle name="Процентный 6 159 2" xfId="9826"/>
    <cellStyle name="Процентный 6 159 2 2" xfId="20506"/>
    <cellStyle name="Процентный 6 159 2 2 2" xfId="52550"/>
    <cellStyle name="Процентный 6 159 2 3" xfId="31187"/>
    <cellStyle name="Процентный 6 159 2 3 2" xfId="63230"/>
    <cellStyle name="Процентный 6 159 2 4" xfId="41870"/>
    <cellStyle name="Процентный 6 159 3" xfId="15166"/>
    <cellStyle name="Процентный 6 159 3 2" xfId="47210"/>
    <cellStyle name="Процентный 6 159 4" xfId="25847"/>
    <cellStyle name="Процентный 6 159 4 2" xfId="57890"/>
    <cellStyle name="Процентный 6 159 5" xfId="36530"/>
    <cellStyle name="Процентный 6 16" xfId="249"/>
    <cellStyle name="Процентный 6 16 2" xfId="717"/>
    <cellStyle name="Процентный 6 16 2 2" xfId="6060"/>
    <cellStyle name="Процентный 6 16 2 2 2" xfId="16740"/>
    <cellStyle name="Процентный 6 16 2 2 2 2" xfId="48784"/>
    <cellStyle name="Процентный 6 16 2 2 3" xfId="27421"/>
    <cellStyle name="Процентный 6 16 2 2 3 2" xfId="59464"/>
    <cellStyle name="Процентный 6 16 2 2 4" xfId="38104"/>
    <cellStyle name="Процентный 6 16 2 3" xfId="11400"/>
    <cellStyle name="Процентный 6 16 2 3 2" xfId="43444"/>
    <cellStyle name="Процентный 6 16 2 4" xfId="22081"/>
    <cellStyle name="Процентный 6 16 2 4 2" xfId="54124"/>
    <cellStyle name="Процентный 6 16 2 5" xfId="32764"/>
    <cellStyle name="Процентный 6 16 3" xfId="5593"/>
    <cellStyle name="Процентный 6 16 3 2" xfId="16273"/>
    <cellStyle name="Процентный 6 16 3 2 2" xfId="48317"/>
    <cellStyle name="Процентный 6 16 3 3" xfId="26954"/>
    <cellStyle name="Процентный 6 16 3 3 2" xfId="58997"/>
    <cellStyle name="Процентный 6 16 3 4" xfId="37637"/>
    <cellStyle name="Процентный 6 16 4" xfId="10933"/>
    <cellStyle name="Процентный 6 16 4 2" xfId="42977"/>
    <cellStyle name="Процентный 6 16 5" xfId="21614"/>
    <cellStyle name="Процентный 6 16 5 2" xfId="53657"/>
    <cellStyle name="Процентный 6 16 6" xfId="32297"/>
    <cellStyle name="Процентный 6 160" xfId="4517"/>
    <cellStyle name="Процентный 6 160 2" xfId="9858"/>
    <cellStyle name="Процентный 6 160 2 2" xfId="20538"/>
    <cellStyle name="Процентный 6 160 2 2 2" xfId="52582"/>
    <cellStyle name="Процентный 6 160 2 3" xfId="31219"/>
    <cellStyle name="Процентный 6 160 2 3 2" xfId="63262"/>
    <cellStyle name="Процентный 6 160 2 4" xfId="41902"/>
    <cellStyle name="Процентный 6 160 3" xfId="15198"/>
    <cellStyle name="Процентный 6 160 3 2" xfId="47242"/>
    <cellStyle name="Процентный 6 160 4" xfId="25879"/>
    <cellStyle name="Процентный 6 160 4 2" xfId="57922"/>
    <cellStyle name="Процентный 6 160 5" xfId="36562"/>
    <cellStyle name="Процентный 6 161" xfId="4549"/>
    <cellStyle name="Процентный 6 161 2" xfId="9890"/>
    <cellStyle name="Процентный 6 161 2 2" xfId="20570"/>
    <cellStyle name="Процентный 6 161 2 2 2" xfId="52614"/>
    <cellStyle name="Процентный 6 161 2 3" xfId="31251"/>
    <cellStyle name="Процентный 6 161 2 3 2" xfId="63294"/>
    <cellStyle name="Процентный 6 161 2 4" xfId="41934"/>
    <cellStyle name="Процентный 6 161 3" xfId="15230"/>
    <cellStyle name="Процентный 6 161 3 2" xfId="47274"/>
    <cellStyle name="Процентный 6 161 4" xfId="25911"/>
    <cellStyle name="Процентный 6 161 4 2" xfId="57954"/>
    <cellStyle name="Процентный 6 161 5" xfId="36594"/>
    <cellStyle name="Процентный 6 162" xfId="4581"/>
    <cellStyle name="Процентный 6 162 2" xfId="9922"/>
    <cellStyle name="Процентный 6 162 2 2" xfId="20602"/>
    <cellStyle name="Процентный 6 162 2 2 2" xfId="52646"/>
    <cellStyle name="Процентный 6 162 2 3" xfId="31283"/>
    <cellStyle name="Процентный 6 162 2 3 2" xfId="63326"/>
    <cellStyle name="Процентный 6 162 2 4" xfId="41966"/>
    <cellStyle name="Процентный 6 162 3" xfId="15262"/>
    <cellStyle name="Процентный 6 162 3 2" xfId="47306"/>
    <cellStyle name="Процентный 6 162 4" xfId="25943"/>
    <cellStyle name="Процентный 6 162 4 2" xfId="57986"/>
    <cellStyle name="Процентный 6 162 5" xfId="36626"/>
    <cellStyle name="Процентный 6 163" xfId="4613"/>
    <cellStyle name="Процентный 6 163 2" xfId="9954"/>
    <cellStyle name="Процентный 6 163 2 2" xfId="20634"/>
    <cellStyle name="Процентный 6 163 2 2 2" xfId="52678"/>
    <cellStyle name="Процентный 6 163 2 3" xfId="31315"/>
    <cellStyle name="Процентный 6 163 2 3 2" xfId="63358"/>
    <cellStyle name="Процентный 6 163 2 4" xfId="41998"/>
    <cellStyle name="Процентный 6 163 3" xfId="15294"/>
    <cellStyle name="Процентный 6 163 3 2" xfId="47338"/>
    <cellStyle name="Процентный 6 163 4" xfId="25975"/>
    <cellStyle name="Процентный 6 163 4 2" xfId="58018"/>
    <cellStyle name="Процентный 6 163 5" xfId="36658"/>
    <cellStyle name="Процентный 6 164" xfId="4645"/>
    <cellStyle name="Процентный 6 164 2" xfId="9986"/>
    <cellStyle name="Процентный 6 164 2 2" xfId="20666"/>
    <cellStyle name="Процентный 6 164 2 2 2" xfId="52710"/>
    <cellStyle name="Процентный 6 164 2 3" xfId="31347"/>
    <cellStyle name="Процентный 6 164 2 3 2" xfId="63390"/>
    <cellStyle name="Процентный 6 164 2 4" xfId="42030"/>
    <cellStyle name="Процентный 6 164 3" xfId="15326"/>
    <cellStyle name="Процентный 6 164 3 2" xfId="47370"/>
    <cellStyle name="Процентный 6 164 4" xfId="26007"/>
    <cellStyle name="Процентный 6 164 4 2" xfId="58050"/>
    <cellStyle name="Процентный 6 164 5" xfId="36690"/>
    <cellStyle name="Процентный 6 165" xfId="4677"/>
    <cellStyle name="Процентный 6 165 2" xfId="10018"/>
    <cellStyle name="Процентный 6 165 2 2" xfId="20698"/>
    <cellStyle name="Процентный 6 165 2 2 2" xfId="52742"/>
    <cellStyle name="Процентный 6 165 2 3" xfId="31379"/>
    <cellStyle name="Процентный 6 165 2 3 2" xfId="63422"/>
    <cellStyle name="Процентный 6 165 2 4" xfId="42062"/>
    <cellStyle name="Процентный 6 165 3" xfId="15358"/>
    <cellStyle name="Процентный 6 165 3 2" xfId="47402"/>
    <cellStyle name="Процентный 6 165 4" xfId="26039"/>
    <cellStyle name="Процентный 6 165 4 2" xfId="58082"/>
    <cellStyle name="Процентный 6 165 5" xfId="36722"/>
    <cellStyle name="Процентный 6 166" xfId="4711"/>
    <cellStyle name="Процентный 6 166 2" xfId="10052"/>
    <cellStyle name="Процентный 6 166 2 2" xfId="20732"/>
    <cellStyle name="Процентный 6 166 2 2 2" xfId="52776"/>
    <cellStyle name="Процентный 6 166 2 3" xfId="31413"/>
    <cellStyle name="Процентный 6 166 2 3 2" xfId="63456"/>
    <cellStyle name="Процентный 6 166 2 4" xfId="42096"/>
    <cellStyle name="Процентный 6 166 3" xfId="15392"/>
    <cellStyle name="Процентный 6 166 3 2" xfId="47436"/>
    <cellStyle name="Процентный 6 166 4" xfId="26073"/>
    <cellStyle name="Процентный 6 166 4 2" xfId="58116"/>
    <cellStyle name="Процентный 6 166 5" xfId="36756"/>
    <cellStyle name="Процентный 6 167" xfId="4743"/>
    <cellStyle name="Процентный 6 167 2" xfId="10084"/>
    <cellStyle name="Процентный 6 167 2 2" xfId="20764"/>
    <cellStyle name="Процентный 6 167 2 2 2" xfId="52808"/>
    <cellStyle name="Процентный 6 167 2 3" xfId="31445"/>
    <cellStyle name="Процентный 6 167 2 3 2" xfId="63488"/>
    <cellStyle name="Процентный 6 167 2 4" xfId="42128"/>
    <cellStyle name="Процентный 6 167 3" xfId="15424"/>
    <cellStyle name="Процентный 6 167 3 2" xfId="47468"/>
    <cellStyle name="Процентный 6 167 4" xfId="26105"/>
    <cellStyle name="Процентный 6 167 4 2" xfId="58148"/>
    <cellStyle name="Процентный 6 167 5" xfId="36788"/>
    <cellStyle name="Процентный 6 168" xfId="4775"/>
    <cellStyle name="Процентный 6 168 2" xfId="10116"/>
    <cellStyle name="Процентный 6 168 2 2" xfId="20796"/>
    <cellStyle name="Процентный 6 168 2 2 2" xfId="52840"/>
    <cellStyle name="Процентный 6 168 2 3" xfId="31477"/>
    <cellStyle name="Процентный 6 168 2 3 2" xfId="63520"/>
    <cellStyle name="Процентный 6 168 2 4" xfId="42160"/>
    <cellStyle name="Процентный 6 168 3" xfId="15456"/>
    <cellStyle name="Процентный 6 168 3 2" xfId="47500"/>
    <cellStyle name="Процентный 6 168 4" xfId="26137"/>
    <cellStyle name="Процентный 6 168 4 2" xfId="58180"/>
    <cellStyle name="Процентный 6 168 5" xfId="36820"/>
    <cellStyle name="Процентный 6 169" xfId="4807"/>
    <cellStyle name="Процентный 6 169 2" xfId="10148"/>
    <cellStyle name="Процентный 6 169 2 2" xfId="20828"/>
    <cellStyle name="Процентный 6 169 2 2 2" xfId="52872"/>
    <cellStyle name="Процентный 6 169 2 3" xfId="31509"/>
    <cellStyle name="Процентный 6 169 2 3 2" xfId="63552"/>
    <cellStyle name="Процентный 6 169 2 4" xfId="42192"/>
    <cellStyle name="Процентный 6 169 3" xfId="15488"/>
    <cellStyle name="Процентный 6 169 3 2" xfId="47532"/>
    <cellStyle name="Процентный 6 169 4" xfId="26169"/>
    <cellStyle name="Процентный 6 169 4 2" xfId="58212"/>
    <cellStyle name="Процентный 6 169 5" xfId="36852"/>
    <cellStyle name="Процентный 6 17" xfId="259"/>
    <cellStyle name="Процентный 6 17 2" xfId="727"/>
    <cellStyle name="Процентный 6 17 2 2" xfId="6070"/>
    <cellStyle name="Процентный 6 17 2 2 2" xfId="16750"/>
    <cellStyle name="Процентный 6 17 2 2 2 2" xfId="48794"/>
    <cellStyle name="Процентный 6 17 2 2 3" xfId="27431"/>
    <cellStyle name="Процентный 6 17 2 2 3 2" xfId="59474"/>
    <cellStyle name="Процентный 6 17 2 2 4" xfId="38114"/>
    <cellStyle name="Процентный 6 17 2 3" xfId="11410"/>
    <cellStyle name="Процентный 6 17 2 3 2" xfId="43454"/>
    <cellStyle name="Процентный 6 17 2 4" xfId="22091"/>
    <cellStyle name="Процентный 6 17 2 4 2" xfId="54134"/>
    <cellStyle name="Процентный 6 17 2 5" xfId="32774"/>
    <cellStyle name="Процентный 6 17 3" xfId="5603"/>
    <cellStyle name="Процентный 6 17 3 2" xfId="16283"/>
    <cellStyle name="Процентный 6 17 3 2 2" xfId="48327"/>
    <cellStyle name="Процентный 6 17 3 3" xfId="26964"/>
    <cellStyle name="Процентный 6 17 3 3 2" xfId="59007"/>
    <cellStyle name="Процентный 6 17 3 4" xfId="37647"/>
    <cellStyle name="Процентный 6 17 4" xfId="10943"/>
    <cellStyle name="Процентный 6 17 4 2" xfId="42987"/>
    <cellStyle name="Процентный 6 17 5" xfId="21624"/>
    <cellStyle name="Процентный 6 17 5 2" xfId="53667"/>
    <cellStyle name="Процентный 6 17 6" xfId="32307"/>
    <cellStyle name="Процентный 6 170" xfId="4839"/>
    <cellStyle name="Процентный 6 170 2" xfId="10180"/>
    <cellStyle name="Процентный 6 170 2 2" xfId="20860"/>
    <cellStyle name="Процентный 6 170 2 2 2" xfId="52904"/>
    <cellStyle name="Процентный 6 170 2 3" xfId="31541"/>
    <cellStyle name="Процентный 6 170 2 3 2" xfId="63584"/>
    <cellStyle name="Процентный 6 170 2 4" xfId="42224"/>
    <cellStyle name="Процентный 6 170 3" xfId="15520"/>
    <cellStyle name="Процентный 6 170 3 2" xfId="47564"/>
    <cellStyle name="Процентный 6 170 4" xfId="26201"/>
    <cellStyle name="Процентный 6 170 4 2" xfId="58244"/>
    <cellStyle name="Процентный 6 170 5" xfId="36884"/>
    <cellStyle name="Процентный 6 171" xfId="4871"/>
    <cellStyle name="Процентный 6 171 2" xfId="10212"/>
    <cellStyle name="Процентный 6 171 2 2" xfId="20892"/>
    <cellStyle name="Процентный 6 171 2 2 2" xfId="52936"/>
    <cellStyle name="Процентный 6 171 2 3" xfId="31573"/>
    <cellStyle name="Процентный 6 171 2 3 2" xfId="63616"/>
    <cellStyle name="Процентный 6 171 2 4" xfId="42256"/>
    <cellStyle name="Процентный 6 171 3" xfId="15552"/>
    <cellStyle name="Процентный 6 171 3 2" xfId="47596"/>
    <cellStyle name="Процентный 6 171 4" xfId="26233"/>
    <cellStyle name="Процентный 6 171 4 2" xfId="58276"/>
    <cellStyle name="Процентный 6 171 5" xfId="36916"/>
    <cellStyle name="Процентный 6 172" xfId="4903"/>
    <cellStyle name="Процентный 6 172 2" xfId="10244"/>
    <cellStyle name="Процентный 6 172 2 2" xfId="20924"/>
    <cellStyle name="Процентный 6 172 2 2 2" xfId="52968"/>
    <cellStyle name="Процентный 6 172 2 3" xfId="31605"/>
    <cellStyle name="Процентный 6 172 2 3 2" xfId="63648"/>
    <cellStyle name="Процентный 6 172 2 4" xfId="42288"/>
    <cellStyle name="Процентный 6 172 3" xfId="15584"/>
    <cellStyle name="Процентный 6 172 3 2" xfId="47628"/>
    <cellStyle name="Процентный 6 172 4" xfId="26265"/>
    <cellStyle name="Процентный 6 172 4 2" xfId="58308"/>
    <cellStyle name="Процентный 6 172 5" xfId="36948"/>
    <cellStyle name="Процентный 6 173" xfId="4935"/>
    <cellStyle name="Процентный 6 173 2" xfId="10276"/>
    <cellStyle name="Процентный 6 173 2 2" xfId="20956"/>
    <cellStyle name="Процентный 6 173 2 2 2" xfId="53000"/>
    <cellStyle name="Процентный 6 173 2 3" xfId="31637"/>
    <cellStyle name="Процентный 6 173 2 3 2" xfId="63680"/>
    <cellStyle name="Процентный 6 173 2 4" xfId="42320"/>
    <cellStyle name="Процентный 6 173 3" xfId="15616"/>
    <cellStyle name="Процентный 6 173 3 2" xfId="47660"/>
    <cellStyle name="Процентный 6 173 4" xfId="26297"/>
    <cellStyle name="Процентный 6 173 4 2" xfId="58340"/>
    <cellStyle name="Процентный 6 173 5" xfId="36980"/>
    <cellStyle name="Процентный 6 174" xfId="4967"/>
    <cellStyle name="Процентный 6 174 2" xfId="10308"/>
    <cellStyle name="Процентный 6 174 2 2" xfId="20988"/>
    <cellStyle name="Процентный 6 174 2 2 2" xfId="53032"/>
    <cellStyle name="Процентный 6 174 2 3" xfId="31669"/>
    <cellStyle name="Процентный 6 174 2 3 2" xfId="63712"/>
    <cellStyle name="Процентный 6 174 2 4" xfId="42352"/>
    <cellStyle name="Процентный 6 174 3" xfId="15648"/>
    <cellStyle name="Процентный 6 174 3 2" xfId="47692"/>
    <cellStyle name="Процентный 6 174 4" xfId="26329"/>
    <cellStyle name="Процентный 6 174 4 2" xfId="58372"/>
    <cellStyle name="Процентный 6 174 5" xfId="37012"/>
    <cellStyle name="Процентный 6 175" xfId="4999"/>
    <cellStyle name="Процентный 6 175 2" xfId="10340"/>
    <cellStyle name="Процентный 6 175 2 2" xfId="21020"/>
    <cellStyle name="Процентный 6 175 2 2 2" xfId="53064"/>
    <cellStyle name="Процентный 6 175 2 3" xfId="31701"/>
    <cellStyle name="Процентный 6 175 2 3 2" xfId="63744"/>
    <cellStyle name="Процентный 6 175 2 4" xfId="42384"/>
    <cellStyle name="Процентный 6 175 3" xfId="15680"/>
    <cellStyle name="Процентный 6 175 3 2" xfId="47724"/>
    <cellStyle name="Процентный 6 175 4" xfId="26361"/>
    <cellStyle name="Процентный 6 175 4 2" xfId="58404"/>
    <cellStyle name="Процентный 6 175 5" xfId="37044"/>
    <cellStyle name="Процентный 6 176" xfId="5031"/>
    <cellStyle name="Процентный 6 176 2" xfId="10372"/>
    <cellStyle name="Процентный 6 176 2 2" xfId="21052"/>
    <cellStyle name="Процентный 6 176 2 2 2" xfId="53096"/>
    <cellStyle name="Процентный 6 176 2 3" xfId="31733"/>
    <cellStyle name="Процентный 6 176 2 3 2" xfId="63776"/>
    <cellStyle name="Процентный 6 176 2 4" xfId="42416"/>
    <cellStyle name="Процентный 6 176 3" xfId="15712"/>
    <cellStyle name="Процентный 6 176 3 2" xfId="47756"/>
    <cellStyle name="Процентный 6 176 4" xfId="26393"/>
    <cellStyle name="Процентный 6 176 4 2" xfId="58436"/>
    <cellStyle name="Процентный 6 176 5" xfId="37076"/>
    <cellStyle name="Процентный 6 177" xfId="5063"/>
    <cellStyle name="Процентный 6 177 2" xfId="10404"/>
    <cellStyle name="Процентный 6 177 2 2" xfId="21084"/>
    <cellStyle name="Процентный 6 177 2 2 2" xfId="53128"/>
    <cellStyle name="Процентный 6 177 2 3" xfId="31765"/>
    <cellStyle name="Процентный 6 177 2 3 2" xfId="63808"/>
    <cellStyle name="Процентный 6 177 2 4" xfId="42448"/>
    <cellStyle name="Процентный 6 177 3" xfId="15744"/>
    <cellStyle name="Процентный 6 177 3 2" xfId="47788"/>
    <cellStyle name="Процентный 6 177 4" xfId="26425"/>
    <cellStyle name="Процентный 6 177 4 2" xfId="58468"/>
    <cellStyle name="Процентный 6 177 5" xfId="37108"/>
    <cellStyle name="Процентный 6 178" xfId="5095"/>
    <cellStyle name="Процентный 6 178 2" xfId="10436"/>
    <cellStyle name="Процентный 6 178 2 2" xfId="21116"/>
    <cellStyle name="Процентный 6 178 2 2 2" xfId="53160"/>
    <cellStyle name="Процентный 6 178 2 3" xfId="31797"/>
    <cellStyle name="Процентный 6 178 2 3 2" xfId="63840"/>
    <cellStyle name="Процентный 6 178 2 4" xfId="42480"/>
    <cellStyle name="Процентный 6 178 3" xfId="15776"/>
    <cellStyle name="Процентный 6 178 3 2" xfId="47820"/>
    <cellStyle name="Процентный 6 178 4" xfId="26457"/>
    <cellStyle name="Процентный 6 178 4 2" xfId="58500"/>
    <cellStyle name="Процентный 6 178 5" xfId="37140"/>
    <cellStyle name="Процентный 6 179" xfId="5127"/>
    <cellStyle name="Процентный 6 179 2" xfId="10468"/>
    <cellStyle name="Процентный 6 179 2 2" xfId="21148"/>
    <cellStyle name="Процентный 6 179 2 2 2" xfId="53192"/>
    <cellStyle name="Процентный 6 179 2 3" xfId="31829"/>
    <cellStyle name="Процентный 6 179 2 3 2" xfId="63872"/>
    <cellStyle name="Процентный 6 179 2 4" xfId="42512"/>
    <cellStyle name="Процентный 6 179 3" xfId="15808"/>
    <cellStyle name="Процентный 6 179 3 2" xfId="47852"/>
    <cellStyle name="Процентный 6 179 4" xfId="26489"/>
    <cellStyle name="Процентный 6 179 4 2" xfId="58532"/>
    <cellStyle name="Процентный 6 179 5" xfId="37172"/>
    <cellStyle name="Процентный 6 18" xfId="269"/>
    <cellStyle name="Процентный 6 18 2" xfId="737"/>
    <cellStyle name="Процентный 6 18 2 2" xfId="6080"/>
    <cellStyle name="Процентный 6 18 2 2 2" xfId="16760"/>
    <cellStyle name="Процентный 6 18 2 2 2 2" xfId="48804"/>
    <cellStyle name="Процентный 6 18 2 2 3" xfId="27441"/>
    <cellStyle name="Процентный 6 18 2 2 3 2" xfId="59484"/>
    <cellStyle name="Процентный 6 18 2 2 4" xfId="38124"/>
    <cellStyle name="Процентный 6 18 2 3" xfId="11420"/>
    <cellStyle name="Процентный 6 18 2 3 2" xfId="43464"/>
    <cellStyle name="Процентный 6 18 2 4" xfId="22101"/>
    <cellStyle name="Процентный 6 18 2 4 2" xfId="54144"/>
    <cellStyle name="Процентный 6 18 2 5" xfId="32784"/>
    <cellStyle name="Процентный 6 18 3" xfId="5613"/>
    <cellStyle name="Процентный 6 18 3 2" xfId="16293"/>
    <cellStyle name="Процентный 6 18 3 2 2" xfId="48337"/>
    <cellStyle name="Процентный 6 18 3 3" xfId="26974"/>
    <cellStyle name="Процентный 6 18 3 3 2" xfId="59017"/>
    <cellStyle name="Процентный 6 18 3 4" xfId="37657"/>
    <cellStyle name="Процентный 6 18 4" xfId="10953"/>
    <cellStyle name="Процентный 6 18 4 2" xfId="42997"/>
    <cellStyle name="Процентный 6 18 5" xfId="21634"/>
    <cellStyle name="Процентный 6 18 5 2" xfId="53677"/>
    <cellStyle name="Процентный 6 18 6" xfId="32317"/>
    <cellStyle name="Процентный 6 180" xfId="5159"/>
    <cellStyle name="Процентный 6 180 2" xfId="10500"/>
    <cellStyle name="Процентный 6 180 2 2" xfId="21180"/>
    <cellStyle name="Процентный 6 180 2 2 2" xfId="53224"/>
    <cellStyle name="Процентный 6 180 2 3" xfId="31861"/>
    <cellStyle name="Процентный 6 180 2 3 2" xfId="63904"/>
    <cellStyle name="Процентный 6 180 2 4" xfId="42544"/>
    <cellStyle name="Процентный 6 180 3" xfId="15840"/>
    <cellStyle name="Процентный 6 180 3 2" xfId="47884"/>
    <cellStyle name="Процентный 6 180 4" xfId="26521"/>
    <cellStyle name="Процентный 6 180 4 2" xfId="58564"/>
    <cellStyle name="Процентный 6 180 5" xfId="37204"/>
    <cellStyle name="Процентный 6 181" xfId="5191"/>
    <cellStyle name="Процентный 6 181 2" xfId="10532"/>
    <cellStyle name="Процентный 6 181 2 2" xfId="21212"/>
    <cellStyle name="Процентный 6 181 2 2 2" xfId="53256"/>
    <cellStyle name="Процентный 6 181 2 3" xfId="31893"/>
    <cellStyle name="Процентный 6 181 2 3 2" xfId="63936"/>
    <cellStyle name="Процентный 6 181 2 4" xfId="42576"/>
    <cellStyle name="Процентный 6 181 3" xfId="15872"/>
    <cellStyle name="Процентный 6 181 3 2" xfId="47916"/>
    <cellStyle name="Процентный 6 181 4" xfId="26553"/>
    <cellStyle name="Процентный 6 181 4 2" xfId="58596"/>
    <cellStyle name="Процентный 6 181 5" xfId="37236"/>
    <cellStyle name="Процентный 6 182" xfId="5223"/>
    <cellStyle name="Процентный 6 182 2" xfId="10564"/>
    <cellStyle name="Процентный 6 182 2 2" xfId="21244"/>
    <cellStyle name="Процентный 6 182 2 2 2" xfId="53288"/>
    <cellStyle name="Процентный 6 182 2 3" xfId="31925"/>
    <cellStyle name="Процентный 6 182 2 3 2" xfId="63968"/>
    <cellStyle name="Процентный 6 182 2 4" xfId="42608"/>
    <cellStyle name="Процентный 6 182 3" xfId="15904"/>
    <cellStyle name="Процентный 6 182 3 2" xfId="47948"/>
    <cellStyle name="Процентный 6 182 4" xfId="26585"/>
    <cellStyle name="Процентный 6 182 4 2" xfId="58628"/>
    <cellStyle name="Процентный 6 182 5" xfId="37268"/>
    <cellStyle name="Процентный 6 183" xfId="5255"/>
    <cellStyle name="Процентный 6 183 2" xfId="10596"/>
    <cellStyle name="Процентный 6 183 2 2" xfId="21276"/>
    <cellStyle name="Процентный 6 183 2 2 2" xfId="53320"/>
    <cellStyle name="Процентный 6 183 2 3" xfId="31957"/>
    <cellStyle name="Процентный 6 183 2 3 2" xfId="64000"/>
    <cellStyle name="Процентный 6 183 2 4" xfId="42640"/>
    <cellStyle name="Процентный 6 183 3" xfId="15936"/>
    <cellStyle name="Процентный 6 183 3 2" xfId="47980"/>
    <cellStyle name="Процентный 6 183 4" xfId="26617"/>
    <cellStyle name="Процентный 6 183 4 2" xfId="58660"/>
    <cellStyle name="Процентный 6 183 5" xfId="37300"/>
    <cellStyle name="Процентный 6 184" xfId="5287"/>
    <cellStyle name="Процентный 6 184 2" xfId="10628"/>
    <cellStyle name="Процентный 6 184 2 2" xfId="21308"/>
    <cellStyle name="Процентный 6 184 2 2 2" xfId="53352"/>
    <cellStyle name="Процентный 6 184 2 3" xfId="31989"/>
    <cellStyle name="Процентный 6 184 2 3 2" xfId="64032"/>
    <cellStyle name="Процентный 6 184 2 4" xfId="42672"/>
    <cellStyle name="Процентный 6 184 3" xfId="15968"/>
    <cellStyle name="Процентный 6 184 3 2" xfId="48012"/>
    <cellStyle name="Процентный 6 184 4" xfId="26649"/>
    <cellStyle name="Процентный 6 184 4 2" xfId="58692"/>
    <cellStyle name="Процентный 6 184 5" xfId="37332"/>
    <cellStyle name="Процентный 6 185" xfId="5319"/>
    <cellStyle name="Процентный 6 185 2" xfId="10660"/>
    <cellStyle name="Процентный 6 185 2 2" xfId="21340"/>
    <cellStyle name="Процентный 6 185 2 2 2" xfId="53384"/>
    <cellStyle name="Процентный 6 185 2 3" xfId="32021"/>
    <cellStyle name="Процентный 6 185 2 3 2" xfId="64064"/>
    <cellStyle name="Процентный 6 185 2 4" xfId="42704"/>
    <cellStyle name="Процентный 6 185 3" xfId="16000"/>
    <cellStyle name="Процентный 6 185 3 2" xfId="48044"/>
    <cellStyle name="Процентный 6 185 4" xfId="26681"/>
    <cellStyle name="Процентный 6 185 4 2" xfId="58724"/>
    <cellStyle name="Процентный 6 185 5" xfId="37364"/>
    <cellStyle name="Процентный 6 186" xfId="5351"/>
    <cellStyle name="Процентный 6 186 2" xfId="10692"/>
    <cellStyle name="Процентный 6 186 2 2" xfId="21372"/>
    <cellStyle name="Процентный 6 186 2 2 2" xfId="53416"/>
    <cellStyle name="Процентный 6 186 2 3" xfId="32053"/>
    <cellStyle name="Процентный 6 186 2 3 2" xfId="64096"/>
    <cellStyle name="Процентный 6 186 2 4" xfId="42736"/>
    <cellStyle name="Процентный 6 186 3" xfId="16032"/>
    <cellStyle name="Процентный 6 186 3 2" xfId="48076"/>
    <cellStyle name="Процентный 6 186 4" xfId="26713"/>
    <cellStyle name="Процентный 6 186 4 2" xfId="58756"/>
    <cellStyle name="Процентный 6 186 5" xfId="37396"/>
    <cellStyle name="Процентный 6 187" xfId="5443"/>
    <cellStyle name="Процентный 6 187 2" xfId="16123"/>
    <cellStyle name="Процентный 6 187 2 2" xfId="48167"/>
    <cellStyle name="Процентный 6 187 3" xfId="26804"/>
    <cellStyle name="Процентный 6 187 3 2" xfId="58847"/>
    <cellStyle name="Процентный 6 187 4" xfId="37487"/>
    <cellStyle name="Процентный 6 188" xfId="10783"/>
    <cellStyle name="Процентный 6 188 2" xfId="42827"/>
    <cellStyle name="Процентный 6 189" xfId="21464"/>
    <cellStyle name="Процентный 6 189 2" xfId="53507"/>
    <cellStyle name="Процентный 6 19" xfId="279"/>
    <cellStyle name="Процентный 6 19 2" xfId="747"/>
    <cellStyle name="Процентный 6 19 2 2" xfId="6090"/>
    <cellStyle name="Процентный 6 19 2 2 2" xfId="16770"/>
    <cellStyle name="Процентный 6 19 2 2 2 2" xfId="48814"/>
    <cellStyle name="Процентный 6 19 2 2 3" xfId="27451"/>
    <cellStyle name="Процентный 6 19 2 2 3 2" xfId="59494"/>
    <cellStyle name="Процентный 6 19 2 2 4" xfId="38134"/>
    <cellStyle name="Процентный 6 19 2 3" xfId="11430"/>
    <cellStyle name="Процентный 6 19 2 3 2" xfId="43474"/>
    <cellStyle name="Процентный 6 19 2 4" xfId="22111"/>
    <cellStyle name="Процентный 6 19 2 4 2" xfId="54154"/>
    <cellStyle name="Процентный 6 19 2 5" xfId="32794"/>
    <cellStyle name="Процентный 6 19 3" xfId="5623"/>
    <cellStyle name="Процентный 6 19 3 2" xfId="16303"/>
    <cellStyle name="Процентный 6 19 3 2 2" xfId="48347"/>
    <cellStyle name="Процентный 6 19 3 3" xfId="26984"/>
    <cellStyle name="Процентный 6 19 3 3 2" xfId="59027"/>
    <cellStyle name="Процентный 6 19 3 4" xfId="37667"/>
    <cellStyle name="Процентный 6 19 4" xfId="10963"/>
    <cellStyle name="Процентный 6 19 4 2" xfId="43007"/>
    <cellStyle name="Процентный 6 19 5" xfId="21644"/>
    <cellStyle name="Процентный 6 19 5 2" xfId="53687"/>
    <cellStyle name="Процентный 6 19 6" xfId="32327"/>
    <cellStyle name="Процентный 6 190" xfId="32147"/>
    <cellStyle name="Процентный 6 2" xfId="109"/>
    <cellStyle name="Процентный 6 2 10" xfId="1165"/>
    <cellStyle name="Процентный 6 2 10 2" xfId="6508"/>
    <cellStyle name="Процентный 6 2 10 2 2" xfId="17188"/>
    <cellStyle name="Процентный 6 2 10 2 2 2" xfId="49232"/>
    <cellStyle name="Процентный 6 2 10 2 3" xfId="27869"/>
    <cellStyle name="Процентный 6 2 10 2 3 2" xfId="59912"/>
    <cellStyle name="Процентный 6 2 10 2 4" xfId="38552"/>
    <cellStyle name="Процентный 6 2 10 3" xfId="11848"/>
    <cellStyle name="Процентный 6 2 10 3 2" xfId="43892"/>
    <cellStyle name="Процентный 6 2 10 4" xfId="22529"/>
    <cellStyle name="Процентный 6 2 10 4 2" xfId="54572"/>
    <cellStyle name="Процентный 6 2 10 5" xfId="33212"/>
    <cellStyle name="Процентный 6 2 100" xfId="3825"/>
    <cellStyle name="Процентный 6 2 100 2" xfId="9166"/>
    <cellStyle name="Процентный 6 2 100 2 2" xfId="19846"/>
    <cellStyle name="Процентный 6 2 100 2 2 2" xfId="51890"/>
    <cellStyle name="Процентный 6 2 100 2 3" xfId="30527"/>
    <cellStyle name="Процентный 6 2 100 2 3 2" xfId="62570"/>
    <cellStyle name="Процентный 6 2 100 2 4" xfId="41210"/>
    <cellStyle name="Процентный 6 2 100 3" xfId="14506"/>
    <cellStyle name="Процентный 6 2 100 3 2" xfId="46550"/>
    <cellStyle name="Процентный 6 2 100 4" xfId="25187"/>
    <cellStyle name="Процентный 6 2 100 4 2" xfId="57230"/>
    <cellStyle name="Процентный 6 2 100 5" xfId="35870"/>
    <cellStyle name="Процентный 6 2 101" xfId="3857"/>
    <cellStyle name="Процентный 6 2 101 2" xfId="9198"/>
    <cellStyle name="Процентный 6 2 101 2 2" xfId="19878"/>
    <cellStyle name="Процентный 6 2 101 2 2 2" xfId="51922"/>
    <cellStyle name="Процентный 6 2 101 2 3" xfId="30559"/>
    <cellStyle name="Процентный 6 2 101 2 3 2" xfId="62602"/>
    <cellStyle name="Процентный 6 2 101 2 4" xfId="41242"/>
    <cellStyle name="Процентный 6 2 101 3" xfId="14538"/>
    <cellStyle name="Процентный 6 2 101 3 2" xfId="46582"/>
    <cellStyle name="Процентный 6 2 101 4" xfId="25219"/>
    <cellStyle name="Процентный 6 2 101 4 2" xfId="57262"/>
    <cellStyle name="Процентный 6 2 101 5" xfId="35902"/>
    <cellStyle name="Процентный 6 2 102" xfId="3889"/>
    <cellStyle name="Процентный 6 2 102 2" xfId="9230"/>
    <cellStyle name="Процентный 6 2 102 2 2" xfId="19910"/>
    <cellStyle name="Процентный 6 2 102 2 2 2" xfId="51954"/>
    <cellStyle name="Процентный 6 2 102 2 3" xfId="30591"/>
    <cellStyle name="Процентный 6 2 102 2 3 2" xfId="62634"/>
    <cellStyle name="Процентный 6 2 102 2 4" xfId="41274"/>
    <cellStyle name="Процентный 6 2 102 3" xfId="14570"/>
    <cellStyle name="Процентный 6 2 102 3 2" xfId="46614"/>
    <cellStyle name="Процентный 6 2 102 4" xfId="25251"/>
    <cellStyle name="Процентный 6 2 102 4 2" xfId="57294"/>
    <cellStyle name="Процентный 6 2 102 5" xfId="35934"/>
    <cellStyle name="Процентный 6 2 103" xfId="3921"/>
    <cellStyle name="Процентный 6 2 103 2" xfId="9262"/>
    <cellStyle name="Процентный 6 2 103 2 2" xfId="19942"/>
    <cellStyle name="Процентный 6 2 103 2 2 2" xfId="51986"/>
    <cellStyle name="Процентный 6 2 103 2 3" xfId="30623"/>
    <cellStyle name="Процентный 6 2 103 2 3 2" xfId="62666"/>
    <cellStyle name="Процентный 6 2 103 2 4" xfId="41306"/>
    <cellStyle name="Процентный 6 2 103 3" xfId="14602"/>
    <cellStyle name="Процентный 6 2 103 3 2" xfId="46646"/>
    <cellStyle name="Процентный 6 2 103 4" xfId="25283"/>
    <cellStyle name="Процентный 6 2 103 4 2" xfId="57326"/>
    <cellStyle name="Процентный 6 2 103 5" xfId="35966"/>
    <cellStyle name="Процентный 6 2 104" xfId="3953"/>
    <cellStyle name="Процентный 6 2 104 2" xfId="9294"/>
    <cellStyle name="Процентный 6 2 104 2 2" xfId="19974"/>
    <cellStyle name="Процентный 6 2 104 2 2 2" xfId="52018"/>
    <cellStyle name="Процентный 6 2 104 2 3" xfId="30655"/>
    <cellStyle name="Процентный 6 2 104 2 3 2" xfId="62698"/>
    <cellStyle name="Процентный 6 2 104 2 4" xfId="41338"/>
    <cellStyle name="Процентный 6 2 104 3" xfId="14634"/>
    <cellStyle name="Процентный 6 2 104 3 2" xfId="46678"/>
    <cellStyle name="Процентный 6 2 104 4" xfId="25315"/>
    <cellStyle name="Процентный 6 2 104 4 2" xfId="57358"/>
    <cellStyle name="Процентный 6 2 104 5" xfId="35998"/>
    <cellStyle name="Процентный 6 2 105" xfId="3985"/>
    <cellStyle name="Процентный 6 2 105 2" xfId="9326"/>
    <cellStyle name="Процентный 6 2 105 2 2" xfId="20006"/>
    <cellStyle name="Процентный 6 2 105 2 2 2" xfId="52050"/>
    <cellStyle name="Процентный 6 2 105 2 3" xfId="30687"/>
    <cellStyle name="Процентный 6 2 105 2 3 2" xfId="62730"/>
    <cellStyle name="Процентный 6 2 105 2 4" xfId="41370"/>
    <cellStyle name="Процентный 6 2 105 3" xfId="14666"/>
    <cellStyle name="Процентный 6 2 105 3 2" xfId="46710"/>
    <cellStyle name="Процентный 6 2 105 4" xfId="25347"/>
    <cellStyle name="Процентный 6 2 105 4 2" xfId="57390"/>
    <cellStyle name="Процентный 6 2 105 5" xfId="36030"/>
    <cellStyle name="Процентный 6 2 106" xfId="4017"/>
    <cellStyle name="Процентный 6 2 106 2" xfId="9358"/>
    <cellStyle name="Процентный 6 2 106 2 2" xfId="20038"/>
    <cellStyle name="Процентный 6 2 106 2 2 2" xfId="52082"/>
    <cellStyle name="Процентный 6 2 106 2 3" xfId="30719"/>
    <cellStyle name="Процентный 6 2 106 2 3 2" xfId="62762"/>
    <cellStyle name="Процентный 6 2 106 2 4" xfId="41402"/>
    <cellStyle name="Процентный 6 2 106 3" xfId="14698"/>
    <cellStyle name="Процентный 6 2 106 3 2" xfId="46742"/>
    <cellStyle name="Процентный 6 2 106 4" xfId="25379"/>
    <cellStyle name="Процентный 6 2 106 4 2" xfId="57422"/>
    <cellStyle name="Процентный 6 2 106 5" xfId="36062"/>
    <cellStyle name="Процентный 6 2 107" xfId="4049"/>
    <cellStyle name="Процентный 6 2 107 2" xfId="9390"/>
    <cellStyle name="Процентный 6 2 107 2 2" xfId="20070"/>
    <cellStyle name="Процентный 6 2 107 2 2 2" xfId="52114"/>
    <cellStyle name="Процентный 6 2 107 2 3" xfId="30751"/>
    <cellStyle name="Процентный 6 2 107 2 3 2" xfId="62794"/>
    <cellStyle name="Процентный 6 2 107 2 4" xfId="41434"/>
    <cellStyle name="Процентный 6 2 107 3" xfId="14730"/>
    <cellStyle name="Процентный 6 2 107 3 2" xfId="46774"/>
    <cellStyle name="Процентный 6 2 107 4" xfId="25411"/>
    <cellStyle name="Процентный 6 2 107 4 2" xfId="57454"/>
    <cellStyle name="Процентный 6 2 107 5" xfId="36094"/>
    <cellStyle name="Процентный 6 2 108" xfId="4081"/>
    <cellStyle name="Процентный 6 2 108 2" xfId="9422"/>
    <cellStyle name="Процентный 6 2 108 2 2" xfId="20102"/>
    <cellStyle name="Процентный 6 2 108 2 2 2" xfId="52146"/>
    <cellStyle name="Процентный 6 2 108 2 3" xfId="30783"/>
    <cellStyle name="Процентный 6 2 108 2 3 2" xfId="62826"/>
    <cellStyle name="Процентный 6 2 108 2 4" xfId="41466"/>
    <cellStyle name="Процентный 6 2 108 3" xfId="14762"/>
    <cellStyle name="Процентный 6 2 108 3 2" xfId="46806"/>
    <cellStyle name="Процентный 6 2 108 4" xfId="25443"/>
    <cellStyle name="Процентный 6 2 108 4 2" xfId="57486"/>
    <cellStyle name="Процентный 6 2 108 5" xfId="36126"/>
    <cellStyle name="Процентный 6 2 109" xfId="4113"/>
    <cellStyle name="Процентный 6 2 109 2" xfId="9454"/>
    <cellStyle name="Процентный 6 2 109 2 2" xfId="20134"/>
    <cellStyle name="Процентный 6 2 109 2 2 2" xfId="52178"/>
    <cellStyle name="Процентный 6 2 109 2 3" xfId="30815"/>
    <cellStyle name="Процентный 6 2 109 2 3 2" xfId="62858"/>
    <cellStyle name="Процентный 6 2 109 2 4" xfId="41498"/>
    <cellStyle name="Процентный 6 2 109 3" xfId="14794"/>
    <cellStyle name="Процентный 6 2 109 3 2" xfId="46838"/>
    <cellStyle name="Процентный 6 2 109 4" xfId="25475"/>
    <cellStyle name="Процентный 6 2 109 4 2" xfId="57518"/>
    <cellStyle name="Процентный 6 2 109 5" xfId="36158"/>
    <cellStyle name="Процентный 6 2 11" xfId="1191"/>
    <cellStyle name="Процентный 6 2 11 2" xfId="6534"/>
    <cellStyle name="Процентный 6 2 11 2 2" xfId="17214"/>
    <cellStyle name="Процентный 6 2 11 2 2 2" xfId="49258"/>
    <cellStyle name="Процентный 6 2 11 2 3" xfId="27895"/>
    <cellStyle name="Процентный 6 2 11 2 3 2" xfId="59938"/>
    <cellStyle name="Процентный 6 2 11 2 4" xfId="38578"/>
    <cellStyle name="Процентный 6 2 11 3" xfId="11874"/>
    <cellStyle name="Процентный 6 2 11 3 2" xfId="43918"/>
    <cellStyle name="Процентный 6 2 11 4" xfId="22555"/>
    <cellStyle name="Процентный 6 2 11 4 2" xfId="54598"/>
    <cellStyle name="Процентный 6 2 11 5" xfId="33238"/>
    <cellStyle name="Процентный 6 2 110" xfId="4145"/>
    <cellStyle name="Процентный 6 2 110 2" xfId="9486"/>
    <cellStyle name="Процентный 6 2 110 2 2" xfId="20166"/>
    <cellStyle name="Процентный 6 2 110 2 2 2" xfId="52210"/>
    <cellStyle name="Процентный 6 2 110 2 3" xfId="30847"/>
    <cellStyle name="Процентный 6 2 110 2 3 2" xfId="62890"/>
    <cellStyle name="Процентный 6 2 110 2 4" xfId="41530"/>
    <cellStyle name="Процентный 6 2 110 3" xfId="14826"/>
    <cellStyle name="Процентный 6 2 110 3 2" xfId="46870"/>
    <cellStyle name="Процентный 6 2 110 4" xfId="25507"/>
    <cellStyle name="Процентный 6 2 110 4 2" xfId="57550"/>
    <cellStyle name="Процентный 6 2 110 5" xfId="36190"/>
    <cellStyle name="Процентный 6 2 111" xfId="4177"/>
    <cellStyle name="Процентный 6 2 111 2" xfId="9518"/>
    <cellStyle name="Процентный 6 2 111 2 2" xfId="20198"/>
    <cellStyle name="Процентный 6 2 111 2 2 2" xfId="52242"/>
    <cellStyle name="Процентный 6 2 111 2 3" xfId="30879"/>
    <cellStyle name="Процентный 6 2 111 2 3 2" xfId="62922"/>
    <cellStyle name="Процентный 6 2 111 2 4" xfId="41562"/>
    <cellStyle name="Процентный 6 2 111 3" xfId="14858"/>
    <cellStyle name="Процентный 6 2 111 3 2" xfId="46902"/>
    <cellStyle name="Процентный 6 2 111 4" xfId="25539"/>
    <cellStyle name="Процентный 6 2 111 4 2" xfId="57582"/>
    <cellStyle name="Процентный 6 2 111 5" xfId="36222"/>
    <cellStyle name="Процентный 6 2 112" xfId="4209"/>
    <cellStyle name="Процентный 6 2 112 2" xfId="9550"/>
    <cellStyle name="Процентный 6 2 112 2 2" xfId="20230"/>
    <cellStyle name="Процентный 6 2 112 2 2 2" xfId="52274"/>
    <cellStyle name="Процентный 6 2 112 2 3" xfId="30911"/>
    <cellStyle name="Процентный 6 2 112 2 3 2" xfId="62954"/>
    <cellStyle name="Процентный 6 2 112 2 4" xfId="41594"/>
    <cellStyle name="Процентный 6 2 112 3" xfId="14890"/>
    <cellStyle name="Процентный 6 2 112 3 2" xfId="46934"/>
    <cellStyle name="Процентный 6 2 112 4" xfId="25571"/>
    <cellStyle name="Процентный 6 2 112 4 2" xfId="57614"/>
    <cellStyle name="Процентный 6 2 112 5" xfId="36254"/>
    <cellStyle name="Процентный 6 2 113" xfId="4241"/>
    <cellStyle name="Процентный 6 2 113 2" xfId="9582"/>
    <cellStyle name="Процентный 6 2 113 2 2" xfId="20262"/>
    <cellStyle name="Процентный 6 2 113 2 2 2" xfId="52306"/>
    <cellStyle name="Процентный 6 2 113 2 3" xfId="30943"/>
    <cellStyle name="Процентный 6 2 113 2 3 2" xfId="62986"/>
    <cellStyle name="Процентный 6 2 113 2 4" xfId="41626"/>
    <cellStyle name="Процентный 6 2 113 3" xfId="14922"/>
    <cellStyle name="Процентный 6 2 113 3 2" xfId="46966"/>
    <cellStyle name="Процентный 6 2 113 4" xfId="25603"/>
    <cellStyle name="Процентный 6 2 113 4 2" xfId="57646"/>
    <cellStyle name="Процентный 6 2 113 5" xfId="36286"/>
    <cellStyle name="Процентный 6 2 114" xfId="4273"/>
    <cellStyle name="Процентный 6 2 114 2" xfId="9614"/>
    <cellStyle name="Процентный 6 2 114 2 2" xfId="20294"/>
    <cellStyle name="Процентный 6 2 114 2 2 2" xfId="52338"/>
    <cellStyle name="Процентный 6 2 114 2 3" xfId="30975"/>
    <cellStyle name="Процентный 6 2 114 2 3 2" xfId="63018"/>
    <cellStyle name="Процентный 6 2 114 2 4" xfId="41658"/>
    <cellStyle name="Процентный 6 2 114 3" xfId="14954"/>
    <cellStyle name="Процентный 6 2 114 3 2" xfId="46998"/>
    <cellStyle name="Процентный 6 2 114 4" xfId="25635"/>
    <cellStyle name="Процентный 6 2 114 4 2" xfId="57678"/>
    <cellStyle name="Процентный 6 2 114 5" xfId="36318"/>
    <cellStyle name="Процентный 6 2 115" xfId="4305"/>
    <cellStyle name="Процентный 6 2 115 2" xfId="9646"/>
    <cellStyle name="Процентный 6 2 115 2 2" xfId="20326"/>
    <cellStyle name="Процентный 6 2 115 2 2 2" xfId="52370"/>
    <cellStyle name="Процентный 6 2 115 2 3" xfId="31007"/>
    <cellStyle name="Процентный 6 2 115 2 3 2" xfId="63050"/>
    <cellStyle name="Процентный 6 2 115 2 4" xfId="41690"/>
    <cellStyle name="Процентный 6 2 115 3" xfId="14986"/>
    <cellStyle name="Процентный 6 2 115 3 2" xfId="47030"/>
    <cellStyle name="Процентный 6 2 115 4" xfId="25667"/>
    <cellStyle name="Процентный 6 2 115 4 2" xfId="57710"/>
    <cellStyle name="Процентный 6 2 115 5" xfId="36350"/>
    <cellStyle name="Процентный 6 2 116" xfId="4337"/>
    <cellStyle name="Процентный 6 2 116 2" xfId="9678"/>
    <cellStyle name="Процентный 6 2 116 2 2" xfId="20358"/>
    <cellStyle name="Процентный 6 2 116 2 2 2" xfId="52402"/>
    <cellStyle name="Процентный 6 2 116 2 3" xfId="31039"/>
    <cellStyle name="Процентный 6 2 116 2 3 2" xfId="63082"/>
    <cellStyle name="Процентный 6 2 116 2 4" xfId="41722"/>
    <cellStyle name="Процентный 6 2 116 3" xfId="15018"/>
    <cellStyle name="Процентный 6 2 116 3 2" xfId="47062"/>
    <cellStyle name="Процентный 6 2 116 4" xfId="25699"/>
    <cellStyle name="Процентный 6 2 116 4 2" xfId="57742"/>
    <cellStyle name="Процентный 6 2 116 5" xfId="36382"/>
    <cellStyle name="Процентный 6 2 117" xfId="4369"/>
    <cellStyle name="Процентный 6 2 117 2" xfId="9710"/>
    <cellStyle name="Процентный 6 2 117 2 2" xfId="20390"/>
    <cellStyle name="Процентный 6 2 117 2 2 2" xfId="52434"/>
    <cellStyle name="Процентный 6 2 117 2 3" xfId="31071"/>
    <cellStyle name="Процентный 6 2 117 2 3 2" xfId="63114"/>
    <cellStyle name="Процентный 6 2 117 2 4" xfId="41754"/>
    <cellStyle name="Процентный 6 2 117 3" xfId="15050"/>
    <cellStyle name="Процентный 6 2 117 3 2" xfId="47094"/>
    <cellStyle name="Процентный 6 2 117 4" xfId="25731"/>
    <cellStyle name="Процентный 6 2 117 4 2" xfId="57774"/>
    <cellStyle name="Процентный 6 2 117 5" xfId="36414"/>
    <cellStyle name="Процентный 6 2 118" xfId="4401"/>
    <cellStyle name="Процентный 6 2 118 2" xfId="9742"/>
    <cellStyle name="Процентный 6 2 118 2 2" xfId="20422"/>
    <cellStyle name="Процентный 6 2 118 2 2 2" xfId="52466"/>
    <cellStyle name="Процентный 6 2 118 2 3" xfId="31103"/>
    <cellStyle name="Процентный 6 2 118 2 3 2" xfId="63146"/>
    <cellStyle name="Процентный 6 2 118 2 4" xfId="41786"/>
    <cellStyle name="Процентный 6 2 118 3" xfId="15082"/>
    <cellStyle name="Процентный 6 2 118 3 2" xfId="47126"/>
    <cellStyle name="Процентный 6 2 118 4" xfId="25763"/>
    <cellStyle name="Процентный 6 2 118 4 2" xfId="57806"/>
    <cellStyle name="Процентный 6 2 118 5" xfId="36446"/>
    <cellStyle name="Процентный 6 2 119" xfId="4433"/>
    <cellStyle name="Процентный 6 2 119 2" xfId="9774"/>
    <cellStyle name="Процентный 6 2 119 2 2" xfId="20454"/>
    <cellStyle name="Процентный 6 2 119 2 2 2" xfId="52498"/>
    <cellStyle name="Процентный 6 2 119 2 3" xfId="31135"/>
    <cellStyle name="Процентный 6 2 119 2 3 2" xfId="63178"/>
    <cellStyle name="Процентный 6 2 119 2 4" xfId="41818"/>
    <cellStyle name="Процентный 6 2 119 3" xfId="15114"/>
    <cellStyle name="Процентный 6 2 119 3 2" xfId="47158"/>
    <cellStyle name="Процентный 6 2 119 4" xfId="25795"/>
    <cellStyle name="Процентный 6 2 119 4 2" xfId="57838"/>
    <cellStyle name="Процентный 6 2 119 5" xfId="36478"/>
    <cellStyle name="Процентный 6 2 12" xfId="1217"/>
    <cellStyle name="Процентный 6 2 12 2" xfId="6560"/>
    <cellStyle name="Процентный 6 2 12 2 2" xfId="17240"/>
    <cellStyle name="Процентный 6 2 12 2 2 2" xfId="49284"/>
    <cellStyle name="Процентный 6 2 12 2 3" xfId="27921"/>
    <cellStyle name="Процентный 6 2 12 2 3 2" xfId="59964"/>
    <cellStyle name="Процентный 6 2 12 2 4" xfId="38604"/>
    <cellStyle name="Процентный 6 2 12 3" xfId="11900"/>
    <cellStyle name="Процентный 6 2 12 3 2" xfId="43944"/>
    <cellStyle name="Процентный 6 2 12 4" xfId="22581"/>
    <cellStyle name="Процентный 6 2 12 4 2" xfId="54624"/>
    <cellStyle name="Процентный 6 2 12 5" xfId="33264"/>
    <cellStyle name="Процентный 6 2 120" xfId="4465"/>
    <cellStyle name="Процентный 6 2 120 2" xfId="9806"/>
    <cellStyle name="Процентный 6 2 120 2 2" xfId="20486"/>
    <cellStyle name="Процентный 6 2 120 2 2 2" xfId="52530"/>
    <cellStyle name="Процентный 6 2 120 2 3" xfId="31167"/>
    <cellStyle name="Процентный 6 2 120 2 3 2" xfId="63210"/>
    <cellStyle name="Процентный 6 2 120 2 4" xfId="41850"/>
    <cellStyle name="Процентный 6 2 120 3" xfId="15146"/>
    <cellStyle name="Процентный 6 2 120 3 2" xfId="47190"/>
    <cellStyle name="Процентный 6 2 120 4" xfId="25827"/>
    <cellStyle name="Процентный 6 2 120 4 2" xfId="57870"/>
    <cellStyle name="Процентный 6 2 120 5" xfId="36510"/>
    <cellStyle name="Процентный 6 2 121" xfId="4497"/>
    <cellStyle name="Процентный 6 2 121 2" xfId="9838"/>
    <cellStyle name="Процентный 6 2 121 2 2" xfId="20518"/>
    <cellStyle name="Процентный 6 2 121 2 2 2" xfId="52562"/>
    <cellStyle name="Процентный 6 2 121 2 3" xfId="31199"/>
    <cellStyle name="Процентный 6 2 121 2 3 2" xfId="63242"/>
    <cellStyle name="Процентный 6 2 121 2 4" xfId="41882"/>
    <cellStyle name="Процентный 6 2 121 3" xfId="15178"/>
    <cellStyle name="Процентный 6 2 121 3 2" xfId="47222"/>
    <cellStyle name="Процентный 6 2 121 4" xfId="25859"/>
    <cellStyle name="Процентный 6 2 121 4 2" xfId="57902"/>
    <cellStyle name="Процентный 6 2 121 5" xfId="36542"/>
    <cellStyle name="Процентный 6 2 122" xfId="4529"/>
    <cellStyle name="Процентный 6 2 122 2" xfId="9870"/>
    <cellStyle name="Процентный 6 2 122 2 2" xfId="20550"/>
    <cellStyle name="Процентный 6 2 122 2 2 2" xfId="52594"/>
    <cellStyle name="Процентный 6 2 122 2 3" xfId="31231"/>
    <cellStyle name="Процентный 6 2 122 2 3 2" xfId="63274"/>
    <cellStyle name="Процентный 6 2 122 2 4" xfId="41914"/>
    <cellStyle name="Процентный 6 2 122 3" xfId="15210"/>
    <cellStyle name="Процентный 6 2 122 3 2" xfId="47254"/>
    <cellStyle name="Процентный 6 2 122 4" xfId="25891"/>
    <cellStyle name="Процентный 6 2 122 4 2" xfId="57934"/>
    <cellStyle name="Процентный 6 2 122 5" xfId="36574"/>
    <cellStyle name="Процентный 6 2 123" xfId="4561"/>
    <cellStyle name="Процентный 6 2 123 2" xfId="9902"/>
    <cellStyle name="Процентный 6 2 123 2 2" xfId="20582"/>
    <cellStyle name="Процентный 6 2 123 2 2 2" xfId="52626"/>
    <cellStyle name="Процентный 6 2 123 2 3" xfId="31263"/>
    <cellStyle name="Процентный 6 2 123 2 3 2" xfId="63306"/>
    <cellStyle name="Процентный 6 2 123 2 4" xfId="41946"/>
    <cellStyle name="Процентный 6 2 123 3" xfId="15242"/>
    <cellStyle name="Процентный 6 2 123 3 2" xfId="47286"/>
    <cellStyle name="Процентный 6 2 123 4" xfId="25923"/>
    <cellStyle name="Процентный 6 2 123 4 2" xfId="57966"/>
    <cellStyle name="Процентный 6 2 123 5" xfId="36606"/>
    <cellStyle name="Процентный 6 2 124" xfId="4593"/>
    <cellStyle name="Процентный 6 2 124 2" xfId="9934"/>
    <cellStyle name="Процентный 6 2 124 2 2" xfId="20614"/>
    <cellStyle name="Процентный 6 2 124 2 2 2" xfId="52658"/>
    <cellStyle name="Процентный 6 2 124 2 3" xfId="31295"/>
    <cellStyle name="Процентный 6 2 124 2 3 2" xfId="63338"/>
    <cellStyle name="Процентный 6 2 124 2 4" xfId="41978"/>
    <cellStyle name="Процентный 6 2 124 3" xfId="15274"/>
    <cellStyle name="Процентный 6 2 124 3 2" xfId="47318"/>
    <cellStyle name="Процентный 6 2 124 4" xfId="25955"/>
    <cellStyle name="Процентный 6 2 124 4 2" xfId="57998"/>
    <cellStyle name="Процентный 6 2 124 5" xfId="36638"/>
    <cellStyle name="Процентный 6 2 125" xfId="4625"/>
    <cellStyle name="Процентный 6 2 125 2" xfId="9966"/>
    <cellStyle name="Процентный 6 2 125 2 2" xfId="20646"/>
    <cellStyle name="Процентный 6 2 125 2 2 2" xfId="52690"/>
    <cellStyle name="Процентный 6 2 125 2 3" xfId="31327"/>
    <cellStyle name="Процентный 6 2 125 2 3 2" xfId="63370"/>
    <cellStyle name="Процентный 6 2 125 2 4" xfId="42010"/>
    <cellStyle name="Процентный 6 2 125 3" xfId="15306"/>
    <cellStyle name="Процентный 6 2 125 3 2" xfId="47350"/>
    <cellStyle name="Процентный 6 2 125 4" xfId="25987"/>
    <cellStyle name="Процентный 6 2 125 4 2" xfId="58030"/>
    <cellStyle name="Процентный 6 2 125 5" xfId="36670"/>
    <cellStyle name="Процентный 6 2 126" xfId="4657"/>
    <cellStyle name="Процентный 6 2 126 2" xfId="9998"/>
    <cellStyle name="Процентный 6 2 126 2 2" xfId="20678"/>
    <cellStyle name="Процентный 6 2 126 2 2 2" xfId="52722"/>
    <cellStyle name="Процентный 6 2 126 2 3" xfId="31359"/>
    <cellStyle name="Процентный 6 2 126 2 3 2" xfId="63402"/>
    <cellStyle name="Процентный 6 2 126 2 4" xfId="42042"/>
    <cellStyle name="Процентный 6 2 126 3" xfId="15338"/>
    <cellStyle name="Процентный 6 2 126 3 2" xfId="47382"/>
    <cellStyle name="Процентный 6 2 126 4" xfId="26019"/>
    <cellStyle name="Процентный 6 2 126 4 2" xfId="58062"/>
    <cellStyle name="Процентный 6 2 126 5" xfId="36702"/>
    <cellStyle name="Процентный 6 2 127" xfId="4689"/>
    <cellStyle name="Процентный 6 2 127 2" xfId="10030"/>
    <cellStyle name="Процентный 6 2 127 2 2" xfId="20710"/>
    <cellStyle name="Процентный 6 2 127 2 2 2" xfId="52754"/>
    <cellStyle name="Процентный 6 2 127 2 3" xfId="31391"/>
    <cellStyle name="Процентный 6 2 127 2 3 2" xfId="63434"/>
    <cellStyle name="Процентный 6 2 127 2 4" xfId="42074"/>
    <cellStyle name="Процентный 6 2 127 3" xfId="15370"/>
    <cellStyle name="Процентный 6 2 127 3 2" xfId="47414"/>
    <cellStyle name="Процентный 6 2 127 4" xfId="26051"/>
    <cellStyle name="Процентный 6 2 127 4 2" xfId="58094"/>
    <cellStyle name="Процентный 6 2 127 5" xfId="36734"/>
    <cellStyle name="Процентный 6 2 128" xfId="4723"/>
    <cellStyle name="Процентный 6 2 128 2" xfId="10064"/>
    <cellStyle name="Процентный 6 2 128 2 2" xfId="20744"/>
    <cellStyle name="Процентный 6 2 128 2 2 2" xfId="52788"/>
    <cellStyle name="Процентный 6 2 128 2 3" xfId="31425"/>
    <cellStyle name="Процентный 6 2 128 2 3 2" xfId="63468"/>
    <cellStyle name="Процентный 6 2 128 2 4" xfId="42108"/>
    <cellStyle name="Процентный 6 2 128 3" xfId="15404"/>
    <cellStyle name="Процентный 6 2 128 3 2" xfId="47448"/>
    <cellStyle name="Процентный 6 2 128 4" xfId="26085"/>
    <cellStyle name="Процентный 6 2 128 4 2" xfId="58128"/>
    <cellStyle name="Процентный 6 2 128 5" xfId="36768"/>
    <cellStyle name="Процентный 6 2 129" xfId="4755"/>
    <cellStyle name="Процентный 6 2 129 2" xfId="10096"/>
    <cellStyle name="Процентный 6 2 129 2 2" xfId="20776"/>
    <cellStyle name="Процентный 6 2 129 2 2 2" xfId="52820"/>
    <cellStyle name="Процентный 6 2 129 2 3" xfId="31457"/>
    <cellStyle name="Процентный 6 2 129 2 3 2" xfId="63500"/>
    <cellStyle name="Процентный 6 2 129 2 4" xfId="42140"/>
    <cellStyle name="Процентный 6 2 129 3" xfId="15436"/>
    <cellStyle name="Процентный 6 2 129 3 2" xfId="47480"/>
    <cellStyle name="Процентный 6 2 129 4" xfId="26117"/>
    <cellStyle name="Процентный 6 2 129 4 2" xfId="58160"/>
    <cellStyle name="Процентный 6 2 129 5" xfId="36800"/>
    <cellStyle name="Процентный 6 2 13" xfId="1243"/>
    <cellStyle name="Процентный 6 2 13 2" xfId="6586"/>
    <cellStyle name="Процентный 6 2 13 2 2" xfId="17266"/>
    <cellStyle name="Процентный 6 2 13 2 2 2" xfId="49310"/>
    <cellStyle name="Процентный 6 2 13 2 3" xfId="27947"/>
    <cellStyle name="Процентный 6 2 13 2 3 2" xfId="59990"/>
    <cellStyle name="Процентный 6 2 13 2 4" xfId="38630"/>
    <cellStyle name="Процентный 6 2 13 3" xfId="11926"/>
    <cellStyle name="Процентный 6 2 13 3 2" xfId="43970"/>
    <cellStyle name="Процентный 6 2 13 4" xfId="22607"/>
    <cellStyle name="Процентный 6 2 13 4 2" xfId="54650"/>
    <cellStyle name="Процентный 6 2 13 5" xfId="33290"/>
    <cellStyle name="Процентный 6 2 130" xfId="4787"/>
    <cellStyle name="Процентный 6 2 130 2" xfId="10128"/>
    <cellStyle name="Процентный 6 2 130 2 2" xfId="20808"/>
    <cellStyle name="Процентный 6 2 130 2 2 2" xfId="52852"/>
    <cellStyle name="Процентный 6 2 130 2 3" xfId="31489"/>
    <cellStyle name="Процентный 6 2 130 2 3 2" xfId="63532"/>
    <cellStyle name="Процентный 6 2 130 2 4" xfId="42172"/>
    <cellStyle name="Процентный 6 2 130 3" xfId="15468"/>
    <cellStyle name="Процентный 6 2 130 3 2" xfId="47512"/>
    <cellStyle name="Процентный 6 2 130 4" xfId="26149"/>
    <cellStyle name="Процентный 6 2 130 4 2" xfId="58192"/>
    <cellStyle name="Процентный 6 2 130 5" xfId="36832"/>
    <cellStyle name="Процентный 6 2 131" xfId="4819"/>
    <cellStyle name="Процентный 6 2 131 2" xfId="10160"/>
    <cellStyle name="Процентный 6 2 131 2 2" xfId="20840"/>
    <cellStyle name="Процентный 6 2 131 2 2 2" xfId="52884"/>
    <cellStyle name="Процентный 6 2 131 2 3" xfId="31521"/>
    <cellStyle name="Процентный 6 2 131 2 3 2" xfId="63564"/>
    <cellStyle name="Процентный 6 2 131 2 4" xfId="42204"/>
    <cellStyle name="Процентный 6 2 131 3" xfId="15500"/>
    <cellStyle name="Процентный 6 2 131 3 2" xfId="47544"/>
    <cellStyle name="Процентный 6 2 131 4" xfId="26181"/>
    <cellStyle name="Процентный 6 2 131 4 2" xfId="58224"/>
    <cellStyle name="Процентный 6 2 131 5" xfId="36864"/>
    <cellStyle name="Процентный 6 2 132" xfId="4851"/>
    <cellStyle name="Процентный 6 2 132 2" xfId="10192"/>
    <cellStyle name="Процентный 6 2 132 2 2" xfId="20872"/>
    <cellStyle name="Процентный 6 2 132 2 2 2" xfId="52916"/>
    <cellStyle name="Процентный 6 2 132 2 3" xfId="31553"/>
    <cellStyle name="Процентный 6 2 132 2 3 2" xfId="63596"/>
    <cellStyle name="Процентный 6 2 132 2 4" xfId="42236"/>
    <cellStyle name="Процентный 6 2 132 3" xfId="15532"/>
    <cellStyle name="Процентный 6 2 132 3 2" xfId="47576"/>
    <cellStyle name="Процентный 6 2 132 4" xfId="26213"/>
    <cellStyle name="Процентный 6 2 132 4 2" xfId="58256"/>
    <cellStyle name="Процентный 6 2 132 5" xfId="36896"/>
    <cellStyle name="Процентный 6 2 133" xfId="4883"/>
    <cellStyle name="Процентный 6 2 133 2" xfId="10224"/>
    <cellStyle name="Процентный 6 2 133 2 2" xfId="20904"/>
    <cellStyle name="Процентный 6 2 133 2 2 2" xfId="52948"/>
    <cellStyle name="Процентный 6 2 133 2 3" xfId="31585"/>
    <cellStyle name="Процентный 6 2 133 2 3 2" xfId="63628"/>
    <cellStyle name="Процентный 6 2 133 2 4" xfId="42268"/>
    <cellStyle name="Процентный 6 2 133 3" xfId="15564"/>
    <cellStyle name="Процентный 6 2 133 3 2" xfId="47608"/>
    <cellStyle name="Процентный 6 2 133 4" xfId="26245"/>
    <cellStyle name="Процентный 6 2 133 4 2" xfId="58288"/>
    <cellStyle name="Процентный 6 2 133 5" xfId="36928"/>
    <cellStyle name="Процентный 6 2 134" xfId="4915"/>
    <cellStyle name="Процентный 6 2 134 2" xfId="10256"/>
    <cellStyle name="Процентный 6 2 134 2 2" xfId="20936"/>
    <cellStyle name="Процентный 6 2 134 2 2 2" xfId="52980"/>
    <cellStyle name="Процентный 6 2 134 2 3" xfId="31617"/>
    <cellStyle name="Процентный 6 2 134 2 3 2" xfId="63660"/>
    <cellStyle name="Процентный 6 2 134 2 4" xfId="42300"/>
    <cellStyle name="Процентный 6 2 134 3" xfId="15596"/>
    <cellStyle name="Процентный 6 2 134 3 2" xfId="47640"/>
    <cellStyle name="Процентный 6 2 134 4" xfId="26277"/>
    <cellStyle name="Процентный 6 2 134 4 2" xfId="58320"/>
    <cellStyle name="Процентный 6 2 134 5" xfId="36960"/>
    <cellStyle name="Процентный 6 2 135" xfId="4947"/>
    <cellStyle name="Процентный 6 2 135 2" xfId="10288"/>
    <cellStyle name="Процентный 6 2 135 2 2" xfId="20968"/>
    <cellStyle name="Процентный 6 2 135 2 2 2" xfId="53012"/>
    <cellStyle name="Процентный 6 2 135 2 3" xfId="31649"/>
    <cellStyle name="Процентный 6 2 135 2 3 2" xfId="63692"/>
    <cellStyle name="Процентный 6 2 135 2 4" xfId="42332"/>
    <cellStyle name="Процентный 6 2 135 3" xfId="15628"/>
    <cellStyle name="Процентный 6 2 135 3 2" xfId="47672"/>
    <cellStyle name="Процентный 6 2 135 4" xfId="26309"/>
    <cellStyle name="Процентный 6 2 135 4 2" xfId="58352"/>
    <cellStyle name="Процентный 6 2 135 5" xfId="36992"/>
    <cellStyle name="Процентный 6 2 136" xfId="4979"/>
    <cellStyle name="Процентный 6 2 136 2" xfId="10320"/>
    <cellStyle name="Процентный 6 2 136 2 2" xfId="21000"/>
    <cellStyle name="Процентный 6 2 136 2 2 2" xfId="53044"/>
    <cellStyle name="Процентный 6 2 136 2 3" xfId="31681"/>
    <cellStyle name="Процентный 6 2 136 2 3 2" xfId="63724"/>
    <cellStyle name="Процентный 6 2 136 2 4" xfId="42364"/>
    <cellStyle name="Процентный 6 2 136 3" xfId="15660"/>
    <cellStyle name="Процентный 6 2 136 3 2" xfId="47704"/>
    <cellStyle name="Процентный 6 2 136 4" xfId="26341"/>
    <cellStyle name="Процентный 6 2 136 4 2" xfId="58384"/>
    <cellStyle name="Процентный 6 2 136 5" xfId="37024"/>
    <cellStyle name="Процентный 6 2 137" xfId="5011"/>
    <cellStyle name="Процентный 6 2 137 2" xfId="10352"/>
    <cellStyle name="Процентный 6 2 137 2 2" xfId="21032"/>
    <cellStyle name="Процентный 6 2 137 2 2 2" xfId="53076"/>
    <cellStyle name="Процентный 6 2 137 2 3" xfId="31713"/>
    <cellStyle name="Процентный 6 2 137 2 3 2" xfId="63756"/>
    <cellStyle name="Процентный 6 2 137 2 4" xfId="42396"/>
    <cellStyle name="Процентный 6 2 137 3" xfId="15692"/>
    <cellStyle name="Процентный 6 2 137 3 2" xfId="47736"/>
    <cellStyle name="Процентный 6 2 137 4" xfId="26373"/>
    <cellStyle name="Процентный 6 2 137 4 2" xfId="58416"/>
    <cellStyle name="Процентный 6 2 137 5" xfId="37056"/>
    <cellStyle name="Процентный 6 2 138" xfId="5043"/>
    <cellStyle name="Процентный 6 2 138 2" xfId="10384"/>
    <cellStyle name="Процентный 6 2 138 2 2" xfId="21064"/>
    <cellStyle name="Процентный 6 2 138 2 2 2" xfId="53108"/>
    <cellStyle name="Процентный 6 2 138 2 3" xfId="31745"/>
    <cellStyle name="Процентный 6 2 138 2 3 2" xfId="63788"/>
    <cellStyle name="Процентный 6 2 138 2 4" xfId="42428"/>
    <cellStyle name="Процентный 6 2 138 3" xfId="15724"/>
    <cellStyle name="Процентный 6 2 138 3 2" xfId="47768"/>
    <cellStyle name="Процентный 6 2 138 4" xfId="26405"/>
    <cellStyle name="Процентный 6 2 138 4 2" xfId="58448"/>
    <cellStyle name="Процентный 6 2 138 5" xfId="37088"/>
    <cellStyle name="Процентный 6 2 139" xfId="5075"/>
    <cellStyle name="Процентный 6 2 139 2" xfId="10416"/>
    <cellStyle name="Процентный 6 2 139 2 2" xfId="21096"/>
    <cellStyle name="Процентный 6 2 139 2 2 2" xfId="53140"/>
    <cellStyle name="Процентный 6 2 139 2 3" xfId="31777"/>
    <cellStyle name="Процентный 6 2 139 2 3 2" xfId="63820"/>
    <cellStyle name="Процентный 6 2 139 2 4" xfId="42460"/>
    <cellStyle name="Процентный 6 2 139 3" xfId="15756"/>
    <cellStyle name="Процентный 6 2 139 3 2" xfId="47800"/>
    <cellStyle name="Процентный 6 2 139 4" xfId="26437"/>
    <cellStyle name="Процентный 6 2 139 4 2" xfId="58480"/>
    <cellStyle name="Процентный 6 2 139 5" xfId="37120"/>
    <cellStyle name="Процентный 6 2 14" xfId="1269"/>
    <cellStyle name="Процентный 6 2 14 2" xfId="6612"/>
    <cellStyle name="Процентный 6 2 14 2 2" xfId="17292"/>
    <cellStyle name="Процентный 6 2 14 2 2 2" xfId="49336"/>
    <cellStyle name="Процентный 6 2 14 2 3" xfId="27973"/>
    <cellStyle name="Процентный 6 2 14 2 3 2" xfId="60016"/>
    <cellStyle name="Процентный 6 2 14 2 4" xfId="38656"/>
    <cellStyle name="Процентный 6 2 14 3" xfId="11952"/>
    <cellStyle name="Процентный 6 2 14 3 2" xfId="43996"/>
    <cellStyle name="Процентный 6 2 14 4" xfId="22633"/>
    <cellStyle name="Процентный 6 2 14 4 2" xfId="54676"/>
    <cellStyle name="Процентный 6 2 14 5" xfId="33316"/>
    <cellStyle name="Процентный 6 2 140" xfId="5107"/>
    <cellStyle name="Процентный 6 2 140 2" xfId="10448"/>
    <cellStyle name="Процентный 6 2 140 2 2" xfId="21128"/>
    <cellStyle name="Процентный 6 2 140 2 2 2" xfId="53172"/>
    <cellStyle name="Процентный 6 2 140 2 3" xfId="31809"/>
    <cellStyle name="Процентный 6 2 140 2 3 2" xfId="63852"/>
    <cellStyle name="Процентный 6 2 140 2 4" xfId="42492"/>
    <cellStyle name="Процентный 6 2 140 3" xfId="15788"/>
    <cellStyle name="Процентный 6 2 140 3 2" xfId="47832"/>
    <cellStyle name="Процентный 6 2 140 4" xfId="26469"/>
    <cellStyle name="Процентный 6 2 140 4 2" xfId="58512"/>
    <cellStyle name="Процентный 6 2 140 5" xfId="37152"/>
    <cellStyle name="Процентный 6 2 141" xfId="5139"/>
    <cellStyle name="Процентный 6 2 141 2" xfId="10480"/>
    <cellStyle name="Процентный 6 2 141 2 2" xfId="21160"/>
    <cellStyle name="Процентный 6 2 141 2 2 2" xfId="53204"/>
    <cellStyle name="Процентный 6 2 141 2 3" xfId="31841"/>
    <cellStyle name="Процентный 6 2 141 2 3 2" xfId="63884"/>
    <cellStyle name="Процентный 6 2 141 2 4" xfId="42524"/>
    <cellStyle name="Процентный 6 2 141 3" xfId="15820"/>
    <cellStyle name="Процентный 6 2 141 3 2" xfId="47864"/>
    <cellStyle name="Процентный 6 2 141 4" xfId="26501"/>
    <cellStyle name="Процентный 6 2 141 4 2" xfId="58544"/>
    <cellStyle name="Процентный 6 2 141 5" xfId="37184"/>
    <cellStyle name="Процентный 6 2 142" xfId="5171"/>
    <cellStyle name="Процентный 6 2 142 2" xfId="10512"/>
    <cellStyle name="Процентный 6 2 142 2 2" xfId="21192"/>
    <cellStyle name="Процентный 6 2 142 2 2 2" xfId="53236"/>
    <cellStyle name="Процентный 6 2 142 2 3" xfId="31873"/>
    <cellStyle name="Процентный 6 2 142 2 3 2" xfId="63916"/>
    <cellStyle name="Процентный 6 2 142 2 4" xfId="42556"/>
    <cellStyle name="Процентный 6 2 142 3" xfId="15852"/>
    <cellStyle name="Процентный 6 2 142 3 2" xfId="47896"/>
    <cellStyle name="Процентный 6 2 142 4" xfId="26533"/>
    <cellStyle name="Процентный 6 2 142 4 2" xfId="58576"/>
    <cellStyle name="Процентный 6 2 142 5" xfId="37216"/>
    <cellStyle name="Процентный 6 2 143" xfId="5203"/>
    <cellStyle name="Процентный 6 2 143 2" xfId="10544"/>
    <cellStyle name="Процентный 6 2 143 2 2" xfId="21224"/>
    <cellStyle name="Процентный 6 2 143 2 2 2" xfId="53268"/>
    <cellStyle name="Процентный 6 2 143 2 3" xfId="31905"/>
    <cellStyle name="Процентный 6 2 143 2 3 2" xfId="63948"/>
    <cellStyle name="Процентный 6 2 143 2 4" xfId="42588"/>
    <cellStyle name="Процентный 6 2 143 3" xfId="15884"/>
    <cellStyle name="Процентный 6 2 143 3 2" xfId="47928"/>
    <cellStyle name="Процентный 6 2 143 4" xfId="26565"/>
    <cellStyle name="Процентный 6 2 143 4 2" xfId="58608"/>
    <cellStyle name="Процентный 6 2 143 5" xfId="37248"/>
    <cellStyle name="Процентный 6 2 144" xfId="5235"/>
    <cellStyle name="Процентный 6 2 144 2" xfId="10576"/>
    <cellStyle name="Процентный 6 2 144 2 2" xfId="21256"/>
    <cellStyle name="Процентный 6 2 144 2 2 2" xfId="53300"/>
    <cellStyle name="Процентный 6 2 144 2 3" xfId="31937"/>
    <cellStyle name="Процентный 6 2 144 2 3 2" xfId="63980"/>
    <cellStyle name="Процентный 6 2 144 2 4" xfId="42620"/>
    <cellStyle name="Процентный 6 2 144 3" xfId="15916"/>
    <cellStyle name="Процентный 6 2 144 3 2" xfId="47960"/>
    <cellStyle name="Процентный 6 2 144 4" xfId="26597"/>
    <cellStyle name="Процентный 6 2 144 4 2" xfId="58640"/>
    <cellStyle name="Процентный 6 2 144 5" xfId="37280"/>
    <cellStyle name="Процентный 6 2 145" xfId="5267"/>
    <cellStyle name="Процентный 6 2 145 2" xfId="10608"/>
    <cellStyle name="Процентный 6 2 145 2 2" xfId="21288"/>
    <cellStyle name="Процентный 6 2 145 2 2 2" xfId="53332"/>
    <cellStyle name="Процентный 6 2 145 2 3" xfId="31969"/>
    <cellStyle name="Процентный 6 2 145 2 3 2" xfId="64012"/>
    <cellStyle name="Процентный 6 2 145 2 4" xfId="42652"/>
    <cellStyle name="Процентный 6 2 145 3" xfId="15948"/>
    <cellStyle name="Процентный 6 2 145 3 2" xfId="47992"/>
    <cellStyle name="Процентный 6 2 145 4" xfId="26629"/>
    <cellStyle name="Процентный 6 2 145 4 2" xfId="58672"/>
    <cellStyle name="Процентный 6 2 145 5" xfId="37312"/>
    <cellStyle name="Процентный 6 2 146" xfId="5299"/>
    <cellStyle name="Процентный 6 2 146 2" xfId="10640"/>
    <cellStyle name="Процентный 6 2 146 2 2" xfId="21320"/>
    <cellStyle name="Процентный 6 2 146 2 2 2" xfId="53364"/>
    <cellStyle name="Процентный 6 2 146 2 3" xfId="32001"/>
    <cellStyle name="Процентный 6 2 146 2 3 2" xfId="64044"/>
    <cellStyle name="Процентный 6 2 146 2 4" xfId="42684"/>
    <cellStyle name="Процентный 6 2 146 3" xfId="15980"/>
    <cellStyle name="Процентный 6 2 146 3 2" xfId="48024"/>
    <cellStyle name="Процентный 6 2 146 4" xfId="26661"/>
    <cellStyle name="Процентный 6 2 146 4 2" xfId="58704"/>
    <cellStyle name="Процентный 6 2 146 5" xfId="37344"/>
    <cellStyle name="Процентный 6 2 147" xfId="5331"/>
    <cellStyle name="Процентный 6 2 147 2" xfId="10672"/>
    <cellStyle name="Процентный 6 2 147 2 2" xfId="21352"/>
    <cellStyle name="Процентный 6 2 147 2 2 2" xfId="53396"/>
    <cellStyle name="Процентный 6 2 147 2 3" xfId="32033"/>
    <cellStyle name="Процентный 6 2 147 2 3 2" xfId="64076"/>
    <cellStyle name="Процентный 6 2 147 2 4" xfId="42716"/>
    <cellStyle name="Процентный 6 2 147 3" xfId="16012"/>
    <cellStyle name="Процентный 6 2 147 3 2" xfId="48056"/>
    <cellStyle name="Процентный 6 2 147 4" xfId="26693"/>
    <cellStyle name="Процентный 6 2 147 4 2" xfId="58736"/>
    <cellStyle name="Процентный 6 2 147 5" xfId="37376"/>
    <cellStyle name="Процентный 6 2 148" xfId="5363"/>
    <cellStyle name="Процентный 6 2 148 2" xfId="10704"/>
    <cellStyle name="Процентный 6 2 148 2 2" xfId="21384"/>
    <cellStyle name="Процентный 6 2 148 2 2 2" xfId="53428"/>
    <cellStyle name="Процентный 6 2 148 2 3" xfId="32065"/>
    <cellStyle name="Процентный 6 2 148 2 3 2" xfId="64108"/>
    <cellStyle name="Процентный 6 2 148 2 4" xfId="42748"/>
    <cellStyle name="Процентный 6 2 148 3" xfId="16044"/>
    <cellStyle name="Процентный 6 2 148 3 2" xfId="48088"/>
    <cellStyle name="Процентный 6 2 148 4" xfId="26725"/>
    <cellStyle name="Процентный 6 2 148 4 2" xfId="58768"/>
    <cellStyle name="Процентный 6 2 148 5" xfId="37408"/>
    <cellStyle name="Процентный 6 2 149" xfId="5453"/>
    <cellStyle name="Процентный 6 2 149 2" xfId="16133"/>
    <cellStyle name="Процентный 6 2 149 2 2" xfId="48177"/>
    <cellStyle name="Процентный 6 2 149 3" xfId="26814"/>
    <cellStyle name="Процентный 6 2 149 3 2" xfId="58857"/>
    <cellStyle name="Процентный 6 2 149 4" xfId="37497"/>
    <cellStyle name="Процентный 6 2 15" xfId="1295"/>
    <cellStyle name="Процентный 6 2 15 2" xfId="6638"/>
    <cellStyle name="Процентный 6 2 15 2 2" xfId="17318"/>
    <cellStyle name="Процентный 6 2 15 2 2 2" xfId="49362"/>
    <cellStyle name="Процентный 6 2 15 2 3" xfId="27999"/>
    <cellStyle name="Процентный 6 2 15 2 3 2" xfId="60042"/>
    <cellStyle name="Процентный 6 2 15 2 4" xfId="38682"/>
    <cellStyle name="Процентный 6 2 15 3" xfId="11978"/>
    <cellStyle name="Процентный 6 2 15 3 2" xfId="44022"/>
    <cellStyle name="Процентный 6 2 15 4" xfId="22659"/>
    <cellStyle name="Процентный 6 2 15 4 2" xfId="54702"/>
    <cellStyle name="Процентный 6 2 15 5" xfId="33342"/>
    <cellStyle name="Процентный 6 2 150" xfId="10793"/>
    <cellStyle name="Процентный 6 2 150 2" xfId="42837"/>
    <cellStyle name="Процентный 6 2 151" xfId="21474"/>
    <cellStyle name="Процентный 6 2 151 2" xfId="53517"/>
    <cellStyle name="Процентный 6 2 152" xfId="32157"/>
    <cellStyle name="Процентный 6 2 16" xfId="1322"/>
    <cellStyle name="Процентный 6 2 16 2" xfId="6664"/>
    <cellStyle name="Процентный 6 2 16 2 2" xfId="17344"/>
    <cellStyle name="Процентный 6 2 16 2 2 2" xfId="49388"/>
    <cellStyle name="Процентный 6 2 16 2 3" xfId="28025"/>
    <cellStyle name="Процентный 6 2 16 2 3 2" xfId="60068"/>
    <cellStyle name="Процентный 6 2 16 2 4" xfId="38708"/>
    <cellStyle name="Процентный 6 2 16 3" xfId="12004"/>
    <cellStyle name="Процентный 6 2 16 3 2" xfId="44048"/>
    <cellStyle name="Процентный 6 2 16 4" xfId="22685"/>
    <cellStyle name="Процентный 6 2 16 4 2" xfId="54728"/>
    <cellStyle name="Процентный 6 2 16 5" xfId="33368"/>
    <cellStyle name="Процентный 6 2 17" xfId="1348"/>
    <cellStyle name="Процентный 6 2 17 2" xfId="6690"/>
    <cellStyle name="Процентный 6 2 17 2 2" xfId="17370"/>
    <cellStyle name="Процентный 6 2 17 2 2 2" xfId="49414"/>
    <cellStyle name="Процентный 6 2 17 2 3" xfId="28051"/>
    <cellStyle name="Процентный 6 2 17 2 3 2" xfId="60094"/>
    <cellStyle name="Процентный 6 2 17 2 4" xfId="38734"/>
    <cellStyle name="Процентный 6 2 17 3" xfId="12030"/>
    <cellStyle name="Процентный 6 2 17 3 2" xfId="44074"/>
    <cellStyle name="Процентный 6 2 17 4" xfId="22711"/>
    <cellStyle name="Процентный 6 2 17 4 2" xfId="54754"/>
    <cellStyle name="Процентный 6 2 17 5" xfId="33394"/>
    <cellStyle name="Процентный 6 2 18" xfId="1374"/>
    <cellStyle name="Процентный 6 2 18 2" xfId="6716"/>
    <cellStyle name="Процентный 6 2 18 2 2" xfId="17396"/>
    <cellStyle name="Процентный 6 2 18 2 2 2" xfId="49440"/>
    <cellStyle name="Процентный 6 2 18 2 3" xfId="28077"/>
    <cellStyle name="Процентный 6 2 18 2 3 2" xfId="60120"/>
    <cellStyle name="Процентный 6 2 18 2 4" xfId="38760"/>
    <cellStyle name="Процентный 6 2 18 3" xfId="12056"/>
    <cellStyle name="Процентный 6 2 18 3 2" xfId="44100"/>
    <cellStyle name="Процентный 6 2 18 4" xfId="22737"/>
    <cellStyle name="Процентный 6 2 18 4 2" xfId="54780"/>
    <cellStyle name="Процентный 6 2 18 5" xfId="33420"/>
    <cellStyle name="Процентный 6 2 19" xfId="1400"/>
    <cellStyle name="Процентный 6 2 19 2" xfId="6742"/>
    <cellStyle name="Процентный 6 2 19 2 2" xfId="17422"/>
    <cellStyle name="Процентный 6 2 19 2 2 2" xfId="49466"/>
    <cellStyle name="Процентный 6 2 19 2 3" xfId="28103"/>
    <cellStyle name="Процентный 6 2 19 2 3 2" xfId="60146"/>
    <cellStyle name="Процентный 6 2 19 2 4" xfId="38786"/>
    <cellStyle name="Процентный 6 2 19 3" xfId="12082"/>
    <cellStyle name="Процентный 6 2 19 3 2" xfId="44126"/>
    <cellStyle name="Процентный 6 2 19 4" xfId="22763"/>
    <cellStyle name="Процентный 6 2 19 4 2" xfId="54806"/>
    <cellStyle name="Процентный 6 2 19 5" xfId="33446"/>
    <cellStyle name="Процентный 6 2 2" xfId="577"/>
    <cellStyle name="Процентный 6 2 2 2" xfId="5920"/>
    <cellStyle name="Процентный 6 2 2 2 2" xfId="16600"/>
    <cellStyle name="Процентный 6 2 2 2 2 2" xfId="48644"/>
    <cellStyle name="Процентный 6 2 2 2 3" xfId="27281"/>
    <cellStyle name="Процентный 6 2 2 2 3 2" xfId="59324"/>
    <cellStyle name="Процентный 6 2 2 2 4" xfId="37964"/>
    <cellStyle name="Процентный 6 2 2 3" xfId="11260"/>
    <cellStyle name="Процентный 6 2 2 3 2" xfId="43304"/>
    <cellStyle name="Процентный 6 2 2 4" xfId="21941"/>
    <cellStyle name="Процентный 6 2 2 4 2" xfId="53984"/>
    <cellStyle name="Процентный 6 2 2 5" xfId="32624"/>
    <cellStyle name="Процентный 6 2 20" xfId="1426"/>
    <cellStyle name="Процентный 6 2 20 2" xfId="6768"/>
    <cellStyle name="Процентный 6 2 20 2 2" xfId="17448"/>
    <cellStyle name="Процентный 6 2 20 2 2 2" xfId="49492"/>
    <cellStyle name="Процентный 6 2 20 2 3" xfId="28129"/>
    <cellStyle name="Процентный 6 2 20 2 3 2" xfId="60172"/>
    <cellStyle name="Процентный 6 2 20 2 4" xfId="38812"/>
    <cellStyle name="Процентный 6 2 20 3" xfId="12108"/>
    <cellStyle name="Процентный 6 2 20 3 2" xfId="44152"/>
    <cellStyle name="Процентный 6 2 20 4" xfId="22789"/>
    <cellStyle name="Процентный 6 2 20 4 2" xfId="54832"/>
    <cellStyle name="Процентный 6 2 20 5" xfId="33472"/>
    <cellStyle name="Процентный 6 2 21" xfId="1452"/>
    <cellStyle name="Процентный 6 2 21 2" xfId="6794"/>
    <cellStyle name="Процентный 6 2 21 2 2" xfId="17474"/>
    <cellStyle name="Процентный 6 2 21 2 2 2" xfId="49518"/>
    <cellStyle name="Процентный 6 2 21 2 3" xfId="28155"/>
    <cellStyle name="Процентный 6 2 21 2 3 2" xfId="60198"/>
    <cellStyle name="Процентный 6 2 21 2 4" xfId="38838"/>
    <cellStyle name="Процентный 6 2 21 3" xfId="12134"/>
    <cellStyle name="Процентный 6 2 21 3 2" xfId="44178"/>
    <cellStyle name="Процентный 6 2 21 4" xfId="22815"/>
    <cellStyle name="Процентный 6 2 21 4 2" xfId="54858"/>
    <cellStyle name="Процентный 6 2 21 5" xfId="33498"/>
    <cellStyle name="Процентный 6 2 22" xfId="1478"/>
    <cellStyle name="Процентный 6 2 22 2" xfId="6820"/>
    <cellStyle name="Процентный 6 2 22 2 2" xfId="17500"/>
    <cellStyle name="Процентный 6 2 22 2 2 2" xfId="49544"/>
    <cellStyle name="Процентный 6 2 22 2 3" xfId="28181"/>
    <cellStyle name="Процентный 6 2 22 2 3 2" xfId="60224"/>
    <cellStyle name="Процентный 6 2 22 2 4" xfId="38864"/>
    <cellStyle name="Процентный 6 2 22 3" xfId="12160"/>
    <cellStyle name="Процентный 6 2 22 3 2" xfId="44204"/>
    <cellStyle name="Процентный 6 2 22 4" xfId="22841"/>
    <cellStyle name="Процентный 6 2 22 4 2" xfId="54884"/>
    <cellStyle name="Процентный 6 2 22 5" xfId="33524"/>
    <cellStyle name="Процентный 6 2 23" xfId="1504"/>
    <cellStyle name="Процентный 6 2 23 2" xfId="6846"/>
    <cellStyle name="Процентный 6 2 23 2 2" xfId="17526"/>
    <cellStyle name="Процентный 6 2 23 2 2 2" xfId="49570"/>
    <cellStyle name="Процентный 6 2 23 2 3" xfId="28207"/>
    <cellStyle name="Процентный 6 2 23 2 3 2" xfId="60250"/>
    <cellStyle name="Процентный 6 2 23 2 4" xfId="38890"/>
    <cellStyle name="Процентный 6 2 23 3" xfId="12186"/>
    <cellStyle name="Процентный 6 2 23 3 2" xfId="44230"/>
    <cellStyle name="Процентный 6 2 23 4" xfId="22867"/>
    <cellStyle name="Процентный 6 2 23 4 2" xfId="54910"/>
    <cellStyle name="Процентный 6 2 23 5" xfId="33550"/>
    <cellStyle name="Процентный 6 2 24" xfId="1530"/>
    <cellStyle name="Процентный 6 2 24 2" xfId="6872"/>
    <cellStyle name="Процентный 6 2 24 2 2" xfId="17552"/>
    <cellStyle name="Процентный 6 2 24 2 2 2" xfId="49596"/>
    <cellStyle name="Процентный 6 2 24 2 3" xfId="28233"/>
    <cellStyle name="Процентный 6 2 24 2 3 2" xfId="60276"/>
    <cellStyle name="Процентный 6 2 24 2 4" xfId="38916"/>
    <cellStyle name="Процентный 6 2 24 3" xfId="12212"/>
    <cellStyle name="Процентный 6 2 24 3 2" xfId="44256"/>
    <cellStyle name="Процентный 6 2 24 4" xfId="22893"/>
    <cellStyle name="Процентный 6 2 24 4 2" xfId="54936"/>
    <cellStyle name="Процентный 6 2 24 5" xfId="33576"/>
    <cellStyle name="Процентный 6 2 25" xfId="1556"/>
    <cellStyle name="Процентный 6 2 25 2" xfId="6898"/>
    <cellStyle name="Процентный 6 2 25 2 2" xfId="17578"/>
    <cellStyle name="Процентный 6 2 25 2 2 2" xfId="49622"/>
    <cellStyle name="Процентный 6 2 25 2 3" xfId="28259"/>
    <cellStyle name="Процентный 6 2 25 2 3 2" xfId="60302"/>
    <cellStyle name="Процентный 6 2 25 2 4" xfId="38942"/>
    <cellStyle name="Процентный 6 2 25 3" xfId="12238"/>
    <cellStyle name="Процентный 6 2 25 3 2" xfId="44282"/>
    <cellStyle name="Процентный 6 2 25 4" xfId="22919"/>
    <cellStyle name="Процентный 6 2 25 4 2" xfId="54962"/>
    <cellStyle name="Процентный 6 2 25 5" xfId="33602"/>
    <cellStyle name="Процентный 6 2 26" xfId="1582"/>
    <cellStyle name="Процентный 6 2 26 2" xfId="6924"/>
    <cellStyle name="Процентный 6 2 26 2 2" xfId="17604"/>
    <cellStyle name="Процентный 6 2 26 2 2 2" xfId="49648"/>
    <cellStyle name="Процентный 6 2 26 2 3" xfId="28285"/>
    <cellStyle name="Процентный 6 2 26 2 3 2" xfId="60328"/>
    <cellStyle name="Процентный 6 2 26 2 4" xfId="38968"/>
    <cellStyle name="Процентный 6 2 26 3" xfId="12264"/>
    <cellStyle name="Процентный 6 2 26 3 2" xfId="44308"/>
    <cellStyle name="Процентный 6 2 26 4" xfId="22945"/>
    <cellStyle name="Процентный 6 2 26 4 2" xfId="54988"/>
    <cellStyle name="Процентный 6 2 26 5" xfId="33628"/>
    <cellStyle name="Процентный 6 2 27" xfId="1608"/>
    <cellStyle name="Процентный 6 2 27 2" xfId="6950"/>
    <cellStyle name="Процентный 6 2 27 2 2" xfId="17630"/>
    <cellStyle name="Процентный 6 2 27 2 2 2" xfId="49674"/>
    <cellStyle name="Процентный 6 2 27 2 3" xfId="28311"/>
    <cellStyle name="Процентный 6 2 27 2 3 2" xfId="60354"/>
    <cellStyle name="Процентный 6 2 27 2 4" xfId="38994"/>
    <cellStyle name="Процентный 6 2 27 3" xfId="12290"/>
    <cellStyle name="Процентный 6 2 27 3 2" xfId="44334"/>
    <cellStyle name="Процентный 6 2 27 4" xfId="22971"/>
    <cellStyle name="Процентный 6 2 27 4 2" xfId="55014"/>
    <cellStyle name="Процентный 6 2 27 5" xfId="33654"/>
    <cellStyle name="Процентный 6 2 28" xfId="1634"/>
    <cellStyle name="Процентный 6 2 28 2" xfId="6976"/>
    <cellStyle name="Процентный 6 2 28 2 2" xfId="17656"/>
    <cellStyle name="Процентный 6 2 28 2 2 2" xfId="49700"/>
    <cellStyle name="Процентный 6 2 28 2 3" xfId="28337"/>
    <cellStyle name="Процентный 6 2 28 2 3 2" xfId="60380"/>
    <cellStyle name="Процентный 6 2 28 2 4" xfId="39020"/>
    <cellStyle name="Процентный 6 2 28 3" xfId="12316"/>
    <cellStyle name="Процентный 6 2 28 3 2" xfId="44360"/>
    <cellStyle name="Процентный 6 2 28 4" xfId="22997"/>
    <cellStyle name="Процентный 6 2 28 4 2" xfId="55040"/>
    <cellStyle name="Процентный 6 2 28 5" xfId="33680"/>
    <cellStyle name="Процентный 6 2 29" xfId="1660"/>
    <cellStyle name="Процентный 6 2 29 2" xfId="7002"/>
    <cellStyle name="Процентный 6 2 29 2 2" xfId="17682"/>
    <cellStyle name="Процентный 6 2 29 2 2 2" xfId="49726"/>
    <cellStyle name="Процентный 6 2 29 2 3" xfId="28363"/>
    <cellStyle name="Процентный 6 2 29 2 3 2" xfId="60406"/>
    <cellStyle name="Процентный 6 2 29 2 4" xfId="39046"/>
    <cellStyle name="Процентный 6 2 29 3" xfId="12342"/>
    <cellStyle name="Процентный 6 2 29 3 2" xfId="44386"/>
    <cellStyle name="Процентный 6 2 29 4" xfId="23023"/>
    <cellStyle name="Процентный 6 2 29 4 2" xfId="55066"/>
    <cellStyle name="Процентный 6 2 29 5" xfId="33706"/>
    <cellStyle name="Процентный 6 2 3" xfId="987"/>
    <cellStyle name="Процентный 6 2 3 2" xfId="6330"/>
    <cellStyle name="Процентный 6 2 3 2 2" xfId="17010"/>
    <cellStyle name="Процентный 6 2 3 2 2 2" xfId="49054"/>
    <cellStyle name="Процентный 6 2 3 2 3" xfId="27691"/>
    <cellStyle name="Процентный 6 2 3 2 3 2" xfId="59734"/>
    <cellStyle name="Процентный 6 2 3 2 4" xfId="38374"/>
    <cellStyle name="Процентный 6 2 3 3" xfId="11670"/>
    <cellStyle name="Процентный 6 2 3 3 2" xfId="43714"/>
    <cellStyle name="Процентный 6 2 3 4" xfId="22351"/>
    <cellStyle name="Процентный 6 2 3 4 2" xfId="54394"/>
    <cellStyle name="Процентный 6 2 3 5" xfId="33034"/>
    <cellStyle name="Процентный 6 2 30" xfId="1686"/>
    <cellStyle name="Процентный 6 2 30 2" xfId="7028"/>
    <cellStyle name="Процентный 6 2 30 2 2" xfId="17708"/>
    <cellStyle name="Процентный 6 2 30 2 2 2" xfId="49752"/>
    <cellStyle name="Процентный 6 2 30 2 3" xfId="28389"/>
    <cellStyle name="Процентный 6 2 30 2 3 2" xfId="60432"/>
    <cellStyle name="Процентный 6 2 30 2 4" xfId="39072"/>
    <cellStyle name="Процентный 6 2 30 3" xfId="12368"/>
    <cellStyle name="Процентный 6 2 30 3 2" xfId="44412"/>
    <cellStyle name="Процентный 6 2 30 4" xfId="23049"/>
    <cellStyle name="Процентный 6 2 30 4 2" xfId="55092"/>
    <cellStyle name="Процентный 6 2 30 5" xfId="33732"/>
    <cellStyle name="Процентный 6 2 31" xfId="1712"/>
    <cellStyle name="Процентный 6 2 31 2" xfId="7054"/>
    <cellStyle name="Процентный 6 2 31 2 2" xfId="17734"/>
    <cellStyle name="Процентный 6 2 31 2 2 2" xfId="49778"/>
    <cellStyle name="Процентный 6 2 31 2 3" xfId="28415"/>
    <cellStyle name="Процентный 6 2 31 2 3 2" xfId="60458"/>
    <cellStyle name="Процентный 6 2 31 2 4" xfId="39098"/>
    <cellStyle name="Процентный 6 2 31 3" xfId="12394"/>
    <cellStyle name="Процентный 6 2 31 3 2" xfId="44438"/>
    <cellStyle name="Процентный 6 2 31 4" xfId="23075"/>
    <cellStyle name="Процентный 6 2 31 4 2" xfId="55118"/>
    <cellStyle name="Процентный 6 2 31 5" xfId="33758"/>
    <cellStyle name="Процентный 6 2 32" xfId="1738"/>
    <cellStyle name="Процентный 6 2 32 2" xfId="7080"/>
    <cellStyle name="Процентный 6 2 32 2 2" xfId="17760"/>
    <cellStyle name="Процентный 6 2 32 2 2 2" xfId="49804"/>
    <cellStyle name="Процентный 6 2 32 2 3" xfId="28441"/>
    <cellStyle name="Процентный 6 2 32 2 3 2" xfId="60484"/>
    <cellStyle name="Процентный 6 2 32 2 4" xfId="39124"/>
    <cellStyle name="Процентный 6 2 32 3" xfId="12420"/>
    <cellStyle name="Процентный 6 2 32 3 2" xfId="44464"/>
    <cellStyle name="Процентный 6 2 32 4" xfId="23101"/>
    <cellStyle name="Процентный 6 2 32 4 2" xfId="55144"/>
    <cellStyle name="Процентный 6 2 32 5" xfId="33784"/>
    <cellStyle name="Процентный 6 2 33" xfId="1764"/>
    <cellStyle name="Процентный 6 2 33 2" xfId="7106"/>
    <cellStyle name="Процентный 6 2 33 2 2" xfId="17786"/>
    <cellStyle name="Процентный 6 2 33 2 2 2" xfId="49830"/>
    <cellStyle name="Процентный 6 2 33 2 3" xfId="28467"/>
    <cellStyle name="Процентный 6 2 33 2 3 2" xfId="60510"/>
    <cellStyle name="Процентный 6 2 33 2 4" xfId="39150"/>
    <cellStyle name="Процентный 6 2 33 3" xfId="12446"/>
    <cellStyle name="Процентный 6 2 33 3 2" xfId="44490"/>
    <cellStyle name="Процентный 6 2 33 4" xfId="23127"/>
    <cellStyle name="Процентный 6 2 33 4 2" xfId="55170"/>
    <cellStyle name="Процентный 6 2 33 5" xfId="33810"/>
    <cellStyle name="Процентный 6 2 34" xfId="1790"/>
    <cellStyle name="Процентный 6 2 34 2" xfId="7132"/>
    <cellStyle name="Процентный 6 2 34 2 2" xfId="17812"/>
    <cellStyle name="Процентный 6 2 34 2 2 2" xfId="49856"/>
    <cellStyle name="Процентный 6 2 34 2 3" xfId="28493"/>
    <cellStyle name="Процентный 6 2 34 2 3 2" xfId="60536"/>
    <cellStyle name="Процентный 6 2 34 2 4" xfId="39176"/>
    <cellStyle name="Процентный 6 2 34 3" xfId="12472"/>
    <cellStyle name="Процентный 6 2 34 3 2" xfId="44516"/>
    <cellStyle name="Процентный 6 2 34 4" xfId="23153"/>
    <cellStyle name="Процентный 6 2 34 4 2" xfId="55196"/>
    <cellStyle name="Процентный 6 2 34 5" xfId="33836"/>
    <cellStyle name="Процентный 6 2 35" xfId="1816"/>
    <cellStyle name="Процентный 6 2 35 2" xfId="7158"/>
    <cellStyle name="Процентный 6 2 35 2 2" xfId="17838"/>
    <cellStyle name="Процентный 6 2 35 2 2 2" xfId="49882"/>
    <cellStyle name="Процентный 6 2 35 2 3" xfId="28519"/>
    <cellStyle name="Процентный 6 2 35 2 3 2" xfId="60562"/>
    <cellStyle name="Процентный 6 2 35 2 4" xfId="39202"/>
    <cellStyle name="Процентный 6 2 35 3" xfId="12498"/>
    <cellStyle name="Процентный 6 2 35 3 2" xfId="44542"/>
    <cellStyle name="Процентный 6 2 35 4" xfId="23179"/>
    <cellStyle name="Процентный 6 2 35 4 2" xfId="55222"/>
    <cellStyle name="Процентный 6 2 35 5" xfId="33862"/>
    <cellStyle name="Процентный 6 2 36" xfId="1842"/>
    <cellStyle name="Процентный 6 2 36 2" xfId="7184"/>
    <cellStyle name="Процентный 6 2 36 2 2" xfId="17864"/>
    <cellStyle name="Процентный 6 2 36 2 2 2" xfId="49908"/>
    <cellStyle name="Процентный 6 2 36 2 3" xfId="28545"/>
    <cellStyle name="Процентный 6 2 36 2 3 2" xfId="60588"/>
    <cellStyle name="Процентный 6 2 36 2 4" xfId="39228"/>
    <cellStyle name="Процентный 6 2 36 3" xfId="12524"/>
    <cellStyle name="Процентный 6 2 36 3 2" xfId="44568"/>
    <cellStyle name="Процентный 6 2 36 4" xfId="23205"/>
    <cellStyle name="Процентный 6 2 36 4 2" xfId="55248"/>
    <cellStyle name="Процентный 6 2 36 5" xfId="33888"/>
    <cellStyle name="Процентный 6 2 37" xfId="1868"/>
    <cellStyle name="Процентный 6 2 37 2" xfId="7210"/>
    <cellStyle name="Процентный 6 2 37 2 2" xfId="17890"/>
    <cellStyle name="Процентный 6 2 37 2 2 2" xfId="49934"/>
    <cellStyle name="Процентный 6 2 37 2 3" xfId="28571"/>
    <cellStyle name="Процентный 6 2 37 2 3 2" xfId="60614"/>
    <cellStyle name="Процентный 6 2 37 2 4" xfId="39254"/>
    <cellStyle name="Процентный 6 2 37 3" xfId="12550"/>
    <cellStyle name="Процентный 6 2 37 3 2" xfId="44594"/>
    <cellStyle name="Процентный 6 2 37 4" xfId="23231"/>
    <cellStyle name="Процентный 6 2 37 4 2" xfId="55274"/>
    <cellStyle name="Процентный 6 2 37 5" xfId="33914"/>
    <cellStyle name="Процентный 6 2 38" xfId="1894"/>
    <cellStyle name="Процентный 6 2 38 2" xfId="7236"/>
    <cellStyle name="Процентный 6 2 38 2 2" xfId="17916"/>
    <cellStyle name="Процентный 6 2 38 2 2 2" xfId="49960"/>
    <cellStyle name="Процентный 6 2 38 2 3" xfId="28597"/>
    <cellStyle name="Процентный 6 2 38 2 3 2" xfId="60640"/>
    <cellStyle name="Процентный 6 2 38 2 4" xfId="39280"/>
    <cellStyle name="Процентный 6 2 38 3" xfId="12576"/>
    <cellStyle name="Процентный 6 2 38 3 2" xfId="44620"/>
    <cellStyle name="Процентный 6 2 38 4" xfId="23257"/>
    <cellStyle name="Процентный 6 2 38 4 2" xfId="55300"/>
    <cellStyle name="Процентный 6 2 38 5" xfId="33940"/>
    <cellStyle name="Процентный 6 2 39" xfId="1920"/>
    <cellStyle name="Процентный 6 2 39 2" xfId="7262"/>
    <cellStyle name="Процентный 6 2 39 2 2" xfId="17942"/>
    <cellStyle name="Процентный 6 2 39 2 2 2" xfId="49986"/>
    <cellStyle name="Процентный 6 2 39 2 3" xfId="28623"/>
    <cellStyle name="Процентный 6 2 39 2 3 2" xfId="60666"/>
    <cellStyle name="Процентный 6 2 39 2 4" xfId="39306"/>
    <cellStyle name="Процентный 6 2 39 3" xfId="12602"/>
    <cellStyle name="Процентный 6 2 39 3 2" xfId="44646"/>
    <cellStyle name="Процентный 6 2 39 4" xfId="23283"/>
    <cellStyle name="Процентный 6 2 39 4 2" xfId="55326"/>
    <cellStyle name="Процентный 6 2 39 5" xfId="33966"/>
    <cellStyle name="Процентный 6 2 4" xfId="1011"/>
    <cellStyle name="Процентный 6 2 4 2" xfId="6354"/>
    <cellStyle name="Процентный 6 2 4 2 2" xfId="17034"/>
    <cellStyle name="Процентный 6 2 4 2 2 2" xfId="49078"/>
    <cellStyle name="Процентный 6 2 4 2 3" xfId="27715"/>
    <cellStyle name="Процентный 6 2 4 2 3 2" xfId="59758"/>
    <cellStyle name="Процентный 6 2 4 2 4" xfId="38398"/>
    <cellStyle name="Процентный 6 2 4 3" xfId="11694"/>
    <cellStyle name="Процентный 6 2 4 3 2" xfId="43738"/>
    <cellStyle name="Процентный 6 2 4 4" xfId="22375"/>
    <cellStyle name="Процентный 6 2 4 4 2" xfId="54418"/>
    <cellStyle name="Процентный 6 2 4 5" xfId="33058"/>
    <cellStyle name="Процентный 6 2 40" xfId="1948"/>
    <cellStyle name="Процентный 6 2 40 2" xfId="7290"/>
    <cellStyle name="Процентный 6 2 40 2 2" xfId="17970"/>
    <cellStyle name="Процентный 6 2 40 2 2 2" xfId="50014"/>
    <cellStyle name="Процентный 6 2 40 2 3" xfId="28651"/>
    <cellStyle name="Процентный 6 2 40 2 3 2" xfId="60694"/>
    <cellStyle name="Процентный 6 2 40 2 4" xfId="39334"/>
    <cellStyle name="Процентный 6 2 40 3" xfId="12630"/>
    <cellStyle name="Процентный 6 2 40 3 2" xfId="44674"/>
    <cellStyle name="Процентный 6 2 40 4" xfId="23311"/>
    <cellStyle name="Процентный 6 2 40 4 2" xfId="55354"/>
    <cellStyle name="Процентный 6 2 40 5" xfId="33994"/>
    <cellStyle name="Процентный 6 2 41" xfId="1976"/>
    <cellStyle name="Процентный 6 2 41 2" xfId="7318"/>
    <cellStyle name="Процентный 6 2 41 2 2" xfId="17998"/>
    <cellStyle name="Процентный 6 2 41 2 2 2" xfId="50042"/>
    <cellStyle name="Процентный 6 2 41 2 3" xfId="28679"/>
    <cellStyle name="Процентный 6 2 41 2 3 2" xfId="60722"/>
    <cellStyle name="Процентный 6 2 41 2 4" xfId="39362"/>
    <cellStyle name="Процентный 6 2 41 3" xfId="12658"/>
    <cellStyle name="Процентный 6 2 41 3 2" xfId="44702"/>
    <cellStyle name="Процентный 6 2 41 4" xfId="23339"/>
    <cellStyle name="Процентный 6 2 41 4 2" xfId="55382"/>
    <cellStyle name="Процентный 6 2 41 5" xfId="34022"/>
    <cellStyle name="Процентный 6 2 42" xfId="2004"/>
    <cellStyle name="Процентный 6 2 42 2" xfId="7346"/>
    <cellStyle name="Процентный 6 2 42 2 2" xfId="18026"/>
    <cellStyle name="Процентный 6 2 42 2 2 2" xfId="50070"/>
    <cellStyle name="Процентный 6 2 42 2 3" xfId="28707"/>
    <cellStyle name="Процентный 6 2 42 2 3 2" xfId="60750"/>
    <cellStyle name="Процентный 6 2 42 2 4" xfId="39390"/>
    <cellStyle name="Процентный 6 2 42 3" xfId="12686"/>
    <cellStyle name="Процентный 6 2 42 3 2" xfId="44730"/>
    <cellStyle name="Процентный 6 2 42 4" xfId="23367"/>
    <cellStyle name="Процентный 6 2 42 4 2" xfId="55410"/>
    <cellStyle name="Процентный 6 2 42 5" xfId="34050"/>
    <cellStyle name="Процентный 6 2 43" xfId="2032"/>
    <cellStyle name="Процентный 6 2 43 2" xfId="7374"/>
    <cellStyle name="Процентный 6 2 43 2 2" xfId="18054"/>
    <cellStyle name="Процентный 6 2 43 2 2 2" xfId="50098"/>
    <cellStyle name="Процентный 6 2 43 2 3" xfId="28735"/>
    <cellStyle name="Процентный 6 2 43 2 3 2" xfId="60778"/>
    <cellStyle name="Процентный 6 2 43 2 4" xfId="39418"/>
    <cellStyle name="Процентный 6 2 43 3" xfId="12714"/>
    <cellStyle name="Процентный 6 2 43 3 2" xfId="44758"/>
    <cellStyle name="Процентный 6 2 43 4" xfId="23395"/>
    <cellStyle name="Процентный 6 2 43 4 2" xfId="55438"/>
    <cellStyle name="Процентный 6 2 43 5" xfId="34078"/>
    <cellStyle name="Процентный 6 2 44" xfId="2060"/>
    <cellStyle name="Процентный 6 2 44 2" xfId="7402"/>
    <cellStyle name="Процентный 6 2 44 2 2" xfId="18082"/>
    <cellStyle name="Процентный 6 2 44 2 2 2" xfId="50126"/>
    <cellStyle name="Процентный 6 2 44 2 3" xfId="28763"/>
    <cellStyle name="Процентный 6 2 44 2 3 2" xfId="60806"/>
    <cellStyle name="Процентный 6 2 44 2 4" xfId="39446"/>
    <cellStyle name="Процентный 6 2 44 3" xfId="12742"/>
    <cellStyle name="Процентный 6 2 44 3 2" xfId="44786"/>
    <cellStyle name="Процентный 6 2 44 4" xfId="23423"/>
    <cellStyle name="Процентный 6 2 44 4 2" xfId="55466"/>
    <cellStyle name="Процентный 6 2 44 5" xfId="34106"/>
    <cellStyle name="Процентный 6 2 45" xfId="2088"/>
    <cellStyle name="Процентный 6 2 45 2" xfId="7430"/>
    <cellStyle name="Процентный 6 2 45 2 2" xfId="18110"/>
    <cellStyle name="Процентный 6 2 45 2 2 2" xfId="50154"/>
    <cellStyle name="Процентный 6 2 45 2 3" xfId="28791"/>
    <cellStyle name="Процентный 6 2 45 2 3 2" xfId="60834"/>
    <cellStyle name="Процентный 6 2 45 2 4" xfId="39474"/>
    <cellStyle name="Процентный 6 2 45 3" xfId="12770"/>
    <cellStyle name="Процентный 6 2 45 3 2" xfId="44814"/>
    <cellStyle name="Процентный 6 2 45 4" xfId="23451"/>
    <cellStyle name="Процентный 6 2 45 4 2" xfId="55494"/>
    <cellStyle name="Процентный 6 2 45 5" xfId="34134"/>
    <cellStyle name="Процентный 6 2 46" xfId="2116"/>
    <cellStyle name="Процентный 6 2 46 2" xfId="7458"/>
    <cellStyle name="Процентный 6 2 46 2 2" xfId="18138"/>
    <cellStyle name="Процентный 6 2 46 2 2 2" xfId="50182"/>
    <cellStyle name="Процентный 6 2 46 2 3" xfId="28819"/>
    <cellStyle name="Процентный 6 2 46 2 3 2" xfId="60862"/>
    <cellStyle name="Процентный 6 2 46 2 4" xfId="39502"/>
    <cellStyle name="Процентный 6 2 46 3" xfId="12798"/>
    <cellStyle name="Процентный 6 2 46 3 2" xfId="44842"/>
    <cellStyle name="Процентный 6 2 46 4" xfId="23479"/>
    <cellStyle name="Процентный 6 2 46 4 2" xfId="55522"/>
    <cellStyle name="Процентный 6 2 46 5" xfId="34162"/>
    <cellStyle name="Процентный 6 2 47" xfId="2146"/>
    <cellStyle name="Процентный 6 2 47 2" xfId="7488"/>
    <cellStyle name="Процентный 6 2 47 2 2" xfId="18168"/>
    <cellStyle name="Процентный 6 2 47 2 2 2" xfId="50212"/>
    <cellStyle name="Процентный 6 2 47 2 3" xfId="28849"/>
    <cellStyle name="Процентный 6 2 47 2 3 2" xfId="60892"/>
    <cellStyle name="Процентный 6 2 47 2 4" xfId="39532"/>
    <cellStyle name="Процентный 6 2 47 3" xfId="12828"/>
    <cellStyle name="Процентный 6 2 47 3 2" xfId="44872"/>
    <cellStyle name="Процентный 6 2 47 4" xfId="23509"/>
    <cellStyle name="Процентный 6 2 47 4 2" xfId="55552"/>
    <cellStyle name="Процентный 6 2 47 5" xfId="34192"/>
    <cellStyle name="Процентный 6 2 48" xfId="2176"/>
    <cellStyle name="Процентный 6 2 48 2" xfId="7518"/>
    <cellStyle name="Процентный 6 2 48 2 2" xfId="18198"/>
    <cellStyle name="Процентный 6 2 48 2 2 2" xfId="50242"/>
    <cellStyle name="Процентный 6 2 48 2 3" xfId="28879"/>
    <cellStyle name="Процентный 6 2 48 2 3 2" xfId="60922"/>
    <cellStyle name="Процентный 6 2 48 2 4" xfId="39562"/>
    <cellStyle name="Процентный 6 2 48 3" xfId="12858"/>
    <cellStyle name="Процентный 6 2 48 3 2" xfId="44902"/>
    <cellStyle name="Процентный 6 2 48 4" xfId="23539"/>
    <cellStyle name="Процентный 6 2 48 4 2" xfId="55582"/>
    <cellStyle name="Процентный 6 2 48 5" xfId="34222"/>
    <cellStyle name="Процентный 6 2 49" xfId="2206"/>
    <cellStyle name="Процентный 6 2 49 2" xfId="7548"/>
    <cellStyle name="Процентный 6 2 49 2 2" xfId="18228"/>
    <cellStyle name="Процентный 6 2 49 2 2 2" xfId="50272"/>
    <cellStyle name="Процентный 6 2 49 2 3" xfId="28909"/>
    <cellStyle name="Процентный 6 2 49 2 3 2" xfId="60952"/>
    <cellStyle name="Процентный 6 2 49 2 4" xfId="39592"/>
    <cellStyle name="Процентный 6 2 49 3" xfId="12888"/>
    <cellStyle name="Процентный 6 2 49 3 2" xfId="44932"/>
    <cellStyle name="Процентный 6 2 49 4" xfId="23569"/>
    <cellStyle name="Процентный 6 2 49 4 2" xfId="55612"/>
    <cellStyle name="Процентный 6 2 49 5" xfId="34252"/>
    <cellStyle name="Процентный 6 2 5" xfId="1035"/>
    <cellStyle name="Процентный 6 2 5 2" xfId="6378"/>
    <cellStyle name="Процентный 6 2 5 2 2" xfId="17058"/>
    <cellStyle name="Процентный 6 2 5 2 2 2" xfId="49102"/>
    <cellStyle name="Процентный 6 2 5 2 3" xfId="27739"/>
    <cellStyle name="Процентный 6 2 5 2 3 2" xfId="59782"/>
    <cellStyle name="Процентный 6 2 5 2 4" xfId="38422"/>
    <cellStyle name="Процентный 6 2 5 3" xfId="11718"/>
    <cellStyle name="Процентный 6 2 5 3 2" xfId="43762"/>
    <cellStyle name="Процентный 6 2 5 4" xfId="22399"/>
    <cellStyle name="Процентный 6 2 5 4 2" xfId="54442"/>
    <cellStyle name="Процентный 6 2 5 5" xfId="33082"/>
    <cellStyle name="Процентный 6 2 50" xfId="2236"/>
    <cellStyle name="Процентный 6 2 50 2" xfId="7578"/>
    <cellStyle name="Процентный 6 2 50 2 2" xfId="18258"/>
    <cellStyle name="Процентный 6 2 50 2 2 2" xfId="50302"/>
    <cellStyle name="Процентный 6 2 50 2 3" xfId="28939"/>
    <cellStyle name="Процентный 6 2 50 2 3 2" xfId="60982"/>
    <cellStyle name="Процентный 6 2 50 2 4" xfId="39622"/>
    <cellStyle name="Процентный 6 2 50 3" xfId="12918"/>
    <cellStyle name="Процентный 6 2 50 3 2" xfId="44962"/>
    <cellStyle name="Процентный 6 2 50 4" xfId="23599"/>
    <cellStyle name="Процентный 6 2 50 4 2" xfId="55642"/>
    <cellStyle name="Процентный 6 2 50 5" xfId="34282"/>
    <cellStyle name="Процентный 6 2 51" xfId="2266"/>
    <cellStyle name="Процентный 6 2 51 2" xfId="7608"/>
    <cellStyle name="Процентный 6 2 51 2 2" xfId="18288"/>
    <cellStyle name="Процентный 6 2 51 2 2 2" xfId="50332"/>
    <cellStyle name="Процентный 6 2 51 2 3" xfId="28969"/>
    <cellStyle name="Процентный 6 2 51 2 3 2" xfId="61012"/>
    <cellStyle name="Процентный 6 2 51 2 4" xfId="39652"/>
    <cellStyle name="Процентный 6 2 51 3" xfId="12948"/>
    <cellStyle name="Процентный 6 2 51 3 2" xfId="44992"/>
    <cellStyle name="Процентный 6 2 51 4" xfId="23629"/>
    <cellStyle name="Процентный 6 2 51 4 2" xfId="55672"/>
    <cellStyle name="Процентный 6 2 51 5" xfId="34312"/>
    <cellStyle name="Процентный 6 2 52" xfId="2296"/>
    <cellStyle name="Процентный 6 2 52 2" xfId="7638"/>
    <cellStyle name="Процентный 6 2 52 2 2" xfId="18318"/>
    <cellStyle name="Процентный 6 2 52 2 2 2" xfId="50362"/>
    <cellStyle name="Процентный 6 2 52 2 3" xfId="28999"/>
    <cellStyle name="Процентный 6 2 52 2 3 2" xfId="61042"/>
    <cellStyle name="Процентный 6 2 52 2 4" xfId="39682"/>
    <cellStyle name="Процентный 6 2 52 3" xfId="12978"/>
    <cellStyle name="Процентный 6 2 52 3 2" xfId="45022"/>
    <cellStyle name="Процентный 6 2 52 4" xfId="23659"/>
    <cellStyle name="Процентный 6 2 52 4 2" xfId="55702"/>
    <cellStyle name="Процентный 6 2 52 5" xfId="34342"/>
    <cellStyle name="Процентный 6 2 53" xfId="2326"/>
    <cellStyle name="Процентный 6 2 53 2" xfId="7668"/>
    <cellStyle name="Процентный 6 2 53 2 2" xfId="18348"/>
    <cellStyle name="Процентный 6 2 53 2 2 2" xfId="50392"/>
    <cellStyle name="Процентный 6 2 53 2 3" xfId="29029"/>
    <cellStyle name="Процентный 6 2 53 2 3 2" xfId="61072"/>
    <cellStyle name="Процентный 6 2 53 2 4" xfId="39712"/>
    <cellStyle name="Процентный 6 2 53 3" xfId="13008"/>
    <cellStyle name="Процентный 6 2 53 3 2" xfId="45052"/>
    <cellStyle name="Процентный 6 2 53 4" xfId="23689"/>
    <cellStyle name="Процентный 6 2 53 4 2" xfId="55732"/>
    <cellStyle name="Процентный 6 2 53 5" xfId="34372"/>
    <cellStyle name="Процентный 6 2 54" xfId="2356"/>
    <cellStyle name="Процентный 6 2 54 2" xfId="7698"/>
    <cellStyle name="Процентный 6 2 54 2 2" xfId="18378"/>
    <cellStyle name="Процентный 6 2 54 2 2 2" xfId="50422"/>
    <cellStyle name="Процентный 6 2 54 2 3" xfId="29059"/>
    <cellStyle name="Процентный 6 2 54 2 3 2" xfId="61102"/>
    <cellStyle name="Процентный 6 2 54 2 4" xfId="39742"/>
    <cellStyle name="Процентный 6 2 54 3" xfId="13038"/>
    <cellStyle name="Процентный 6 2 54 3 2" xfId="45082"/>
    <cellStyle name="Процентный 6 2 54 4" xfId="23719"/>
    <cellStyle name="Процентный 6 2 54 4 2" xfId="55762"/>
    <cellStyle name="Процентный 6 2 54 5" xfId="34402"/>
    <cellStyle name="Процентный 6 2 55" xfId="2386"/>
    <cellStyle name="Процентный 6 2 55 2" xfId="7728"/>
    <cellStyle name="Процентный 6 2 55 2 2" xfId="18408"/>
    <cellStyle name="Процентный 6 2 55 2 2 2" xfId="50452"/>
    <cellStyle name="Процентный 6 2 55 2 3" xfId="29089"/>
    <cellStyle name="Процентный 6 2 55 2 3 2" xfId="61132"/>
    <cellStyle name="Процентный 6 2 55 2 4" xfId="39772"/>
    <cellStyle name="Процентный 6 2 55 3" xfId="13068"/>
    <cellStyle name="Процентный 6 2 55 3 2" xfId="45112"/>
    <cellStyle name="Процентный 6 2 55 4" xfId="23749"/>
    <cellStyle name="Процентный 6 2 55 4 2" xfId="55792"/>
    <cellStyle name="Процентный 6 2 55 5" xfId="34432"/>
    <cellStyle name="Процентный 6 2 56" xfId="2416"/>
    <cellStyle name="Процентный 6 2 56 2" xfId="7758"/>
    <cellStyle name="Процентный 6 2 56 2 2" xfId="18438"/>
    <cellStyle name="Процентный 6 2 56 2 2 2" xfId="50482"/>
    <cellStyle name="Процентный 6 2 56 2 3" xfId="29119"/>
    <cellStyle name="Процентный 6 2 56 2 3 2" xfId="61162"/>
    <cellStyle name="Процентный 6 2 56 2 4" xfId="39802"/>
    <cellStyle name="Процентный 6 2 56 3" xfId="13098"/>
    <cellStyle name="Процентный 6 2 56 3 2" xfId="45142"/>
    <cellStyle name="Процентный 6 2 56 4" xfId="23779"/>
    <cellStyle name="Процентный 6 2 56 4 2" xfId="55822"/>
    <cellStyle name="Процентный 6 2 56 5" xfId="34462"/>
    <cellStyle name="Процентный 6 2 57" xfId="2446"/>
    <cellStyle name="Процентный 6 2 57 2" xfId="7788"/>
    <cellStyle name="Процентный 6 2 57 2 2" xfId="18468"/>
    <cellStyle name="Процентный 6 2 57 2 2 2" xfId="50512"/>
    <cellStyle name="Процентный 6 2 57 2 3" xfId="29149"/>
    <cellStyle name="Процентный 6 2 57 2 3 2" xfId="61192"/>
    <cellStyle name="Процентный 6 2 57 2 4" xfId="39832"/>
    <cellStyle name="Процентный 6 2 57 3" xfId="13128"/>
    <cellStyle name="Процентный 6 2 57 3 2" xfId="45172"/>
    <cellStyle name="Процентный 6 2 57 4" xfId="23809"/>
    <cellStyle name="Процентный 6 2 57 4 2" xfId="55852"/>
    <cellStyle name="Процентный 6 2 57 5" xfId="34492"/>
    <cellStyle name="Процентный 6 2 58" xfId="2476"/>
    <cellStyle name="Процентный 6 2 58 2" xfId="7818"/>
    <cellStyle name="Процентный 6 2 58 2 2" xfId="18498"/>
    <cellStyle name="Процентный 6 2 58 2 2 2" xfId="50542"/>
    <cellStyle name="Процентный 6 2 58 2 3" xfId="29179"/>
    <cellStyle name="Процентный 6 2 58 2 3 2" xfId="61222"/>
    <cellStyle name="Процентный 6 2 58 2 4" xfId="39862"/>
    <cellStyle name="Процентный 6 2 58 3" xfId="13158"/>
    <cellStyle name="Процентный 6 2 58 3 2" xfId="45202"/>
    <cellStyle name="Процентный 6 2 58 4" xfId="23839"/>
    <cellStyle name="Процентный 6 2 58 4 2" xfId="55882"/>
    <cellStyle name="Процентный 6 2 58 5" xfId="34522"/>
    <cellStyle name="Процентный 6 2 59" xfId="2508"/>
    <cellStyle name="Процентный 6 2 59 2" xfId="7850"/>
    <cellStyle name="Процентный 6 2 59 2 2" xfId="18530"/>
    <cellStyle name="Процентный 6 2 59 2 2 2" xfId="50574"/>
    <cellStyle name="Процентный 6 2 59 2 3" xfId="29211"/>
    <cellStyle name="Процентный 6 2 59 2 3 2" xfId="61254"/>
    <cellStyle name="Процентный 6 2 59 2 4" xfId="39894"/>
    <cellStyle name="Процентный 6 2 59 3" xfId="13190"/>
    <cellStyle name="Процентный 6 2 59 3 2" xfId="45234"/>
    <cellStyle name="Процентный 6 2 59 4" xfId="23871"/>
    <cellStyle name="Процентный 6 2 59 4 2" xfId="55914"/>
    <cellStyle name="Процентный 6 2 59 5" xfId="34554"/>
    <cellStyle name="Процентный 6 2 6" xfId="1061"/>
    <cellStyle name="Процентный 6 2 6 2" xfId="6404"/>
    <cellStyle name="Процентный 6 2 6 2 2" xfId="17084"/>
    <cellStyle name="Процентный 6 2 6 2 2 2" xfId="49128"/>
    <cellStyle name="Процентный 6 2 6 2 3" xfId="27765"/>
    <cellStyle name="Процентный 6 2 6 2 3 2" xfId="59808"/>
    <cellStyle name="Процентный 6 2 6 2 4" xfId="38448"/>
    <cellStyle name="Процентный 6 2 6 3" xfId="11744"/>
    <cellStyle name="Процентный 6 2 6 3 2" xfId="43788"/>
    <cellStyle name="Процентный 6 2 6 4" xfId="22425"/>
    <cellStyle name="Процентный 6 2 6 4 2" xfId="54468"/>
    <cellStyle name="Процентный 6 2 6 5" xfId="33108"/>
    <cellStyle name="Процентный 6 2 60" xfId="2542"/>
    <cellStyle name="Процентный 6 2 60 2" xfId="7884"/>
    <cellStyle name="Процентный 6 2 60 2 2" xfId="18564"/>
    <cellStyle name="Процентный 6 2 60 2 2 2" xfId="50608"/>
    <cellStyle name="Процентный 6 2 60 2 3" xfId="29245"/>
    <cellStyle name="Процентный 6 2 60 2 3 2" xfId="61288"/>
    <cellStyle name="Процентный 6 2 60 2 4" xfId="39928"/>
    <cellStyle name="Процентный 6 2 60 3" xfId="13224"/>
    <cellStyle name="Процентный 6 2 60 3 2" xfId="45268"/>
    <cellStyle name="Процентный 6 2 60 4" xfId="23905"/>
    <cellStyle name="Процентный 6 2 60 4 2" xfId="55948"/>
    <cellStyle name="Процентный 6 2 60 5" xfId="34588"/>
    <cellStyle name="Процентный 6 2 61" xfId="2574"/>
    <cellStyle name="Процентный 6 2 61 2" xfId="7916"/>
    <cellStyle name="Процентный 6 2 61 2 2" xfId="18596"/>
    <cellStyle name="Процентный 6 2 61 2 2 2" xfId="50640"/>
    <cellStyle name="Процентный 6 2 61 2 3" xfId="29277"/>
    <cellStyle name="Процентный 6 2 61 2 3 2" xfId="61320"/>
    <cellStyle name="Процентный 6 2 61 2 4" xfId="39960"/>
    <cellStyle name="Процентный 6 2 61 3" xfId="13256"/>
    <cellStyle name="Процентный 6 2 61 3 2" xfId="45300"/>
    <cellStyle name="Процентный 6 2 61 4" xfId="23937"/>
    <cellStyle name="Процентный 6 2 61 4 2" xfId="55980"/>
    <cellStyle name="Процентный 6 2 61 5" xfId="34620"/>
    <cellStyle name="Процентный 6 2 62" xfId="2606"/>
    <cellStyle name="Процентный 6 2 62 2" xfId="7948"/>
    <cellStyle name="Процентный 6 2 62 2 2" xfId="18628"/>
    <cellStyle name="Процентный 6 2 62 2 2 2" xfId="50672"/>
    <cellStyle name="Процентный 6 2 62 2 3" xfId="29309"/>
    <cellStyle name="Процентный 6 2 62 2 3 2" xfId="61352"/>
    <cellStyle name="Процентный 6 2 62 2 4" xfId="39992"/>
    <cellStyle name="Процентный 6 2 62 3" xfId="13288"/>
    <cellStyle name="Процентный 6 2 62 3 2" xfId="45332"/>
    <cellStyle name="Процентный 6 2 62 4" xfId="23969"/>
    <cellStyle name="Процентный 6 2 62 4 2" xfId="56012"/>
    <cellStyle name="Процентный 6 2 62 5" xfId="34652"/>
    <cellStyle name="Процентный 6 2 63" xfId="2638"/>
    <cellStyle name="Процентный 6 2 63 2" xfId="7980"/>
    <cellStyle name="Процентный 6 2 63 2 2" xfId="18660"/>
    <cellStyle name="Процентный 6 2 63 2 2 2" xfId="50704"/>
    <cellStyle name="Процентный 6 2 63 2 3" xfId="29341"/>
    <cellStyle name="Процентный 6 2 63 2 3 2" xfId="61384"/>
    <cellStyle name="Процентный 6 2 63 2 4" xfId="40024"/>
    <cellStyle name="Процентный 6 2 63 3" xfId="13320"/>
    <cellStyle name="Процентный 6 2 63 3 2" xfId="45364"/>
    <cellStyle name="Процентный 6 2 63 4" xfId="24001"/>
    <cellStyle name="Процентный 6 2 63 4 2" xfId="56044"/>
    <cellStyle name="Процентный 6 2 63 5" xfId="34684"/>
    <cellStyle name="Процентный 6 2 64" xfId="2670"/>
    <cellStyle name="Процентный 6 2 64 2" xfId="8012"/>
    <cellStyle name="Процентный 6 2 64 2 2" xfId="18692"/>
    <cellStyle name="Процентный 6 2 64 2 2 2" xfId="50736"/>
    <cellStyle name="Процентный 6 2 64 2 3" xfId="29373"/>
    <cellStyle name="Процентный 6 2 64 2 3 2" xfId="61416"/>
    <cellStyle name="Процентный 6 2 64 2 4" xfId="40056"/>
    <cellStyle name="Процентный 6 2 64 3" xfId="13352"/>
    <cellStyle name="Процентный 6 2 64 3 2" xfId="45396"/>
    <cellStyle name="Процентный 6 2 64 4" xfId="24033"/>
    <cellStyle name="Процентный 6 2 64 4 2" xfId="56076"/>
    <cellStyle name="Процентный 6 2 64 5" xfId="34716"/>
    <cellStyle name="Процентный 6 2 65" xfId="2702"/>
    <cellStyle name="Процентный 6 2 65 2" xfId="8044"/>
    <cellStyle name="Процентный 6 2 65 2 2" xfId="18724"/>
    <cellStyle name="Процентный 6 2 65 2 2 2" xfId="50768"/>
    <cellStyle name="Процентный 6 2 65 2 3" xfId="29405"/>
    <cellStyle name="Процентный 6 2 65 2 3 2" xfId="61448"/>
    <cellStyle name="Процентный 6 2 65 2 4" xfId="40088"/>
    <cellStyle name="Процентный 6 2 65 3" xfId="13384"/>
    <cellStyle name="Процентный 6 2 65 3 2" xfId="45428"/>
    <cellStyle name="Процентный 6 2 65 4" xfId="24065"/>
    <cellStyle name="Процентный 6 2 65 4 2" xfId="56108"/>
    <cellStyle name="Процентный 6 2 65 5" xfId="34748"/>
    <cellStyle name="Процентный 6 2 66" xfId="2734"/>
    <cellStyle name="Процентный 6 2 66 2" xfId="8076"/>
    <cellStyle name="Процентный 6 2 66 2 2" xfId="18756"/>
    <cellStyle name="Процентный 6 2 66 2 2 2" xfId="50800"/>
    <cellStyle name="Процентный 6 2 66 2 3" xfId="29437"/>
    <cellStyle name="Процентный 6 2 66 2 3 2" xfId="61480"/>
    <cellStyle name="Процентный 6 2 66 2 4" xfId="40120"/>
    <cellStyle name="Процентный 6 2 66 3" xfId="13416"/>
    <cellStyle name="Процентный 6 2 66 3 2" xfId="45460"/>
    <cellStyle name="Процентный 6 2 66 4" xfId="24097"/>
    <cellStyle name="Процентный 6 2 66 4 2" xfId="56140"/>
    <cellStyle name="Процентный 6 2 66 5" xfId="34780"/>
    <cellStyle name="Процентный 6 2 67" xfId="2768"/>
    <cellStyle name="Процентный 6 2 67 2" xfId="8110"/>
    <cellStyle name="Процентный 6 2 67 2 2" xfId="18790"/>
    <cellStyle name="Процентный 6 2 67 2 2 2" xfId="50834"/>
    <cellStyle name="Процентный 6 2 67 2 3" xfId="29471"/>
    <cellStyle name="Процентный 6 2 67 2 3 2" xfId="61514"/>
    <cellStyle name="Процентный 6 2 67 2 4" xfId="40154"/>
    <cellStyle name="Процентный 6 2 67 3" xfId="13450"/>
    <cellStyle name="Процентный 6 2 67 3 2" xfId="45494"/>
    <cellStyle name="Процентный 6 2 67 4" xfId="24131"/>
    <cellStyle name="Процентный 6 2 67 4 2" xfId="56174"/>
    <cellStyle name="Процентный 6 2 67 5" xfId="34814"/>
    <cellStyle name="Процентный 6 2 68" xfId="2800"/>
    <cellStyle name="Процентный 6 2 68 2" xfId="8142"/>
    <cellStyle name="Процентный 6 2 68 2 2" xfId="18822"/>
    <cellStyle name="Процентный 6 2 68 2 2 2" xfId="50866"/>
    <cellStyle name="Процентный 6 2 68 2 3" xfId="29503"/>
    <cellStyle name="Процентный 6 2 68 2 3 2" xfId="61546"/>
    <cellStyle name="Процентный 6 2 68 2 4" xfId="40186"/>
    <cellStyle name="Процентный 6 2 68 3" xfId="13482"/>
    <cellStyle name="Процентный 6 2 68 3 2" xfId="45526"/>
    <cellStyle name="Процентный 6 2 68 4" xfId="24163"/>
    <cellStyle name="Процентный 6 2 68 4 2" xfId="56206"/>
    <cellStyle name="Процентный 6 2 68 5" xfId="34846"/>
    <cellStyle name="Процентный 6 2 69" xfId="2832"/>
    <cellStyle name="Процентный 6 2 69 2" xfId="8174"/>
    <cellStyle name="Процентный 6 2 69 2 2" xfId="18854"/>
    <cellStyle name="Процентный 6 2 69 2 2 2" xfId="50898"/>
    <cellStyle name="Процентный 6 2 69 2 3" xfId="29535"/>
    <cellStyle name="Процентный 6 2 69 2 3 2" xfId="61578"/>
    <cellStyle name="Процентный 6 2 69 2 4" xfId="40218"/>
    <cellStyle name="Процентный 6 2 69 3" xfId="13514"/>
    <cellStyle name="Процентный 6 2 69 3 2" xfId="45558"/>
    <cellStyle name="Процентный 6 2 69 4" xfId="24195"/>
    <cellStyle name="Процентный 6 2 69 4 2" xfId="56238"/>
    <cellStyle name="Процентный 6 2 69 5" xfId="34878"/>
    <cellStyle name="Процентный 6 2 7" xfId="1087"/>
    <cellStyle name="Процентный 6 2 7 2" xfId="6430"/>
    <cellStyle name="Процентный 6 2 7 2 2" xfId="17110"/>
    <cellStyle name="Процентный 6 2 7 2 2 2" xfId="49154"/>
    <cellStyle name="Процентный 6 2 7 2 3" xfId="27791"/>
    <cellStyle name="Процентный 6 2 7 2 3 2" xfId="59834"/>
    <cellStyle name="Процентный 6 2 7 2 4" xfId="38474"/>
    <cellStyle name="Процентный 6 2 7 3" xfId="11770"/>
    <cellStyle name="Процентный 6 2 7 3 2" xfId="43814"/>
    <cellStyle name="Процентный 6 2 7 4" xfId="22451"/>
    <cellStyle name="Процентный 6 2 7 4 2" xfId="54494"/>
    <cellStyle name="Процентный 6 2 7 5" xfId="33134"/>
    <cellStyle name="Процентный 6 2 70" xfId="2864"/>
    <cellStyle name="Процентный 6 2 70 2" xfId="8206"/>
    <cellStyle name="Процентный 6 2 70 2 2" xfId="18886"/>
    <cellStyle name="Процентный 6 2 70 2 2 2" xfId="50930"/>
    <cellStyle name="Процентный 6 2 70 2 3" xfId="29567"/>
    <cellStyle name="Процентный 6 2 70 2 3 2" xfId="61610"/>
    <cellStyle name="Процентный 6 2 70 2 4" xfId="40250"/>
    <cellStyle name="Процентный 6 2 70 3" xfId="13546"/>
    <cellStyle name="Процентный 6 2 70 3 2" xfId="45590"/>
    <cellStyle name="Процентный 6 2 70 4" xfId="24227"/>
    <cellStyle name="Процентный 6 2 70 4 2" xfId="56270"/>
    <cellStyle name="Процентный 6 2 70 5" xfId="34910"/>
    <cellStyle name="Процентный 6 2 71" xfId="2896"/>
    <cellStyle name="Процентный 6 2 71 2" xfId="8238"/>
    <cellStyle name="Процентный 6 2 71 2 2" xfId="18918"/>
    <cellStyle name="Процентный 6 2 71 2 2 2" xfId="50962"/>
    <cellStyle name="Процентный 6 2 71 2 3" xfId="29599"/>
    <cellStyle name="Процентный 6 2 71 2 3 2" xfId="61642"/>
    <cellStyle name="Процентный 6 2 71 2 4" xfId="40282"/>
    <cellStyle name="Процентный 6 2 71 3" xfId="13578"/>
    <cellStyle name="Процентный 6 2 71 3 2" xfId="45622"/>
    <cellStyle name="Процентный 6 2 71 4" xfId="24259"/>
    <cellStyle name="Процентный 6 2 71 4 2" xfId="56302"/>
    <cellStyle name="Процентный 6 2 71 5" xfId="34942"/>
    <cellStyle name="Процентный 6 2 72" xfId="2928"/>
    <cellStyle name="Процентный 6 2 72 2" xfId="8270"/>
    <cellStyle name="Процентный 6 2 72 2 2" xfId="18950"/>
    <cellStyle name="Процентный 6 2 72 2 2 2" xfId="50994"/>
    <cellStyle name="Процентный 6 2 72 2 3" xfId="29631"/>
    <cellStyle name="Процентный 6 2 72 2 3 2" xfId="61674"/>
    <cellStyle name="Процентный 6 2 72 2 4" xfId="40314"/>
    <cellStyle name="Процентный 6 2 72 3" xfId="13610"/>
    <cellStyle name="Процентный 6 2 72 3 2" xfId="45654"/>
    <cellStyle name="Процентный 6 2 72 4" xfId="24291"/>
    <cellStyle name="Процентный 6 2 72 4 2" xfId="56334"/>
    <cellStyle name="Процентный 6 2 72 5" xfId="34974"/>
    <cellStyle name="Процентный 6 2 73" xfId="2960"/>
    <cellStyle name="Процентный 6 2 73 2" xfId="8302"/>
    <cellStyle name="Процентный 6 2 73 2 2" xfId="18982"/>
    <cellStyle name="Процентный 6 2 73 2 2 2" xfId="51026"/>
    <cellStyle name="Процентный 6 2 73 2 3" xfId="29663"/>
    <cellStyle name="Процентный 6 2 73 2 3 2" xfId="61706"/>
    <cellStyle name="Процентный 6 2 73 2 4" xfId="40346"/>
    <cellStyle name="Процентный 6 2 73 3" xfId="13642"/>
    <cellStyle name="Процентный 6 2 73 3 2" xfId="45686"/>
    <cellStyle name="Процентный 6 2 73 4" xfId="24323"/>
    <cellStyle name="Процентный 6 2 73 4 2" xfId="56366"/>
    <cellStyle name="Процентный 6 2 73 5" xfId="35006"/>
    <cellStyle name="Процентный 6 2 74" xfId="2992"/>
    <cellStyle name="Процентный 6 2 74 2" xfId="8334"/>
    <cellStyle name="Процентный 6 2 74 2 2" xfId="19014"/>
    <cellStyle name="Процентный 6 2 74 2 2 2" xfId="51058"/>
    <cellStyle name="Процентный 6 2 74 2 3" xfId="29695"/>
    <cellStyle name="Процентный 6 2 74 2 3 2" xfId="61738"/>
    <cellStyle name="Процентный 6 2 74 2 4" xfId="40378"/>
    <cellStyle name="Процентный 6 2 74 3" xfId="13674"/>
    <cellStyle name="Процентный 6 2 74 3 2" xfId="45718"/>
    <cellStyle name="Процентный 6 2 74 4" xfId="24355"/>
    <cellStyle name="Процентный 6 2 74 4 2" xfId="56398"/>
    <cellStyle name="Процентный 6 2 74 5" xfId="35038"/>
    <cellStyle name="Процентный 6 2 75" xfId="3024"/>
    <cellStyle name="Процентный 6 2 75 2" xfId="8366"/>
    <cellStyle name="Процентный 6 2 75 2 2" xfId="19046"/>
    <cellStyle name="Процентный 6 2 75 2 2 2" xfId="51090"/>
    <cellStyle name="Процентный 6 2 75 2 3" xfId="29727"/>
    <cellStyle name="Процентный 6 2 75 2 3 2" xfId="61770"/>
    <cellStyle name="Процентный 6 2 75 2 4" xfId="40410"/>
    <cellStyle name="Процентный 6 2 75 3" xfId="13706"/>
    <cellStyle name="Процентный 6 2 75 3 2" xfId="45750"/>
    <cellStyle name="Процентный 6 2 75 4" xfId="24387"/>
    <cellStyle name="Процентный 6 2 75 4 2" xfId="56430"/>
    <cellStyle name="Процентный 6 2 75 5" xfId="35070"/>
    <cellStyle name="Процентный 6 2 76" xfId="3056"/>
    <cellStyle name="Процентный 6 2 76 2" xfId="8398"/>
    <cellStyle name="Процентный 6 2 76 2 2" xfId="19078"/>
    <cellStyle name="Процентный 6 2 76 2 2 2" xfId="51122"/>
    <cellStyle name="Процентный 6 2 76 2 3" xfId="29759"/>
    <cellStyle name="Процентный 6 2 76 2 3 2" xfId="61802"/>
    <cellStyle name="Процентный 6 2 76 2 4" xfId="40442"/>
    <cellStyle name="Процентный 6 2 76 3" xfId="13738"/>
    <cellStyle name="Процентный 6 2 76 3 2" xfId="45782"/>
    <cellStyle name="Процентный 6 2 76 4" xfId="24419"/>
    <cellStyle name="Процентный 6 2 76 4 2" xfId="56462"/>
    <cellStyle name="Процентный 6 2 76 5" xfId="35102"/>
    <cellStyle name="Процентный 6 2 77" xfId="3088"/>
    <cellStyle name="Процентный 6 2 77 2" xfId="8430"/>
    <cellStyle name="Процентный 6 2 77 2 2" xfId="19110"/>
    <cellStyle name="Процентный 6 2 77 2 2 2" xfId="51154"/>
    <cellStyle name="Процентный 6 2 77 2 3" xfId="29791"/>
    <cellStyle name="Процентный 6 2 77 2 3 2" xfId="61834"/>
    <cellStyle name="Процентный 6 2 77 2 4" xfId="40474"/>
    <cellStyle name="Процентный 6 2 77 3" xfId="13770"/>
    <cellStyle name="Процентный 6 2 77 3 2" xfId="45814"/>
    <cellStyle name="Процентный 6 2 77 4" xfId="24451"/>
    <cellStyle name="Процентный 6 2 77 4 2" xfId="56494"/>
    <cellStyle name="Процентный 6 2 77 5" xfId="35134"/>
    <cellStyle name="Процентный 6 2 78" xfId="3121"/>
    <cellStyle name="Процентный 6 2 78 2" xfId="8462"/>
    <cellStyle name="Процентный 6 2 78 2 2" xfId="19142"/>
    <cellStyle name="Процентный 6 2 78 2 2 2" xfId="51186"/>
    <cellStyle name="Процентный 6 2 78 2 3" xfId="29823"/>
    <cellStyle name="Процентный 6 2 78 2 3 2" xfId="61866"/>
    <cellStyle name="Процентный 6 2 78 2 4" xfId="40506"/>
    <cellStyle name="Процентный 6 2 78 3" xfId="13802"/>
    <cellStyle name="Процентный 6 2 78 3 2" xfId="45846"/>
    <cellStyle name="Процентный 6 2 78 4" xfId="24483"/>
    <cellStyle name="Процентный 6 2 78 4 2" xfId="56526"/>
    <cellStyle name="Процентный 6 2 78 5" xfId="35166"/>
    <cellStyle name="Процентный 6 2 79" xfId="3153"/>
    <cellStyle name="Процентный 6 2 79 2" xfId="8494"/>
    <cellStyle name="Процентный 6 2 79 2 2" xfId="19174"/>
    <cellStyle name="Процентный 6 2 79 2 2 2" xfId="51218"/>
    <cellStyle name="Процентный 6 2 79 2 3" xfId="29855"/>
    <cellStyle name="Процентный 6 2 79 2 3 2" xfId="61898"/>
    <cellStyle name="Процентный 6 2 79 2 4" xfId="40538"/>
    <cellStyle name="Процентный 6 2 79 3" xfId="13834"/>
    <cellStyle name="Процентный 6 2 79 3 2" xfId="45878"/>
    <cellStyle name="Процентный 6 2 79 4" xfId="24515"/>
    <cellStyle name="Процентный 6 2 79 4 2" xfId="56558"/>
    <cellStyle name="Процентный 6 2 79 5" xfId="35198"/>
    <cellStyle name="Процентный 6 2 8" xfId="1113"/>
    <cellStyle name="Процентный 6 2 8 2" xfId="6456"/>
    <cellStyle name="Процентный 6 2 8 2 2" xfId="17136"/>
    <cellStyle name="Процентный 6 2 8 2 2 2" xfId="49180"/>
    <cellStyle name="Процентный 6 2 8 2 3" xfId="27817"/>
    <cellStyle name="Процентный 6 2 8 2 3 2" xfId="59860"/>
    <cellStyle name="Процентный 6 2 8 2 4" xfId="38500"/>
    <cellStyle name="Процентный 6 2 8 3" xfId="11796"/>
    <cellStyle name="Процентный 6 2 8 3 2" xfId="43840"/>
    <cellStyle name="Процентный 6 2 8 4" xfId="22477"/>
    <cellStyle name="Процентный 6 2 8 4 2" xfId="54520"/>
    <cellStyle name="Процентный 6 2 8 5" xfId="33160"/>
    <cellStyle name="Процентный 6 2 80" xfId="3185"/>
    <cellStyle name="Процентный 6 2 80 2" xfId="8526"/>
    <cellStyle name="Процентный 6 2 80 2 2" xfId="19206"/>
    <cellStyle name="Процентный 6 2 80 2 2 2" xfId="51250"/>
    <cellStyle name="Процентный 6 2 80 2 3" xfId="29887"/>
    <cellStyle name="Процентный 6 2 80 2 3 2" xfId="61930"/>
    <cellStyle name="Процентный 6 2 80 2 4" xfId="40570"/>
    <cellStyle name="Процентный 6 2 80 3" xfId="13866"/>
    <cellStyle name="Процентный 6 2 80 3 2" xfId="45910"/>
    <cellStyle name="Процентный 6 2 80 4" xfId="24547"/>
    <cellStyle name="Процентный 6 2 80 4 2" xfId="56590"/>
    <cellStyle name="Процентный 6 2 80 5" xfId="35230"/>
    <cellStyle name="Процентный 6 2 81" xfId="3217"/>
    <cellStyle name="Процентный 6 2 81 2" xfId="8558"/>
    <cellStyle name="Процентный 6 2 81 2 2" xfId="19238"/>
    <cellStyle name="Процентный 6 2 81 2 2 2" xfId="51282"/>
    <cellStyle name="Процентный 6 2 81 2 3" xfId="29919"/>
    <cellStyle name="Процентный 6 2 81 2 3 2" xfId="61962"/>
    <cellStyle name="Процентный 6 2 81 2 4" xfId="40602"/>
    <cellStyle name="Процентный 6 2 81 3" xfId="13898"/>
    <cellStyle name="Процентный 6 2 81 3 2" xfId="45942"/>
    <cellStyle name="Процентный 6 2 81 4" xfId="24579"/>
    <cellStyle name="Процентный 6 2 81 4 2" xfId="56622"/>
    <cellStyle name="Процентный 6 2 81 5" xfId="35262"/>
    <cellStyle name="Процентный 6 2 82" xfId="3249"/>
    <cellStyle name="Процентный 6 2 82 2" xfId="8590"/>
    <cellStyle name="Процентный 6 2 82 2 2" xfId="19270"/>
    <cellStyle name="Процентный 6 2 82 2 2 2" xfId="51314"/>
    <cellStyle name="Процентный 6 2 82 2 3" xfId="29951"/>
    <cellStyle name="Процентный 6 2 82 2 3 2" xfId="61994"/>
    <cellStyle name="Процентный 6 2 82 2 4" xfId="40634"/>
    <cellStyle name="Процентный 6 2 82 3" xfId="13930"/>
    <cellStyle name="Процентный 6 2 82 3 2" xfId="45974"/>
    <cellStyle name="Процентный 6 2 82 4" xfId="24611"/>
    <cellStyle name="Процентный 6 2 82 4 2" xfId="56654"/>
    <cellStyle name="Процентный 6 2 82 5" xfId="35294"/>
    <cellStyle name="Процентный 6 2 83" xfId="3281"/>
    <cellStyle name="Процентный 6 2 83 2" xfId="8622"/>
    <cellStyle name="Процентный 6 2 83 2 2" xfId="19302"/>
    <cellStyle name="Процентный 6 2 83 2 2 2" xfId="51346"/>
    <cellStyle name="Процентный 6 2 83 2 3" xfId="29983"/>
    <cellStyle name="Процентный 6 2 83 2 3 2" xfId="62026"/>
    <cellStyle name="Процентный 6 2 83 2 4" xfId="40666"/>
    <cellStyle name="Процентный 6 2 83 3" xfId="13962"/>
    <cellStyle name="Процентный 6 2 83 3 2" xfId="46006"/>
    <cellStyle name="Процентный 6 2 83 4" xfId="24643"/>
    <cellStyle name="Процентный 6 2 83 4 2" xfId="56686"/>
    <cellStyle name="Процентный 6 2 83 5" xfId="35326"/>
    <cellStyle name="Процентный 6 2 84" xfId="3313"/>
    <cellStyle name="Процентный 6 2 84 2" xfId="8654"/>
    <cellStyle name="Процентный 6 2 84 2 2" xfId="19334"/>
    <cellStyle name="Процентный 6 2 84 2 2 2" xfId="51378"/>
    <cellStyle name="Процентный 6 2 84 2 3" xfId="30015"/>
    <cellStyle name="Процентный 6 2 84 2 3 2" xfId="62058"/>
    <cellStyle name="Процентный 6 2 84 2 4" xfId="40698"/>
    <cellStyle name="Процентный 6 2 84 3" xfId="13994"/>
    <cellStyle name="Процентный 6 2 84 3 2" xfId="46038"/>
    <cellStyle name="Процентный 6 2 84 4" xfId="24675"/>
    <cellStyle name="Процентный 6 2 84 4 2" xfId="56718"/>
    <cellStyle name="Процентный 6 2 84 5" xfId="35358"/>
    <cellStyle name="Процентный 6 2 85" xfId="3345"/>
    <cellStyle name="Процентный 6 2 85 2" xfId="8686"/>
    <cellStyle name="Процентный 6 2 85 2 2" xfId="19366"/>
    <cellStyle name="Процентный 6 2 85 2 2 2" xfId="51410"/>
    <cellStyle name="Процентный 6 2 85 2 3" xfId="30047"/>
    <cellStyle name="Процентный 6 2 85 2 3 2" xfId="62090"/>
    <cellStyle name="Процентный 6 2 85 2 4" xfId="40730"/>
    <cellStyle name="Процентный 6 2 85 3" xfId="14026"/>
    <cellStyle name="Процентный 6 2 85 3 2" xfId="46070"/>
    <cellStyle name="Процентный 6 2 85 4" xfId="24707"/>
    <cellStyle name="Процентный 6 2 85 4 2" xfId="56750"/>
    <cellStyle name="Процентный 6 2 85 5" xfId="35390"/>
    <cellStyle name="Процентный 6 2 86" xfId="3377"/>
    <cellStyle name="Процентный 6 2 86 2" xfId="8718"/>
    <cellStyle name="Процентный 6 2 86 2 2" xfId="19398"/>
    <cellStyle name="Процентный 6 2 86 2 2 2" xfId="51442"/>
    <cellStyle name="Процентный 6 2 86 2 3" xfId="30079"/>
    <cellStyle name="Процентный 6 2 86 2 3 2" xfId="62122"/>
    <cellStyle name="Процентный 6 2 86 2 4" xfId="40762"/>
    <cellStyle name="Процентный 6 2 86 3" xfId="14058"/>
    <cellStyle name="Процентный 6 2 86 3 2" xfId="46102"/>
    <cellStyle name="Процентный 6 2 86 4" xfId="24739"/>
    <cellStyle name="Процентный 6 2 86 4 2" xfId="56782"/>
    <cellStyle name="Процентный 6 2 86 5" xfId="35422"/>
    <cellStyle name="Процентный 6 2 87" xfId="3409"/>
    <cellStyle name="Процентный 6 2 87 2" xfId="8750"/>
    <cellStyle name="Процентный 6 2 87 2 2" xfId="19430"/>
    <cellStyle name="Процентный 6 2 87 2 2 2" xfId="51474"/>
    <cellStyle name="Процентный 6 2 87 2 3" xfId="30111"/>
    <cellStyle name="Процентный 6 2 87 2 3 2" xfId="62154"/>
    <cellStyle name="Процентный 6 2 87 2 4" xfId="40794"/>
    <cellStyle name="Процентный 6 2 87 3" xfId="14090"/>
    <cellStyle name="Процентный 6 2 87 3 2" xfId="46134"/>
    <cellStyle name="Процентный 6 2 87 4" xfId="24771"/>
    <cellStyle name="Процентный 6 2 87 4 2" xfId="56814"/>
    <cellStyle name="Процентный 6 2 87 5" xfId="35454"/>
    <cellStyle name="Процентный 6 2 88" xfId="3441"/>
    <cellStyle name="Процентный 6 2 88 2" xfId="8782"/>
    <cellStyle name="Процентный 6 2 88 2 2" xfId="19462"/>
    <cellStyle name="Процентный 6 2 88 2 2 2" xfId="51506"/>
    <cellStyle name="Процентный 6 2 88 2 3" xfId="30143"/>
    <cellStyle name="Процентный 6 2 88 2 3 2" xfId="62186"/>
    <cellStyle name="Процентный 6 2 88 2 4" xfId="40826"/>
    <cellStyle name="Процентный 6 2 88 3" xfId="14122"/>
    <cellStyle name="Процентный 6 2 88 3 2" xfId="46166"/>
    <cellStyle name="Процентный 6 2 88 4" xfId="24803"/>
    <cellStyle name="Процентный 6 2 88 4 2" xfId="56846"/>
    <cellStyle name="Процентный 6 2 88 5" xfId="35486"/>
    <cellStyle name="Процентный 6 2 89" xfId="3473"/>
    <cellStyle name="Процентный 6 2 89 2" xfId="8814"/>
    <cellStyle name="Процентный 6 2 89 2 2" xfId="19494"/>
    <cellStyle name="Процентный 6 2 89 2 2 2" xfId="51538"/>
    <cellStyle name="Процентный 6 2 89 2 3" xfId="30175"/>
    <cellStyle name="Процентный 6 2 89 2 3 2" xfId="62218"/>
    <cellStyle name="Процентный 6 2 89 2 4" xfId="40858"/>
    <cellStyle name="Процентный 6 2 89 3" xfId="14154"/>
    <cellStyle name="Процентный 6 2 89 3 2" xfId="46198"/>
    <cellStyle name="Процентный 6 2 89 4" xfId="24835"/>
    <cellStyle name="Процентный 6 2 89 4 2" xfId="56878"/>
    <cellStyle name="Процентный 6 2 89 5" xfId="35518"/>
    <cellStyle name="Процентный 6 2 9" xfId="1139"/>
    <cellStyle name="Процентный 6 2 9 2" xfId="6482"/>
    <cellStyle name="Процентный 6 2 9 2 2" xfId="17162"/>
    <cellStyle name="Процентный 6 2 9 2 2 2" xfId="49206"/>
    <cellStyle name="Процентный 6 2 9 2 3" xfId="27843"/>
    <cellStyle name="Процентный 6 2 9 2 3 2" xfId="59886"/>
    <cellStyle name="Процентный 6 2 9 2 4" xfId="38526"/>
    <cellStyle name="Процентный 6 2 9 3" xfId="11822"/>
    <cellStyle name="Процентный 6 2 9 3 2" xfId="43866"/>
    <cellStyle name="Процентный 6 2 9 4" xfId="22503"/>
    <cellStyle name="Процентный 6 2 9 4 2" xfId="54546"/>
    <cellStyle name="Процентный 6 2 9 5" xfId="33186"/>
    <cellStyle name="Процентный 6 2 90" xfId="3505"/>
    <cellStyle name="Процентный 6 2 90 2" xfId="8846"/>
    <cellStyle name="Процентный 6 2 90 2 2" xfId="19526"/>
    <cellStyle name="Процентный 6 2 90 2 2 2" xfId="51570"/>
    <cellStyle name="Процентный 6 2 90 2 3" xfId="30207"/>
    <cellStyle name="Процентный 6 2 90 2 3 2" xfId="62250"/>
    <cellStyle name="Процентный 6 2 90 2 4" xfId="40890"/>
    <cellStyle name="Процентный 6 2 90 3" xfId="14186"/>
    <cellStyle name="Процентный 6 2 90 3 2" xfId="46230"/>
    <cellStyle name="Процентный 6 2 90 4" xfId="24867"/>
    <cellStyle name="Процентный 6 2 90 4 2" xfId="56910"/>
    <cellStyle name="Процентный 6 2 90 5" xfId="35550"/>
    <cellStyle name="Процентный 6 2 91" xfId="3537"/>
    <cellStyle name="Процентный 6 2 91 2" xfId="8878"/>
    <cellStyle name="Процентный 6 2 91 2 2" xfId="19558"/>
    <cellStyle name="Процентный 6 2 91 2 2 2" xfId="51602"/>
    <cellStyle name="Процентный 6 2 91 2 3" xfId="30239"/>
    <cellStyle name="Процентный 6 2 91 2 3 2" xfId="62282"/>
    <cellStyle name="Процентный 6 2 91 2 4" xfId="40922"/>
    <cellStyle name="Процентный 6 2 91 3" xfId="14218"/>
    <cellStyle name="Процентный 6 2 91 3 2" xfId="46262"/>
    <cellStyle name="Процентный 6 2 91 4" xfId="24899"/>
    <cellStyle name="Процентный 6 2 91 4 2" xfId="56942"/>
    <cellStyle name="Процентный 6 2 91 5" xfId="35582"/>
    <cellStyle name="Процентный 6 2 92" xfId="3569"/>
    <cellStyle name="Процентный 6 2 92 2" xfId="8910"/>
    <cellStyle name="Процентный 6 2 92 2 2" xfId="19590"/>
    <cellStyle name="Процентный 6 2 92 2 2 2" xfId="51634"/>
    <cellStyle name="Процентный 6 2 92 2 3" xfId="30271"/>
    <cellStyle name="Процентный 6 2 92 2 3 2" xfId="62314"/>
    <cellStyle name="Процентный 6 2 92 2 4" xfId="40954"/>
    <cellStyle name="Процентный 6 2 92 3" xfId="14250"/>
    <cellStyle name="Процентный 6 2 92 3 2" xfId="46294"/>
    <cellStyle name="Процентный 6 2 92 4" xfId="24931"/>
    <cellStyle name="Процентный 6 2 92 4 2" xfId="56974"/>
    <cellStyle name="Процентный 6 2 92 5" xfId="35614"/>
    <cellStyle name="Процентный 6 2 93" xfId="3601"/>
    <cellStyle name="Процентный 6 2 93 2" xfId="8942"/>
    <cellStyle name="Процентный 6 2 93 2 2" xfId="19622"/>
    <cellStyle name="Процентный 6 2 93 2 2 2" xfId="51666"/>
    <cellStyle name="Процентный 6 2 93 2 3" xfId="30303"/>
    <cellStyle name="Процентный 6 2 93 2 3 2" xfId="62346"/>
    <cellStyle name="Процентный 6 2 93 2 4" xfId="40986"/>
    <cellStyle name="Процентный 6 2 93 3" xfId="14282"/>
    <cellStyle name="Процентный 6 2 93 3 2" xfId="46326"/>
    <cellStyle name="Процентный 6 2 93 4" xfId="24963"/>
    <cellStyle name="Процентный 6 2 93 4 2" xfId="57006"/>
    <cellStyle name="Процентный 6 2 93 5" xfId="35646"/>
    <cellStyle name="Процентный 6 2 94" xfId="3633"/>
    <cellStyle name="Процентный 6 2 94 2" xfId="8974"/>
    <cellStyle name="Процентный 6 2 94 2 2" xfId="19654"/>
    <cellStyle name="Процентный 6 2 94 2 2 2" xfId="51698"/>
    <cellStyle name="Процентный 6 2 94 2 3" xfId="30335"/>
    <cellStyle name="Процентный 6 2 94 2 3 2" xfId="62378"/>
    <cellStyle name="Процентный 6 2 94 2 4" xfId="41018"/>
    <cellStyle name="Процентный 6 2 94 3" xfId="14314"/>
    <cellStyle name="Процентный 6 2 94 3 2" xfId="46358"/>
    <cellStyle name="Процентный 6 2 94 4" xfId="24995"/>
    <cellStyle name="Процентный 6 2 94 4 2" xfId="57038"/>
    <cellStyle name="Процентный 6 2 94 5" xfId="35678"/>
    <cellStyle name="Процентный 6 2 95" xfId="3665"/>
    <cellStyle name="Процентный 6 2 95 2" xfId="9006"/>
    <cellStyle name="Процентный 6 2 95 2 2" xfId="19686"/>
    <cellStyle name="Процентный 6 2 95 2 2 2" xfId="51730"/>
    <cellStyle name="Процентный 6 2 95 2 3" xfId="30367"/>
    <cellStyle name="Процентный 6 2 95 2 3 2" xfId="62410"/>
    <cellStyle name="Процентный 6 2 95 2 4" xfId="41050"/>
    <cellStyle name="Процентный 6 2 95 3" xfId="14346"/>
    <cellStyle name="Процентный 6 2 95 3 2" xfId="46390"/>
    <cellStyle name="Процентный 6 2 95 4" xfId="25027"/>
    <cellStyle name="Процентный 6 2 95 4 2" xfId="57070"/>
    <cellStyle name="Процентный 6 2 95 5" xfId="35710"/>
    <cellStyle name="Процентный 6 2 96" xfId="3697"/>
    <cellStyle name="Процентный 6 2 96 2" xfId="9038"/>
    <cellStyle name="Процентный 6 2 96 2 2" xfId="19718"/>
    <cellStyle name="Процентный 6 2 96 2 2 2" xfId="51762"/>
    <cellStyle name="Процентный 6 2 96 2 3" xfId="30399"/>
    <cellStyle name="Процентный 6 2 96 2 3 2" xfId="62442"/>
    <cellStyle name="Процентный 6 2 96 2 4" xfId="41082"/>
    <cellStyle name="Процентный 6 2 96 3" xfId="14378"/>
    <cellStyle name="Процентный 6 2 96 3 2" xfId="46422"/>
    <cellStyle name="Процентный 6 2 96 4" xfId="25059"/>
    <cellStyle name="Процентный 6 2 96 4 2" xfId="57102"/>
    <cellStyle name="Процентный 6 2 96 5" xfId="35742"/>
    <cellStyle name="Процентный 6 2 97" xfId="3729"/>
    <cellStyle name="Процентный 6 2 97 2" xfId="9070"/>
    <cellStyle name="Процентный 6 2 97 2 2" xfId="19750"/>
    <cellStyle name="Процентный 6 2 97 2 2 2" xfId="51794"/>
    <cellStyle name="Процентный 6 2 97 2 3" xfId="30431"/>
    <cellStyle name="Процентный 6 2 97 2 3 2" xfId="62474"/>
    <cellStyle name="Процентный 6 2 97 2 4" xfId="41114"/>
    <cellStyle name="Процентный 6 2 97 3" xfId="14410"/>
    <cellStyle name="Процентный 6 2 97 3 2" xfId="46454"/>
    <cellStyle name="Процентный 6 2 97 4" xfId="25091"/>
    <cellStyle name="Процентный 6 2 97 4 2" xfId="57134"/>
    <cellStyle name="Процентный 6 2 97 5" xfId="35774"/>
    <cellStyle name="Процентный 6 2 98" xfId="3761"/>
    <cellStyle name="Процентный 6 2 98 2" xfId="9102"/>
    <cellStyle name="Процентный 6 2 98 2 2" xfId="19782"/>
    <cellStyle name="Процентный 6 2 98 2 2 2" xfId="51826"/>
    <cellStyle name="Процентный 6 2 98 2 3" xfId="30463"/>
    <cellStyle name="Процентный 6 2 98 2 3 2" xfId="62506"/>
    <cellStyle name="Процентный 6 2 98 2 4" xfId="41146"/>
    <cellStyle name="Процентный 6 2 98 3" xfId="14442"/>
    <cellStyle name="Процентный 6 2 98 3 2" xfId="46486"/>
    <cellStyle name="Процентный 6 2 98 4" xfId="25123"/>
    <cellStyle name="Процентный 6 2 98 4 2" xfId="57166"/>
    <cellStyle name="Процентный 6 2 98 5" xfId="35806"/>
    <cellStyle name="Процентный 6 2 99" xfId="3793"/>
    <cellStyle name="Процентный 6 2 99 2" xfId="9134"/>
    <cellStyle name="Процентный 6 2 99 2 2" xfId="19814"/>
    <cellStyle name="Процентный 6 2 99 2 2 2" xfId="51858"/>
    <cellStyle name="Процентный 6 2 99 2 3" xfId="30495"/>
    <cellStyle name="Процентный 6 2 99 2 3 2" xfId="62538"/>
    <cellStyle name="Процентный 6 2 99 2 4" xfId="41178"/>
    <cellStyle name="Процентный 6 2 99 3" xfId="14474"/>
    <cellStyle name="Процентный 6 2 99 3 2" xfId="46518"/>
    <cellStyle name="Процентный 6 2 99 4" xfId="25155"/>
    <cellStyle name="Процентный 6 2 99 4 2" xfId="57198"/>
    <cellStyle name="Процентный 6 2 99 5" xfId="35838"/>
    <cellStyle name="Процентный 6 20" xfId="289"/>
    <cellStyle name="Процентный 6 20 2" xfId="757"/>
    <cellStyle name="Процентный 6 20 2 2" xfId="6100"/>
    <cellStyle name="Процентный 6 20 2 2 2" xfId="16780"/>
    <cellStyle name="Процентный 6 20 2 2 2 2" xfId="48824"/>
    <cellStyle name="Процентный 6 20 2 2 3" xfId="27461"/>
    <cellStyle name="Процентный 6 20 2 2 3 2" xfId="59504"/>
    <cellStyle name="Процентный 6 20 2 2 4" xfId="38144"/>
    <cellStyle name="Процентный 6 20 2 3" xfId="11440"/>
    <cellStyle name="Процентный 6 20 2 3 2" xfId="43484"/>
    <cellStyle name="Процентный 6 20 2 4" xfId="22121"/>
    <cellStyle name="Процентный 6 20 2 4 2" xfId="54164"/>
    <cellStyle name="Процентный 6 20 2 5" xfId="32804"/>
    <cellStyle name="Процентный 6 20 3" xfId="5633"/>
    <cellStyle name="Процентный 6 20 3 2" xfId="16313"/>
    <cellStyle name="Процентный 6 20 3 2 2" xfId="48357"/>
    <cellStyle name="Процентный 6 20 3 3" xfId="26994"/>
    <cellStyle name="Процентный 6 20 3 3 2" xfId="59037"/>
    <cellStyle name="Процентный 6 20 3 4" xfId="37677"/>
    <cellStyle name="Процентный 6 20 4" xfId="10973"/>
    <cellStyle name="Процентный 6 20 4 2" xfId="43017"/>
    <cellStyle name="Процентный 6 20 5" xfId="21654"/>
    <cellStyle name="Процентный 6 20 5 2" xfId="53697"/>
    <cellStyle name="Процентный 6 20 6" xfId="32337"/>
    <cellStyle name="Процентный 6 21" xfId="299"/>
    <cellStyle name="Процентный 6 21 2" xfId="767"/>
    <cellStyle name="Процентный 6 21 2 2" xfId="6110"/>
    <cellStyle name="Процентный 6 21 2 2 2" xfId="16790"/>
    <cellStyle name="Процентный 6 21 2 2 2 2" xfId="48834"/>
    <cellStyle name="Процентный 6 21 2 2 3" xfId="27471"/>
    <cellStyle name="Процентный 6 21 2 2 3 2" xfId="59514"/>
    <cellStyle name="Процентный 6 21 2 2 4" xfId="38154"/>
    <cellStyle name="Процентный 6 21 2 3" xfId="11450"/>
    <cellStyle name="Процентный 6 21 2 3 2" xfId="43494"/>
    <cellStyle name="Процентный 6 21 2 4" xfId="22131"/>
    <cellStyle name="Процентный 6 21 2 4 2" xfId="54174"/>
    <cellStyle name="Процентный 6 21 2 5" xfId="32814"/>
    <cellStyle name="Процентный 6 21 3" xfId="5643"/>
    <cellStyle name="Процентный 6 21 3 2" xfId="16323"/>
    <cellStyle name="Процентный 6 21 3 2 2" xfId="48367"/>
    <cellStyle name="Процентный 6 21 3 3" xfId="27004"/>
    <cellStyle name="Процентный 6 21 3 3 2" xfId="59047"/>
    <cellStyle name="Процентный 6 21 3 4" xfId="37687"/>
    <cellStyle name="Процентный 6 21 4" xfId="10983"/>
    <cellStyle name="Процентный 6 21 4 2" xfId="43027"/>
    <cellStyle name="Процентный 6 21 5" xfId="21664"/>
    <cellStyle name="Процентный 6 21 5 2" xfId="53707"/>
    <cellStyle name="Процентный 6 21 6" xfId="32347"/>
    <cellStyle name="Процентный 6 22" xfId="309"/>
    <cellStyle name="Процентный 6 22 2" xfId="777"/>
    <cellStyle name="Процентный 6 22 2 2" xfId="6120"/>
    <cellStyle name="Процентный 6 22 2 2 2" xfId="16800"/>
    <cellStyle name="Процентный 6 22 2 2 2 2" xfId="48844"/>
    <cellStyle name="Процентный 6 22 2 2 3" xfId="27481"/>
    <cellStyle name="Процентный 6 22 2 2 3 2" xfId="59524"/>
    <cellStyle name="Процентный 6 22 2 2 4" xfId="38164"/>
    <cellStyle name="Процентный 6 22 2 3" xfId="11460"/>
    <cellStyle name="Процентный 6 22 2 3 2" xfId="43504"/>
    <cellStyle name="Процентный 6 22 2 4" xfId="22141"/>
    <cellStyle name="Процентный 6 22 2 4 2" xfId="54184"/>
    <cellStyle name="Процентный 6 22 2 5" xfId="32824"/>
    <cellStyle name="Процентный 6 22 3" xfId="5653"/>
    <cellStyle name="Процентный 6 22 3 2" xfId="16333"/>
    <cellStyle name="Процентный 6 22 3 2 2" xfId="48377"/>
    <cellStyle name="Процентный 6 22 3 3" xfId="27014"/>
    <cellStyle name="Процентный 6 22 3 3 2" xfId="59057"/>
    <cellStyle name="Процентный 6 22 3 4" xfId="37697"/>
    <cellStyle name="Процентный 6 22 4" xfId="10993"/>
    <cellStyle name="Процентный 6 22 4 2" xfId="43037"/>
    <cellStyle name="Процентный 6 22 5" xfId="21674"/>
    <cellStyle name="Процентный 6 22 5 2" xfId="53717"/>
    <cellStyle name="Процентный 6 22 6" xfId="32357"/>
    <cellStyle name="Процентный 6 23" xfId="319"/>
    <cellStyle name="Процентный 6 23 2" xfId="787"/>
    <cellStyle name="Процентный 6 23 2 2" xfId="6130"/>
    <cellStyle name="Процентный 6 23 2 2 2" xfId="16810"/>
    <cellStyle name="Процентный 6 23 2 2 2 2" xfId="48854"/>
    <cellStyle name="Процентный 6 23 2 2 3" xfId="27491"/>
    <cellStyle name="Процентный 6 23 2 2 3 2" xfId="59534"/>
    <cellStyle name="Процентный 6 23 2 2 4" xfId="38174"/>
    <cellStyle name="Процентный 6 23 2 3" xfId="11470"/>
    <cellStyle name="Процентный 6 23 2 3 2" xfId="43514"/>
    <cellStyle name="Процентный 6 23 2 4" xfId="22151"/>
    <cellStyle name="Процентный 6 23 2 4 2" xfId="54194"/>
    <cellStyle name="Процентный 6 23 2 5" xfId="32834"/>
    <cellStyle name="Процентный 6 23 3" xfId="5663"/>
    <cellStyle name="Процентный 6 23 3 2" xfId="16343"/>
    <cellStyle name="Процентный 6 23 3 2 2" xfId="48387"/>
    <cellStyle name="Процентный 6 23 3 3" xfId="27024"/>
    <cellStyle name="Процентный 6 23 3 3 2" xfId="59067"/>
    <cellStyle name="Процентный 6 23 3 4" xfId="37707"/>
    <cellStyle name="Процентный 6 23 4" xfId="11003"/>
    <cellStyle name="Процентный 6 23 4 2" xfId="43047"/>
    <cellStyle name="Процентный 6 23 5" xfId="21684"/>
    <cellStyle name="Процентный 6 23 5 2" xfId="53727"/>
    <cellStyle name="Процентный 6 23 6" xfId="32367"/>
    <cellStyle name="Процентный 6 24" xfId="329"/>
    <cellStyle name="Процентный 6 24 2" xfId="797"/>
    <cellStyle name="Процентный 6 24 2 2" xfId="6140"/>
    <cellStyle name="Процентный 6 24 2 2 2" xfId="16820"/>
    <cellStyle name="Процентный 6 24 2 2 2 2" xfId="48864"/>
    <cellStyle name="Процентный 6 24 2 2 3" xfId="27501"/>
    <cellStyle name="Процентный 6 24 2 2 3 2" xfId="59544"/>
    <cellStyle name="Процентный 6 24 2 2 4" xfId="38184"/>
    <cellStyle name="Процентный 6 24 2 3" xfId="11480"/>
    <cellStyle name="Процентный 6 24 2 3 2" xfId="43524"/>
    <cellStyle name="Процентный 6 24 2 4" xfId="22161"/>
    <cellStyle name="Процентный 6 24 2 4 2" xfId="54204"/>
    <cellStyle name="Процентный 6 24 2 5" xfId="32844"/>
    <cellStyle name="Процентный 6 24 3" xfId="5673"/>
    <cellStyle name="Процентный 6 24 3 2" xfId="16353"/>
    <cellStyle name="Процентный 6 24 3 2 2" xfId="48397"/>
    <cellStyle name="Процентный 6 24 3 3" xfId="27034"/>
    <cellStyle name="Процентный 6 24 3 3 2" xfId="59077"/>
    <cellStyle name="Процентный 6 24 3 4" xfId="37717"/>
    <cellStyle name="Процентный 6 24 4" xfId="11013"/>
    <cellStyle name="Процентный 6 24 4 2" xfId="43057"/>
    <cellStyle name="Процентный 6 24 5" xfId="21694"/>
    <cellStyle name="Процентный 6 24 5 2" xfId="53737"/>
    <cellStyle name="Процентный 6 24 6" xfId="32377"/>
    <cellStyle name="Процентный 6 25" xfId="339"/>
    <cellStyle name="Процентный 6 25 2" xfId="807"/>
    <cellStyle name="Процентный 6 25 2 2" xfId="6150"/>
    <cellStyle name="Процентный 6 25 2 2 2" xfId="16830"/>
    <cellStyle name="Процентный 6 25 2 2 2 2" xfId="48874"/>
    <cellStyle name="Процентный 6 25 2 2 3" xfId="27511"/>
    <cellStyle name="Процентный 6 25 2 2 3 2" xfId="59554"/>
    <cellStyle name="Процентный 6 25 2 2 4" xfId="38194"/>
    <cellStyle name="Процентный 6 25 2 3" xfId="11490"/>
    <cellStyle name="Процентный 6 25 2 3 2" xfId="43534"/>
    <cellStyle name="Процентный 6 25 2 4" xfId="22171"/>
    <cellStyle name="Процентный 6 25 2 4 2" xfId="54214"/>
    <cellStyle name="Процентный 6 25 2 5" xfId="32854"/>
    <cellStyle name="Процентный 6 25 3" xfId="5683"/>
    <cellStyle name="Процентный 6 25 3 2" xfId="16363"/>
    <cellStyle name="Процентный 6 25 3 2 2" xfId="48407"/>
    <cellStyle name="Процентный 6 25 3 3" xfId="27044"/>
    <cellStyle name="Процентный 6 25 3 3 2" xfId="59087"/>
    <cellStyle name="Процентный 6 25 3 4" xfId="37727"/>
    <cellStyle name="Процентный 6 25 4" xfId="11023"/>
    <cellStyle name="Процентный 6 25 4 2" xfId="43067"/>
    <cellStyle name="Процентный 6 25 5" xfId="21704"/>
    <cellStyle name="Процентный 6 25 5 2" xfId="53747"/>
    <cellStyle name="Процентный 6 25 6" xfId="32387"/>
    <cellStyle name="Процентный 6 26" xfId="349"/>
    <cellStyle name="Процентный 6 26 2" xfId="817"/>
    <cellStyle name="Процентный 6 26 2 2" xfId="6160"/>
    <cellStyle name="Процентный 6 26 2 2 2" xfId="16840"/>
    <cellStyle name="Процентный 6 26 2 2 2 2" xfId="48884"/>
    <cellStyle name="Процентный 6 26 2 2 3" xfId="27521"/>
    <cellStyle name="Процентный 6 26 2 2 3 2" xfId="59564"/>
    <cellStyle name="Процентный 6 26 2 2 4" xfId="38204"/>
    <cellStyle name="Процентный 6 26 2 3" xfId="11500"/>
    <cellStyle name="Процентный 6 26 2 3 2" xfId="43544"/>
    <cellStyle name="Процентный 6 26 2 4" xfId="22181"/>
    <cellStyle name="Процентный 6 26 2 4 2" xfId="54224"/>
    <cellStyle name="Процентный 6 26 2 5" xfId="32864"/>
    <cellStyle name="Процентный 6 26 3" xfId="5693"/>
    <cellStyle name="Процентный 6 26 3 2" xfId="16373"/>
    <cellStyle name="Процентный 6 26 3 2 2" xfId="48417"/>
    <cellStyle name="Процентный 6 26 3 3" xfId="27054"/>
    <cellStyle name="Процентный 6 26 3 3 2" xfId="59097"/>
    <cellStyle name="Процентный 6 26 3 4" xfId="37737"/>
    <cellStyle name="Процентный 6 26 4" xfId="11033"/>
    <cellStyle name="Процентный 6 26 4 2" xfId="43077"/>
    <cellStyle name="Процентный 6 26 5" xfId="21714"/>
    <cellStyle name="Процентный 6 26 5 2" xfId="53757"/>
    <cellStyle name="Процентный 6 26 6" xfId="32397"/>
    <cellStyle name="Процентный 6 27" xfId="359"/>
    <cellStyle name="Процентный 6 27 2" xfId="827"/>
    <cellStyle name="Процентный 6 27 2 2" xfId="6170"/>
    <cellStyle name="Процентный 6 27 2 2 2" xfId="16850"/>
    <cellStyle name="Процентный 6 27 2 2 2 2" xfId="48894"/>
    <cellStyle name="Процентный 6 27 2 2 3" xfId="27531"/>
    <cellStyle name="Процентный 6 27 2 2 3 2" xfId="59574"/>
    <cellStyle name="Процентный 6 27 2 2 4" xfId="38214"/>
    <cellStyle name="Процентный 6 27 2 3" xfId="11510"/>
    <cellStyle name="Процентный 6 27 2 3 2" xfId="43554"/>
    <cellStyle name="Процентный 6 27 2 4" xfId="22191"/>
    <cellStyle name="Процентный 6 27 2 4 2" xfId="54234"/>
    <cellStyle name="Процентный 6 27 2 5" xfId="32874"/>
    <cellStyle name="Процентный 6 27 3" xfId="5703"/>
    <cellStyle name="Процентный 6 27 3 2" xfId="16383"/>
    <cellStyle name="Процентный 6 27 3 2 2" xfId="48427"/>
    <cellStyle name="Процентный 6 27 3 3" xfId="27064"/>
    <cellStyle name="Процентный 6 27 3 3 2" xfId="59107"/>
    <cellStyle name="Процентный 6 27 3 4" xfId="37747"/>
    <cellStyle name="Процентный 6 27 4" xfId="11043"/>
    <cellStyle name="Процентный 6 27 4 2" xfId="43087"/>
    <cellStyle name="Процентный 6 27 5" xfId="21724"/>
    <cellStyle name="Процентный 6 27 5 2" xfId="53767"/>
    <cellStyle name="Процентный 6 27 6" xfId="32407"/>
    <cellStyle name="Процентный 6 28" xfId="369"/>
    <cellStyle name="Процентный 6 28 2" xfId="837"/>
    <cellStyle name="Процентный 6 28 2 2" xfId="6180"/>
    <cellStyle name="Процентный 6 28 2 2 2" xfId="16860"/>
    <cellStyle name="Процентный 6 28 2 2 2 2" xfId="48904"/>
    <cellStyle name="Процентный 6 28 2 2 3" xfId="27541"/>
    <cellStyle name="Процентный 6 28 2 2 3 2" xfId="59584"/>
    <cellStyle name="Процентный 6 28 2 2 4" xfId="38224"/>
    <cellStyle name="Процентный 6 28 2 3" xfId="11520"/>
    <cellStyle name="Процентный 6 28 2 3 2" xfId="43564"/>
    <cellStyle name="Процентный 6 28 2 4" xfId="22201"/>
    <cellStyle name="Процентный 6 28 2 4 2" xfId="54244"/>
    <cellStyle name="Процентный 6 28 2 5" xfId="32884"/>
    <cellStyle name="Процентный 6 28 3" xfId="5713"/>
    <cellStyle name="Процентный 6 28 3 2" xfId="16393"/>
    <cellStyle name="Процентный 6 28 3 2 2" xfId="48437"/>
    <cellStyle name="Процентный 6 28 3 3" xfId="27074"/>
    <cellStyle name="Процентный 6 28 3 3 2" xfId="59117"/>
    <cellStyle name="Процентный 6 28 3 4" xfId="37757"/>
    <cellStyle name="Процентный 6 28 4" xfId="11053"/>
    <cellStyle name="Процентный 6 28 4 2" xfId="43097"/>
    <cellStyle name="Процентный 6 28 5" xfId="21734"/>
    <cellStyle name="Процентный 6 28 5 2" xfId="53777"/>
    <cellStyle name="Процентный 6 28 6" xfId="32417"/>
    <cellStyle name="Процентный 6 29" xfId="379"/>
    <cellStyle name="Процентный 6 29 2" xfId="847"/>
    <cellStyle name="Процентный 6 29 2 2" xfId="6190"/>
    <cellStyle name="Процентный 6 29 2 2 2" xfId="16870"/>
    <cellStyle name="Процентный 6 29 2 2 2 2" xfId="48914"/>
    <cellStyle name="Процентный 6 29 2 2 3" xfId="27551"/>
    <cellStyle name="Процентный 6 29 2 2 3 2" xfId="59594"/>
    <cellStyle name="Процентный 6 29 2 2 4" xfId="38234"/>
    <cellStyle name="Процентный 6 29 2 3" xfId="11530"/>
    <cellStyle name="Процентный 6 29 2 3 2" xfId="43574"/>
    <cellStyle name="Процентный 6 29 2 4" xfId="22211"/>
    <cellStyle name="Процентный 6 29 2 4 2" xfId="54254"/>
    <cellStyle name="Процентный 6 29 2 5" xfId="32894"/>
    <cellStyle name="Процентный 6 29 3" xfId="5723"/>
    <cellStyle name="Процентный 6 29 3 2" xfId="16403"/>
    <cellStyle name="Процентный 6 29 3 2 2" xfId="48447"/>
    <cellStyle name="Процентный 6 29 3 3" xfId="27084"/>
    <cellStyle name="Процентный 6 29 3 3 2" xfId="59127"/>
    <cellStyle name="Процентный 6 29 3 4" xfId="37767"/>
    <cellStyle name="Процентный 6 29 4" xfId="11063"/>
    <cellStyle name="Процентный 6 29 4 2" xfId="43107"/>
    <cellStyle name="Процентный 6 29 5" xfId="21744"/>
    <cellStyle name="Процентный 6 29 5 2" xfId="53787"/>
    <cellStyle name="Процентный 6 29 6" xfId="32427"/>
    <cellStyle name="Процентный 6 3" xfId="119"/>
    <cellStyle name="Процентный 6 3 2" xfId="587"/>
    <cellStyle name="Процентный 6 3 2 2" xfId="5930"/>
    <cellStyle name="Процентный 6 3 2 2 2" xfId="16610"/>
    <cellStyle name="Процентный 6 3 2 2 2 2" xfId="48654"/>
    <cellStyle name="Процентный 6 3 2 2 3" xfId="27291"/>
    <cellStyle name="Процентный 6 3 2 2 3 2" xfId="59334"/>
    <cellStyle name="Процентный 6 3 2 2 4" xfId="37974"/>
    <cellStyle name="Процентный 6 3 2 3" xfId="11270"/>
    <cellStyle name="Процентный 6 3 2 3 2" xfId="43314"/>
    <cellStyle name="Процентный 6 3 2 4" xfId="21951"/>
    <cellStyle name="Процентный 6 3 2 4 2" xfId="53994"/>
    <cellStyle name="Процентный 6 3 2 5" xfId="32634"/>
    <cellStyle name="Процентный 6 3 3" xfId="5463"/>
    <cellStyle name="Процентный 6 3 3 2" xfId="16143"/>
    <cellStyle name="Процентный 6 3 3 2 2" xfId="48187"/>
    <cellStyle name="Процентный 6 3 3 3" xfId="26824"/>
    <cellStyle name="Процентный 6 3 3 3 2" xfId="58867"/>
    <cellStyle name="Процентный 6 3 3 4" xfId="37507"/>
    <cellStyle name="Процентный 6 3 4" xfId="10803"/>
    <cellStyle name="Процентный 6 3 4 2" xfId="42847"/>
    <cellStyle name="Процентный 6 3 5" xfId="21484"/>
    <cellStyle name="Процентный 6 3 5 2" xfId="53527"/>
    <cellStyle name="Процентный 6 3 6" xfId="32167"/>
    <cellStyle name="Процентный 6 30" xfId="389"/>
    <cellStyle name="Процентный 6 30 2" xfId="857"/>
    <cellStyle name="Процентный 6 30 2 2" xfId="6200"/>
    <cellStyle name="Процентный 6 30 2 2 2" xfId="16880"/>
    <cellStyle name="Процентный 6 30 2 2 2 2" xfId="48924"/>
    <cellStyle name="Процентный 6 30 2 2 3" xfId="27561"/>
    <cellStyle name="Процентный 6 30 2 2 3 2" xfId="59604"/>
    <cellStyle name="Процентный 6 30 2 2 4" xfId="38244"/>
    <cellStyle name="Процентный 6 30 2 3" xfId="11540"/>
    <cellStyle name="Процентный 6 30 2 3 2" xfId="43584"/>
    <cellStyle name="Процентный 6 30 2 4" xfId="22221"/>
    <cellStyle name="Процентный 6 30 2 4 2" xfId="54264"/>
    <cellStyle name="Процентный 6 30 2 5" xfId="32904"/>
    <cellStyle name="Процентный 6 30 3" xfId="5733"/>
    <cellStyle name="Процентный 6 30 3 2" xfId="16413"/>
    <cellStyle name="Процентный 6 30 3 2 2" xfId="48457"/>
    <cellStyle name="Процентный 6 30 3 3" xfId="27094"/>
    <cellStyle name="Процентный 6 30 3 3 2" xfId="59137"/>
    <cellStyle name="Процентный 6 30 3 4" xfId="37777"/>
    <cellStyle name="Процентный 6 30 4" xfId="11073"/>
    <cellStyle name="Процентный 6 30 4 2" xfId="43117"/>
    <cellStyle name="Процентный 6 30 5" xfId="21754"/>
    <cellStyle name="Процентный 6 30 5 2" xfId="53797"/>
    <cellStyle name="Процентный 6 30 6" xfId="32437"/>
    <cellStyle name="Процентный 6 31" xfId="399"/>
    <cellStyle name="Процентный 6 31 2" xfId="867"/>
    <cellStyle name="Процентный 6 31 2 2" xfId="6210"/>
    <cellStyle name="Процентный 6 31 2 2 2" xfId="16890"/>
    <cellStyle name="Процентный 6 31 2 2 2 2" xfId="48934"/>
    <cellStyle name="Процентный 6 31 2 2 3" xfId="27571"/>
    <cellStyle name="Процентный 6 31 2 2 3 2" xfId="59614"/>
    <cellStyle name="Процентный 6 31 2 2 4" xfId="38254"/>
    <cellStyle name="Процентный 6 31 2 3" xfId="11550"/>
    <cellStyle name="Процентный 6 31 2 3 2" xfId="43594"/>
    <cellStyle name="Процентный 6 31 2 4" xfId="22231"/>
    <cellStyle name="Процентный 6 31 2 4 2" xfId="54274"/>
    <cellStyle name="Процентный 6 31 2 5" xfId="32914"/>
    <cellStyle name="Процентный 6 31 3" xfId="5743"/>
    <cellStyle name="Процентный 6 31 3 2" xfId="16423"/>
    <cellStyle name="Процентный 6 31 3 2 2" xfId="48467"/>
    <cellStyle name="Процентный 6 31 3 3" xfId="27104"/>
    <cellStyle name="Процентный 6 31 3 3 2" xfId="59147"/>
    <cellStyle name="Процентный 6 31 3 4" xfId="37787"/>
    <cellStyle name="Процентный 6 31 4" xfId="11083"/>
    <cellStyle name="Процентный 6 31 4 2" xfId="43127"/>
    <cellStyle name="Процентный 6 31 5" xfId="21764"/>
    <cellStyle name="Процентный 6 31 5 2" xfId="53807"/>
    <cellStyle name="Процентный 6 31 6" xfId="32447"/>
    <cellStyle name="Процентный 6 32" xfId="411"/>
    <cellStyle name="Процентный 6 32 2" xfId="879"/>
    <cellStyle name="Процентный 6 32 2 2" xfId="6222"/>
    <cellStyle name="Процентный 6 32 2 2 2" xfId="16902"/>
    <cellStyle name="Процентный 6 32 2 2 2 2" xfId="48946"/>
    <cellStyle name="Процентный 6 32 2 2 3" xfId="27583"/>
    <cellStyle name="Процентный 6 32 2 2 3 2" xfId="59626"/>
    <cellStyle name="Процентный 6 32 2 2 4" xfId="38266"/>
    <cellStyle name="Процентный 6 32 2 3" xfId="11562"/>
    <cellStyle name="Процентный 6 32 2 3 2" xfId="43606"/>
    <cellStyle name="Процентный 6 32 2 4" xfId="22243"/>
    <cellStyle name="Процентный 6 32 2 4 2" xfId="54286"/>
    <cellStyle name="Процентный 6 32 2 5" xfId="32926"/>
    <cellStyle name="Процентный 6 32 3" xfId="5755"/>
    <cellStyle name="Процентный 6 32 3 2" xfId="16435"/>
    <cellStyle name="Процентный 6 32 3 2 2" xfId="48479"/>
    <cellStyle name="Процентный 6 32 3 3" xfId="27116"/>
    <cellStyle name="Процентный 6 32 3 3 2" xfId="59159"/>
    <cellStyle name="Процентный 6 32 3 4" xfId="37799"/>
    <cellStyle name="Процентный 6 32 4" xfId="11095"/>
    <cellStyle name="Процентный 6 32 4 2" xfId="43139"/>
    <cellStyle name="Процентный 6 32 5" xfId="21776"/>
    <cellStyle name="Процентный 6 32 5 2" xfId="53819"/>
    <cellStyle name="Процентный 6 32 6" xfId="32459"/>
    <cellStyle name="Процентный 6 33" xfId="423"/>
    <cellStyle name="Процентный 6 33 2" xfId="891"/>
    <cellStyle name="Процентный 6 33 2 2" xfId="6234"/>
    <cellStyle name="Процентный 6 33 2 2 2" xfId="16914"/>
    <cellStyle name="Процентный 6 33 2 2 2 2" xfId="48958"/>
    <cellStyle name="Процентный 6 33 2 2 3" xfId="27595"/>
    <cellStyle name="Процентный 6 33 2 2 3 2" xfId="59638"/>
    <cellStyle name="Процентный 6 33 2 2 4" xfId="38278"/>
    <cellStyle name="Процентный 6 33 2 3" xfId="11574"/>
    <cellStyle name="Процентный 6 33 2 3 2" xfId="43618"/>
    <cellStyle name="Процентный 6 33 2 4" xfId="22255"/>
    <cellStyle name="Процентный 6 33 2 4 2" xfId="54298"/>
    <cellStyle name="Процентный 6 33 2 5" xfId="32938"/>
    <cellStyle name="Процентный 6 33 3" xfId="5767"/>
    <cellStyle name="Процентный 6 33 3 2" xfId="16447"/>
    <cellStyle name="Процентный 6 33 3 2 2" xfId="48491"/>
    <cellStyle name="Процентный 6 33 3 3" xfId="27128"/>
    <cellStyle name="Процентный 6 33 3 3 2" xfId="59171"/>
    <cellStyle name="Процентный 6 33 3 4" xfId="37811"/>
    <cellStyle name="Процентный 6 33 4" xfId="11107"/>
    <cellStyle name="Процентный 6 33 4 2" xfId="43151"/>
    <cellStyle name="Процентный 6 33 5" xfId="21788"/>
    <cellStyle name="Процентный 6 33 5 2" xfId="53831"/>
    <cellStyle name="Процентный 6 33 6" xfId="32471"/>
    <cellStyle name="Процентный 6 34" xfId="435"/>
    <cellStyle name="Процентный 6 34 2" xfId="903"/>
    <cellStyle name="Процентный 6 34 2 2" xfId="6246"/>
    <cellStyle name="Процентный 6 34 2 2 2" xfId="16926"/>
    <cellStyle name="Процентный 6 34 2 2 2 2" xfId="48970"/>
    <cellStyle name="Процентный 6 34 2 2 3" xfId="27607"/>
    <cellStyle name="Процентный 6 34 2 2 3 2" xfId="59650"/>
    <cellStyle name="Процентный 6 34 2 2 4" xfId="38290"/>
    <cellStyle name="Процентный 6 34 2 3" xfId="11586"/>
    <cellStyle name="Процентный 6 34 2 3 2" xfId="43630"/>
    <cellStyle name="Процентный 6 34 2 4" xfId="22267"/>
    <cellStyle name="Процентный 6 34 2 4 2" xfId="54310"/>
    <cellStyle name="Процентный 6 34 2 5" xfId="32950"/>
    <cellStyle name="Процентный 6 34 3" xfId="5779"/>
    <cellStyle name="Процентный 6 34 3 2" xfId="16459"/>
    <cellStyle name="Процентный 6 34 3 2 2" xfId="48503"/>
    <cellStyle name="Процентный 6 34 3 3" xfId="27140"/>
    <cellStyle name="Процентный 6 34 3 3 2" xfId="59183"/>
    <cellStyle name="Процентный 6 34 3 4" xfId="37823"/>
    <cellStyle name="Процентный 6 34 4" xfId="11119"/>
    <cellStyle name="Процентный 6 34 4 2" xfId="43163"/>
    <cellStyle name="Процентный 6 34 5" xfId="21800"/>
    <cellStyle name="Процентный 6 34 5 2" xfId="53843"/>
    <cellStyle name="Процентный 6 34 6" xfId="32483"/>
    <cellStyle name="Процентный 6 35" xfId="447"/>
    <cellStyle name="Процентный 6 35 2" xfId="915"/>
    <cellStyle name="Процентный 6 35 2 2" xfId="6258"/>
    <cellStyle name="Процентный 6 35 2 2 2" xfId="16938"/>
    <cellStyle name="Процентный 6 35 2 2 2 2" xfId="48982"/>
    <cellStyle name="Процентный 6 35 2 2 3" xfId="27619"/>
    <cellStyle name="Процентный 6 35 2 2 3 2" xfId="59662"/>
    <cellStyle name="Процентный 6 35 2 2 4" xfId="38302"/>
    <cellStyle name="Процентный 6 35 2 3" xfId="11598"/>
    <cellStyle name="Процентный 6 35 2 3 2" xfId="43642"/>
    <cellStyle name="Процентный 6 35 2 4" xfId="22279"/>
    <cellStyle name="Процентный 6 35 2 4 2" xfId="54322"/>
    <cellStyle name="Процентный 6 35 2 5" xfId="32962"/>
    <cellStyle name="Процентный 6 35 3" xfId="5791"/>
    <cellStyle name="Процентный 6 35 3 2" xfId="16471"/>
    <cellStyle name="Процентный 6 35 3 2 2" xfId="48515"/>
    <cellStyle name="Процентный 6 35 3 3" xfId="27152"/>
    <cellStyle name="Процентный 6 35 3 3 2" xfId="59195"/>
    <cellStyle name="Процентный 6 35 3 4" xfId="37835"/>
    <cellStyle name="Процентный 6 35 4" xfId="11131"/>
    <cellStyle name="Процентный 6 35 4 2" xfId="43175"/>
    <cellStyle name="Процентный 6 35 5" xfId="21812"/>
    <cellStyle name="Процентный 6 35 5 2" xfId="53855"/>
    <cellStyle name="Процентный 6 35 6" xfId="32495"/>
    <cellStyle name="Процентный 6 36" xfId="459"/>
    <cellStyle name="Процентный 6 36 2" xfId="927"/>
    <cellStyle name="Процентный 6 36 2 2" xfId="6270"/>
    <cellStyle name="Процентный 6 36 2 2 2" xfId="16950"/>
    <cellStyle name="Процентный 6 36 2 2 2 2" xfId="48994"/>
    <cellStyle name="Процентный 6 36 2 2 3" xfId="27631"/>
    <cellStyle name="Процентный 6 36 2 2 3 2" xfId="59674"/>
    <cellStyle name="Процентный 6 36 2 2 4" xfId="38314"/>
    <cellStyle name="Процентный 6 36 2 3" xfId="11610"/>
    <cellStyle name="Процентный 6 36 2 3 2" xfId="43654"/>
    <cellStyle name="Процентный 6 36 2 4" xfId="22291"/>
    <cellStyle name="Процентный 6 36 2 4 2" xfId="54334"/>
    <cellStyle name="Процентный 6 36 2 5" xfId="32974"/>
    <cellStyle name="Процентный 6 36 3" xfId="5803"/>
    <cellStyle name="Процентный 6 36 3 2" xfId="16483"/>
    <cellStyle name="Процентный 6 36 3 2 2" xfId="48527"/>
    <cellStyle name="Процентный 6 36 3 3" xfId="27164"/>
    <cellStyle name="Процентный 6 36 3 3 2" xfId="59207"/>
    <cellStyle name="Процентный 6 36 3 4" xfId="37847"/>
    <cellStyle name="Процентный 6 36 4" xfId="11143"/>
    <cellStyle name="Процентный 6 36 4 2" xfId="43187"/>
    <cellStyle name="Процентный 6 36 5" xfId="21824"/>
    <cellStyle name="Процентный 6 36 5 2" xfId="53867"/>
    <cellStyle name="Процентный 6 36 6" xfId="32507"/>
    <cellStyle name="Процентный 6 37" xfId="471"/>
    <cellStyle name="Процентный 6 37 2" xfId="939"/>
    <cellStyle name="Процентный 6 37 2 2" xfId="6282"/>
    <cellStyle name="Процентный 6 37 2 2 2" xfId="16962"/>
    <cellStyle name="Процентный 6 37 2 2 2 2" xfId="49006"/>
    <cellStyle name="Процентный 6 37 2 2 3" xfId="27643"/>
    <cellStyle name="Процентный 6 37 2 2 3 2" xfId="59686"/>
    <cellStyle name="Процентный 6 37 2 2 4" xfId="38326"/>
    <cellStyle name="Процентный 6 37 2 3" xfId="11622"/>
    <cellStyle name="Процентный 6 37 2 3 2" xfId="43666"/>
    <cellStyle name="Процентный 6 37 2 4" xfId="22303"/>
    <cellStyle name="Процентный 6 37 2 4 2" xfId="54346"/>
    <cellStyle name="Процентный 6 37 2 5" xfId="32986"/>
    <cellStyle name="Процентный 6 37 3" xfId="5815"/>
    <cellStyle name="Процентный 6 37 3 2" xfId="16495"/>
    <cellStyle name="Процентный 6 37 3 2 2" xfId="48539"/>
    <cellStyle name="Процентный 6 37 3 3" xfId="27176"/>
    <cellStyle name="Процентный 6 37 3 3 2" xfId="59219"/>
    <cellStyle name="Процентный 6 37 3 4" xfId="37859"/>
    <cellStyle name="Процентный 6 37 4" xfId="11155"/>
    <cellStyle name="Процентный 6 37 4 2" xfId="43199"/>
    <cellStyle name="Процентный 6 37 5" xfId="21836"/>
    <cellStyle name="Процентный 6 37 5 2" xfId="53879"/>
    <cellStyle name="Процентный 6 37 6" xfId="32519"/>
    <cellStyle name="Процентный 6 38" xfId="483"/>
    <cellStyle name="Процентный 6 38 2" xfId="951"/>
    <cellStyle name="Процентный 6 38 2 2" xfId="6294"/>
    <cellStyle name="Процентный 6 38 2 2 2" xfId="16974"/>
    <cellStyle name="Процентный 6 38 2 2 2 2" xfId="49018"/>
    <cellStyle name="Процентный 6 38 2 2 3" xfId="27655"/>
    <cellStyle name="Процентный 6 38 2 2 3 2" xfId="59698"/>
    <cellStyle name="Процентный 6 38 2 2 4" xfId="38338"/>
    <cellStyle name="Процентный 6 38 2 3" xfId="11634"/>
    <cellStyle name="Процентный 6 38 2 3 2" xfId="43678"/>
    <cellStyle name="Процентный 6 38 2 4" xfId="22315"/>
    <cellStyle name="Процентный 6 38 2 4 2" xfId="54358"/>
    <cellStyle name="Процентный 6 38 2 5" xfId="32998"/>
    <cellStyle name="Процентный 6 38 3" xfId="5827"/>
    <cellStyle name="Процентный 6 38 3 2" xfId="16507"/>
    <cellStyle name="Процентный 6 38 3 2 2" xfId="48551"/>
    <cellStyle name="Процентный 6 38 3 3" xfId="27188"/>
    <cellStyle name="Процентный 6 38 3 3 2" xfId="59231"/>
    <cellStyle name="Процентный 6 38 3 4" xfId="37871"/>
    <cellStyle name="Процентный 6 38 4" xfId="11167"/>
    <cellStyle name="Процентный 6 38 4 2" xfId="43211"/>
    <cellStyle name="Процентный 6 38 5" xfId="21848"/>
    <cellStyle name="Процентный 6 38 5 2" xfId="53891"/>
    <cellStyle name="Процентный 6 38 6" xfId="32531"/>
    <cellStyle name="Процентный 6 39" xfId="495"/>
    <cellStyle name="Процентный 6 39 2" xfId="963"/>
    <cellStyle name="Процентный 6 39 2 2" xfId="6306"/>
    <cellStyle name="Процентный 6 39 2 2 2" xfId="16986"/>
    <cellStyle name="Процентный 6 39 2 2 2 2" xfId="49030"/>
    <cellStyle name="Процентный 6 39 2 2 3" xfId="27667"/>
    <cellStyle name="Процентный 6 39 2 2 3 2" xfId="59710"/>
    <cellStyle name="Процентный 6 39 2 2 4" xfId="38350"/>
    <cellStyle name="Процентный 6 39 2 3" xfId="11646"/>
    <cellStyle name="Процентный 6 39 2 3 2" xfId="43690"/>
    <cellStyle name="Процентный 6 39 2 4" xfId="22327"/>
    <cellStyle name="Процентный 6 39 2 4 2" xfId="54370"/>
    <cellStyle name="Процентный 6 39 2 5" xfId="33010"/>
    <cellStyle name="Процентный 6 39 3" xfId="5839"/>
    <cellStyle name="Процентный 6 39 3 2" xfId="16519"/>
    <cellStyle name="Процентный 6 39 3 2 2" xfId="48563"/>
    <cellStyle name="Процентный 6 39 3 3" xfId="27200"/>
    <cellStyle name="Процентный 6 39 3 3 2" xfId="59243"/>
    <cellStyle name="Процентный 6 39 3 4" xfId="37883"/>
    <cellStyle name="Процентный 6 39 4" xfId="11179"/>
    <cellStyle name="Процентный 6 39 4 2" xfId="43223"/>
    <cellStyle name="Процентный 6 39 5" xfId="21860"/>
    <cellStyle name="Процентный 6 39 5 2" xfId="53903"/>
    <cellStyle name="Процентный 6 39 6" xfId="32543"/>
    <cellStyle name="Процентный 6 4" xfId="129"/>
    <cellStyle name="Процентный 6 4 2" xfId="597"/>
    <cellStyle name="Процентный 6 4 2 2" xfId="5940"/>
    <cellStyle name="Процентный 6 4 2 2 2" xfId="16620"/>
    <cellStyle name="Процентный 6 4 2 2 2 2" xfId="48664"/>
    <cellStyle name="Процентный 6 4 2 2 3" xfId="27301"/>
    <cellStyle name="Процентный 6 4 2 2 3 2" xfId="59344"/>
    <cellStyle name="Процентный 6 4 2 2 4" xfId="37984"/>
    <cellStyle name="Процентный 6 4 2 3" xfId="11280"/>
    <cellStyle name="Процентный 6 4 2 3 2" xfId="43324"/>
    <cellStyle name="Процентный 6 4 2 4" xfId="21961"/>
    <cellStyle name="Процентный 6 4 2 4 2" xfId="54004"/>
    <cellStyle name="Процентный 6 4 2 5" xfId="32644"/>
    <cellStyle name="Процентный 6 4 3" xfId="5473"/>
    <cellStyle name="Процентный 6 4 3 2" xfId="16153"/>
    <cellStyle name="Процентный 6 4 3 2 2" xfId="48197"/>
    <cellStyle name="Процентный 6 4 3 3" xfId="26834"/>
    <cellStyle name="Процентный 6 4 3 3 2" xfId="58877"/>
    <cellStyle name="Процентный 6 4 3 4" xfId="37517"/>
    <cellStyle name="Процентный 6 4 4" xfId="10813"/>
    <cellStyle name="Процентный 6 4 4 2" xfId="42857"/>
    <cellStyle name="Процентный 6 4 5" xfId="21494"/>
    <cellStyle name="Процентный 6 4 5 2" xfId="53537"/>
    <cellStyle name="Процентный 6 4 6" xfId="32177"/>
    <cellStyle name="Процентный 6 40" xfId="567"/>
    <cellStyle name="Процентный 6 40 2" xfId="5910"/>
    <cellStyle name="Процентный 6 40 2 2" xfId="16590"/>
    <cellStyle name="Процентный 6 40 2 2 2" xfId="48634"/>
    <cellStyle name="Процентный 6 40 2 3" xfId="27271"/>
    <cellStyle name="Процентный 6 40 2 3 2" xfId="59314"/>
    <cellStyle name="Процентный 6 40 2 4" xfId="37954"/>
    <cellStyle name="Процентный 6 40 3" xfId="11250"/>
    <cellStyle name="Процентный 6 40 3 2" xfId="43294"/>
    <cellStyle name="Процентный 6 40 4" xfId="21931"/>
    <cellStyle name="Процентный 6 40 4 2" xfId="53974"/>
    <cellStyle name="Процентный 6 40 5" xfId="32614"/>
    <cellStyle name="Процентный 6 41" xfId="975"/>
    <cellStyle name="Процентный 6 41 2" xfId="6318"/>
    <cellStyle name="Процентный 6 41 2 2" xfId="16998"/>
    <cellStyle name="Процентный 6 41 2 2 2" xfId="49042"/>
    <cellStyle name="Процентный 6 41 2 3" xfId="27679"/>
    <cellStyle name="Процентный 6 41 2 3 2" xfId="59722"/>
    <cellStyle name="Процентный 6 41 2 4" xfId="38362"/>
    <cellStyle name="Процентный 6 41 3" xfId="11658"/>
    <cellStyle name="Процентный 6 41 3 2" xfId="43702"/>
    <cellStyle name="Процентный 6 41 4" xfId="22339"/>
    <cellStyle name="Процентный 6 41 4 2" xfId="54382"/>
    <cellStyle name="Процентный 6 41 5" xfId="33022"/>
    <cellStyle name="Процентный 6 42" xfId="999"/>
    <cellStyle name="Процентный 6 42 2" xfId="6342"/>
    <cellStyle name="Процентный 6 42 2 2" xfId="17022"/>
    <cellStyle name="Процентный 6 42 2 2 2" xfId="49066"/>
    <cellStyle name="Процентный 6 42 2 3" xfId="27703"/>
    <cellStyle name="Процентный 6 42 2 3 2" xfId="59746"/>
    <cellStyle name="Процентный 6 42 2 4" xfId="38386"/>
    <cellStyle name="Процентный 6 42 3" xfId="11682"/>
    <cellStyle name="Процентный 6 42 3 2" xfId="43726"/>
    <cellStyle name="Процентный 6 42 4" xfId="22363"/>
    <cellStyle name="Процентный 6 42 4 2" xfId="54406"/>
    <cellStyle name="Процентный 6 42 5" xfId="33046"/>
    <cellStyle name="Процентный 6 43" xfId="1023"/>
    <cellStyle name="Процентный 6 43 2" xfId="6366"/>
    <cellStyle name="Процентный 6 43 2 2" xfId="17046"/>
    <cellStyle name="Процентный 6 43 2 2 2" xfId="49090"/>
    <cellStyle name="Процентный 6 43 2 3" xfId="27727"/>
    <cellStyle name="Процентный 6 43 2 3 2" xfId="59770"/>
    <cellStyle name="Процентный 6 43 2 4" xfId="38410"/>
    <cellStyle name="Процентный 6 43 3" xfId="11706"/>
    <cellStyle name="Процентный 6 43 3 2" xfId="43750"/>
    <cellStyle name="Процентный 6 43 4" xfId="22387"/>
    <cellStyle name="Процентный 6 43 4 2" xfId="54430"/>
    <cellStyle name="Процентный 6 43 5" xfId="33070"/>
    <cellStyle name="Процентный 6 44" xfId="1049"/>
    <cellStyle name="Процентный 6 44 2" xfId="6392"/>
    <cellStyle name="Процентный 6 44 2 2" xfId="17072"/>
    <cellStyle name="Процентный 6 44 2 2 2" xfId="49116"/>
    <cellStyle name="Процентный 6 44 2 3" xfId="27753"/>
    <cellStyle name="Процентный 6 44 2 3 2" xfId="59796"/>
    <cellStyle name="Процентный 6 44 2 4" xfId="38436"/>
    <cellStyle name="Процентный 6 44 3" xfId="11732"/>
    <cellStyle name="Процентный 6 44 3 2" xfId="43776"/>
    <cellStyle name="Процентный 6 44 4" xfId="22413"/>
    <cellStyle name="Процентный 6 44 4 2" xfId="54456"/>
    <cellStyle name="Процентный 6 44 5" xfId="33096"/>
    <cellStyle name="Процентный 6 45" xfId="1075"/>
    <cellStyle name="Процентный 6 45 2" xfId="6418"/>
    <cellStyle name="Процентный 6 45 2 2" xfId="17098"/>
    <cellStyle name="Процентный 6 45 2 2 2" xfId="49142"/>
    <cellStyle name="Процентный 6 45 2 3" xfId="27779"/>
    <cellStyle name="Процентный 6 45 2 3 2" xfId="59822"/>
    <cellStyle name="Процентный 6 45 2 4" xfId="38462"/>
    <cellStyle name="Процентный 6 45 3" xfId="11758"/>
    <cellStyle name="Процентный 6 45 3 2" xfId="43802"/>
    <cellStyle name="Процентный 6 45 4" xfId="22439"/>
    <cellStyle name="Процентный 6 45 4 2" xfId="54482"/>
    <cellStyle name="Процентный 6 45 5" xfId="33122"/>
    <cellStyle name="Процентный 6 46" xfId="1101"/>
    <cellStyle name="Процентный 6 46 2" xfId="6444"/>
    <cellStyle name="Процентный 6 46 2 2" xfId="17124"/>
    <cellStyle name="Процентный 6 46 2 2 2" xfId="49168"/>
    <cellStyle name="Процентный 6 46 2 3" xfId="27805"/>
    <cellStyle name="Процентный 6 46 2 3 2" xfId="59848"/>
    <cellStyle name="Процентный 6 46 2 4" xfId="38488"/>
    <cellStyle name="Процентный 6 46 3" xfId="11784"/>
    <cellStyle name="Процентный 6 46 3 2" xfId="43828"/>
    <cellStyle name="Процентный 6 46 4" xfId="22465"/>
    <cellStyle name="Процентный 6 46 4 2" xfId="54508"/>
    <cellStyle name="Процентный 6 46 5" xfId="33148"/>
    <cellStyle name="Процентный 6 47" xfId="1127"/>
    <cellStyle name="Процентный 6 47 2" xfId="6470"/>
    <cellStyle name="Процентный 6 47 2 2" xfId="17150"/>
    <cellStyle name="Процентный 6 47 2 2 2" xfId="49194"/>
    <cellStyle name="Процентный 6 47 2 3" xfId="27831"/>
    <cellStyle name="Процентный 6 47 2 3 2" xfId="59874"/>
    <cellStyle name="Процентный 6 47 2 4" xfId="38514"/>
    <cellStyle name="Процентный 6 47 3" xfId="11810"/>
    <cellStyle name="Процентный 6 47 3 2" xfId="43854"/>
    <cellStyle name="Процентный 6 47 4" xfId="22491"/>
    <cellStyle name="Процентный 6 47 4 2" xfId="54534"/>
    <cellStyle name="Процентный 6 47 5" xfId="33174"/>
    <cellStyle name="Процентный 6 48" xfId="1153"/>
    <cellStyle name="Процентный 6 48 2" xfId="6496"/>
    <cellStyle name="Процентный 6 48 2 2" xfId="17176"/>
    <cellStyle name="Процентный 6 48 2 2 2" xfId="49220"/>
    <cellStyle name="Процентный 6 48 2 3" xfId="27857"/>
    <cellStyle name="Процентный 6 48 2 3 2" xfId="59900"/>
    <cellStyle name="Процентный 6 48 2 4" xfId="38540"/>
    <cellStyle name="Процентный 6 48 3" xfId="11836"/>
    <cellStyle name="Процентный 6 48 3 2" xfId="43880"/>
    <cellStyle name="Процентный 6 48 4" xfId="22517"/>
    <cellStyle name="Процентный 6 48 4 2" xfId="54560"/>
    <cellStyle name="Процентный 6 48 5" xfId="33200"/>
    <cellStyle name="Процентный 6 49" xfId="1179"/>
    <cellStyle name="Процентный 6 49 2" xfId="6522"/>
    <cellStyle name="Процентный 6 49 2 2" xfId="17202"/>
    <cellStyle name="Процентный 6 49 2 2 2" xfId="49246"/>
    <cellStyle name="Процентный 6 49 2 3" xfId="27883"/>
    <cellStyle name="Процентный 6 49 2 3 2" xfId="59926"/>
    <cellStyle name="Процентный 6 49 2 4" xfId="38566"/>
    <cellStyle name="Процентный 6 49 3" xfId="11862"/>
    <cellStyle name="Процентный 6 49 3 2" xfId="43906"/>
    <cellStyle name="Процентный 6 49 4" xfId="22543"/>
    <cellStyle name="Процентный 6 49 4 2" xfId="54586"/>
    <cellStyle name="Процентный 6 49 5" xfId="33226"/>
    <cellStyle name="Процентный 6 5" xfId="139"/>
    <cellStyle name="Процентный 6 5 2" xfId="607"/>
    <cellStyle name="Процентный 6 5 2 2" xfId="5950"/>
    <cellStyle name="Процентный 6 5 2 2 2" xfId="16630"/>
    <cellStyle name="Процентный 6 5 2 2 2 2" xfId="48674"/>
    <cellStyle name="Процентный 6 5 2 2 3" xfId="27311"/>
    <cellStyle name="Процентный 6 5 2 2 3 2" xfId="59354"/>
    <cellStyle name="Процентный 6 5 2 2 4" xfId="37994"/>
    <cellStyle name="Процентный 6 5 2 3" xfId="11290"/>
    <cellStyle name="Процентный 6 5 2 3 2" xfId="43334"/>
    <cellStyle name="Процентный 6 5 2 4" xfId="21971"/>
    <cellStyle name="Процентный 6 5 2 4 2" xfId="54014"/>
    <cellStyle name="Процентный 6 5 2 5" xfId="32654"/>
    <cellStyle name="Процентный 6 5 3" xfId="5483"/>
    <cellStyle name="Процентный 6 5 3 2" xfId="16163"/>
    <cellStyle name="Процентный 6 5 3 2 2" xfId="48207"/>
    <cellStyle name="Процентный 6 5 3 3" xfId="26844"/>
    <cellStyle name="Процентный 6 5 3 3 2" xfId="58887"/>
    <cellStyle name="Процентный 6 5 3 4" xfId="37527"/>
    <cellStyle name="Процентный 6 5 4" xfId="10823"/>
    <cellStyle name="Процентный 6 5 4 2" xfId="42867"/>
    <cellStyle name="Процентный 6 5 5" xfId="21504"/>
    <cellStyle name="Процентный 6 5 5 2" xfId="53547"/>
    <cellStyle name="Процентный 6 5 6" xfId="32187"/>
    <cellStyle name="Процентный 6 50" xfId="1205"/>
    <cellStyle name="Процентный 6 50 2" xfId="6548"/>
    <cellStyle name="Процентный 6 50 2 2" xfId="17228"/>
    <cellStyle name="Процентный 6 50 2 2 2" xfId="49272"/>
    <cellStyle name="Процентный 6 50 2 3" xfId="27909"/>
    <cellStyle name="Процентный 6 50 2 3 2" xfId="59952"/>
    <cellStyle name="Процентный 6 50 2 4" xfId="38592"/>
    <cellStyle name="Процентный 6 50 3" xfId="11888"/>
    <cellStyle name="Процентный 6 50 3 2" xfId="43932"/>
    <cellStyle name="Процентный 6 50 4" xfId="22569"/>
    <cellStyle name="Процентный 6 50 4 2" xfId="54612"/>
    <cellStyle name="Процентный 6 50 5" xfId="33252"/>
    <cellStyle name="Процентный 6 51" xfId="1231"/>
    <cellStyle name="Процентный 6 51 2" xfId="6574"/>
    <cellStyle name="Процентный 6 51 2 2" xfId="17254"/>
    <cellStyle name="Процентный 6 51 2 2 2" xfId="49298"/>
    <cellStyle name="Процентный 6 51 2 3" xfId="27935"/>
    <cellStyle name="Процентный 6 51 2 3 2" xfId="59978"/>
    <cellStyle name="Процентный 6 51 2 4" xfId="38618"/>
    <cellStyle name="Процентный 6 51 3" xfId="11914"/>
    <cellStyle name="Процентный 6 51 3 2" xfId="43958"/>
    <cellStyle name="Процентный 6 51 4" xfId="22595"/>
    <cellStyle name="Процентный 6 51 4 2" xfId="54638"/>
    <cellStyle name="Процентный 6 51 5" xfId="33278"/>
    <cellStyle name="Процентный 6 52" xfId="1257"/>
    <cellStyle name="Процентный 6 52 2" xfId="6600"/>
    <cellStyle name="Процентный 6 52 2 2" xfId="17280"/>
    <cellStyle name="Процентный 6 52 2 2 2" xfId="49324"/>
    <cellStyle name="Процентный 6 52 2 3" xfId="27961"/>
    <cellStyle name="Процентный 6 52 2 3 2" xfId="60004"/>
    <cellStyle name="Процентный 6 52 2 4" xfId="38644"/>
    <cellStyle name="Процентный 6 52 3" xfId="11940"/>
    <cellStyle name="Процентный 6 52 3 2" xfId="43984"/>
    <cellStyle name="Процентный 6 52 4" xfId="22621"/>
    <cellStyle name="Процентный 6 52 4 2" xfId="54664"/>
    <cellStyle name="Процентный 6 52 5" xfId="33304"/>
    <cellStyle name="Процентный 6 53" xfId="1283"/>
    <cellStyle name="Процентный 6 53 2" xfId="6626"/>
    <cellStyle name="Процентный 6 53 2 2" xfId="17306"/>
    <cellStyle name="Процентный 6 53 2 2 2" xfId="49350"/>
    <cellStyle name="Процентный 6 53 2 3" xfId="27987"/>
    <cellStyle name="Процентный 6 53 2 3 2" xfId="60030"/>
    <cellStyle name="Процентный 6 53 2 4" xfId="38670"/>
    <cellStyle name="Процентный 6 53 3" xfId="11966"/>
    <cellStyle name="Процентный 6 53 3 2" xfId="44010"/>
    <cellStyle name="Процентный 6 53 4" xfId="22647"/>
    <cellStyle name="Процентный 6 53 4 2" xfId="54690"/>
    <cellStyle name="Процентный 6 53 5" xfId="33330"/>
    <cellStyle name="Процентный 6 54" xfId="1310"/>
    <cellStyle name="Процентный 6 54 2" xfId="6652"/>
    <cellStyle name="Процентный 6 54 2 2" xfId="17332"/>
    <cellStyle name="Процентный 6 54 2 2 2" xfId="49376"/>
    <cellStyle name="Процентный 6 54 2 3" xfId="28013"/>
    <cellStyle name="Процентный 6 54 2 3 2" xfId="60056"/>
    <cellStyle name="Процентный 6 54 2 4" xfId="38696"/>
    <cellStyle name="Процентный 6 54 3" xfId="11992"/>
    <cellStyle name="Процентный 6 54 3 2" xfId="44036"/>
    <cellStyle name="Процентный 6 54 4" xfId="22673"/>
    <cellStyle name="Процентный 6 54 4 2" xfId="54716"/>
    <cellStyle name="Процентный 6 54 5" xfId="33356"/>
    <cellStyle name="Процентный 6 55" xfId="1336"/>
    <cellStyle name="Процентный 6 55 2" xfId="6678"/>
    <cellStyle name="Процентный 6 55 2 2" xfId="17358"/>
    <cellStyle name="Процентный 6 55 2 2 2" xfId="49402"/>
    <cellStyle name="Процентный 6 55 2 3" xfId="28039"/>
    <cellStyle name="Процентный 6 55 2 3 2" xfId="60082"/>
    <cellStyle name="Процентный 6 55 2 4" xfId="38722"/>
    <cellStyle name="Процентный 6 55 3" xfId="12018"/>
    <cellStyle name="Процентный 6 55 3 2" xfId="44062"/>
    <cellStyle name="Процентный 6 55 4" xfId="22699"/>
    <cellStyle name="Процентный 6 55 4 2" xfId="54742"/>
    <cellStyle name="Процентный 6 55 5" xfId="33382"/>
    <cellStyle name="Процентный 6 56" xfId="1362"/>
    <cellStyle name="Процентный 6 56 2" xfId="6704"/>
    <cellStyle name="Процентный 6 56 2 2" xfId="17384"/>
    <cellStyle name="Процентный 6 56 2 2 2" xfId="49428"/>
    <cellStyle name="Процентный 6 56 2 3" xfId="28065"/>
    <cellStyle name="Процентный 6 56 2 3 2" xfId="60108"/>
    <cellStyle name="Процентный 6 56 2 4" xfId="38748"/>
    <cellStyle name="Процентный 6 56 3" xfId="12044"/>
    <cellStyle name="Процентный 6 56 3 2" xfId="44088"/>
    <cellStyle name="Процентный 6 56 4" xfId="22725"/>
    <cellStyle name="Процентный 6 56 4 2" xfId="54768"/>
    <cellStyle name="Процентный 6 56 5" xfId="33408"/>
    <cellStyle name="Процентный 6 57" xfId="1388"/>
    <cellStyle name="Процентный 6 57 2" xfId="6730"/>
    <cellStyle name="Процентный 6 57 2 2" xfId="17410"/>
    <cellStyle name="Процентный 6 57 2 2 2" xfId="49454"/>
    <cellStyle name="Процентный 6 57 2 3" xfId="28091"/>
    <cellStyle name="Процентный 6 57 2 3 2" xfId="60134"/>
    <cellStyle name="Процентный 6 57 2 4" xfId="38774"/>
    <cellStyle name="Процентный 6 57 3" xfId="12070"/>
    <cellStyle name="Процентный 6 57 3 2" xfId="44114"/>
    <cellStyle name="Процентный 6 57 4" xfId="22751"/>
    <cellStyle name="Процентный 6 57 4 2" xfId="54794"/>
    <cellStyle name="Процентный 6 57 5" xfId="33434"/>
    <cellStyle name="Процентный 6 58" xfId="1414"/>
    <cellStyle name="Процентный 6 58 2" xfId="6756"/>
    <cellStyle name="Процентный 6 58 2 2" xfId="17436"/>
    <cellStyle name="Процентный 6 58 2 2 2" xfId="49480"/>
    <cellStyle name="Процентный 6 58 2 3" xfId="28117"/>
    <cellStyle name="Процентный 6 58 2 3 2" xfId="60160"/>
    <cellStyle name="Процентный 6 58 2 4" xfId="38800"/>
    <cellStyle name="Процентный 6 58 3" xfId="12096"/>
    <cellStyle name="Процентный 6 58 3 2" xfId="44140"/>
    <cellStyle name="Процентный 6 58 4" xfId="22777"/>
    <cellStyle name="Процентный 6 58 4 2" xfId="54820"/>
    <cellStyle name="Процентный 6 58 5" xfId="33460"/>
    <cellStyle name="Процентный 6 59" xfId="1440"/>
    <cellStyle name="Процентный 6 59 2" xfId="6782"/>
    <cellStyle name="Процентный 6 59 2 2" xfId="17462"/>
    <cellStyle name="Процентный 6 59 2 2 2" xfId="49506"/>
    <cellStyle name="Процентный 6 59 2 3" xfId="28143"/>
    <cellStyle name="Процентный 6 59 2 3 2" xfId="60186"/>
    <cellStyle name="Процентный 6 59 2 4" xfId="38826"/>
    <cellStyle name="Процентный 6 59 3" xfId="12122"/>
    <cellStyle name="Процентный 6 59 3 2" xfId="44166"/>
    <cellStyle name="Процентный 6 59 4" xfId="22803"/>
    <cellStyle name="Процентный 6 59 4 2" xfId="54846"/>
    <cellStyle name="Процентный 6 59 5" xfId="33486"/>
    <cellStyle name="Процентный 6 6" xfId="149"/>
    <cellStyle name="Процентный 6 6 2" xfId="617"/>
    <cellStyle name="Процентный 6 6 2 2" xfId="5960"/>
    <cellStyle name="Процентный 6 6 2 2 2" xfId="16640"/>
    <cellStyle name="Процентный 6 6 2 2 2 2" xfId="48684"/>
    <cellStyle name="Процентный 6 6 2 2 3" xfId="27321"/>
    <cellStyle name="Процентный 6 6 2 2 3 2" xfId="59364"/>
    <cellStyle name="Процентный 6 6 2 2 4" xfId="38004"/>
    <cellStyle name="Процентный 6 6 2 3" xfId="11300"/>
    <cellStyle name="Процентный 6 6 2 3 2" xfId="43344"/>
    <cellStyle name="Процентный 6 6 2 4" xfId="21981"/>
    <cellStyle name="Процентный 6 6 2 4 2" xfId="54024"/>
    <cellStyle name="Процентный 6 6 2 5" xfId="32664"/>
    <cellStyle name="Процентный 6 6 3" xfId="5493"/>
    <cellStyle name="Процентный 6 6 3 2" xfId="16173"/>
    <cellStyle name="Процентный 6 6 3 2 2" xfId="48217"/>
    <cellStyle name="Процентный 6 6 3 3" xfId="26854"/>
    <cellStyle name="Процентный 6 6 3 3 2" xfId="58897"/>
    <cellStyle name="Процентный 6 6 3 4" xfId="37537"/>
    <cellStyle name="Процентный 6 6 4" xfId="10833"/>
    <cellStyle name="Процентный 6 6 4 2" xfId="42877"/>
    <cellStyle name="Процентный 6 6 5" xfId="21514"/>
    <cellStyle name="Процентный 6 6 5 2" xfId="53557"/>
    <cellStyle name="Процентный 6 6 6" xfId="32197"/>
    <cellStyle name="Процентный 6 60" xfId="1466"/>
    <cellStyle name="Процентный 6 60 2" xfId="6808"/>
    <cellStyle name="Процентный 6 60 2 2" xfId="17488"/>
    <cellStyle name="Процентный 6 60 2 2 2" xfId="49532"/>
    <cellStyle name="Процентный 6 60 2 3" xfId="28169"/>
    <cellStyle name="Процентный 6 60 2 3 2" xfId="60212"/>
    <cellStyle name="Процентный 6 60 2 4" xfId="38852"/>
    <cellStyle name="Процентный 6 60 3" xfId="12148"/>
    <cellStyle name="Процентный 6 60 3 2" xfId="44192"/>
    <cellStyle name="Процентный 6 60 4" xfId="22829"/>
    <cellStyle name="Процентный 6 60 4 2" xfId="54872"/>
    <cellStyle name="Процентный 6 60 5" xfId="33512"/>
    <cellStyle name="Процентный 6 61" xfId="1492"/>
    <cellStyle name="Процентный 6 61 2" xfId="6834"/>
    <cellStyle name="Процентный 6 61 2 2" xfId="17514"/>
    <cellStyle name="Процентный 6 61 2 2 2" xfId="49558"/>
    <cellStyle name="Процентный 6 61 2 3" xfId="28195"/>
    <cellStyle name="Процентный 6 61 2 3 2" xfId="60238"/>
    <cellStyle name="Процентный 6 61 2 4" xfId="38878"/>
    <cellStyle name="Процентный 6 61 3" xfId="12174"/>
    <cellStyle name="Процентный 6 61 3 2" xfId="44218"/>
    <cellStyle name="Процентный 6 61 4" xfId="22855"/>
    <cellStyle name="Процентный 6 61 4 2" xfId="54898"/>
    <cellStyle name="Процентный 6 61 5" xfId="33538"/>
    <cellStyle name="Процентный 6 62" xfId="1518"/>
    <cellStyle name="Процентный 6 62 2" xfId="6860"/>
    <cellStyle name="Процентный 6 62 2 2" xfId="17540"/>
    <cellStyle name="Процентный 6 62 2 2 2" xfId="49584"/>
    <cellStyle name="Процентный 6 62 2 3" xfId="28221"/>
    <cellStyle name="Процентный 6 62 2 3 2" xfId="60264"/>
    <cellStyle name="Процентный 6 62 2 4" xfId="38904"/>
    <cellStyle name="Процентный 6 62 3" xfId="12200"/>
    <cellStyle name="Процентный 6 62 3 2" xfId="44244"/>
    <cellStyle name="Процентный 6 62 4" xfId="22881"/>
    <cellStyle name="Процентный 6 62 4 2" xfId="54924"/>
    <cellStyle name="Процентный 6 62 5" xfId="33564"/>
    <cellStyle name="Процентный 6 63" xfId="1544"/>
    <cellStyle name="Процентный 6 63 2" xfId="6886"/>
    <cellStyle name="Процентный 6 63 2 2" xfId="17566"/>
    <cellStyle name="Процентный 6 63 2 2 2" xfId="49610"/>
    <cellStyle name="Процентный 6 63 2 3" xfId="28247"/>
    <cellStyle name="Процентный 6 63 2 3 2" xfId="60290"/>
    <cellStyle name="Процентный 6 63 2 4" xfId="38930"/>
    <cellStyle name="Процентный 6 63 3" xfId="12226"/>
    <cellStyle name="Процентный 6 63 3 2" xfId="44270"/>
    <cellStyle name="Процентный 6 63 4" xfId="22907"/>
    <cellStyle name="Процентный 6 63 4 2" xfId="54950"/>
    <cellStyle name="Процентный 6 63 5" xfId="33590"/>
    <cellStyle name="Процентный 6 64" xfId="1570"/>
    <cellStyle name="Процентный 6 64 2" xfId="6912"/>
    <cellStyle name="Процентный 6 64 2 2" xfId="17592"/>
    <cellStyle name="Процентный 6 64 2 2 2" xfId="49636"/>
    <cellStyle name="Процентный 6 64 2 3" xfId="28273"/>
    <cellStyle name="Процентный 6 64 2 3 2" xfId="60316"/>
    <cellStyle name="Процентный 6 64 2 4" xfId="38956"/>
    <cellStyle name="Процентный 6 64 3" xfId="12252"/>
    <cellStyle name="Процентный 6 64 3 2" xfId="44296"/>
    <cellStyle name="Процентный 6 64 4" xfId="22933"/>
    <cellStyle name="Процентный 6 64 4 2" xfId="54976"/>
    <cellStyle name="Процентный 6 64 5" xfId="33616"/>
    <cellStyle name="Процентный 6 65" xfId="1596"/>
    <cellStyle name="Процентный 6 65 2" xfId="6938"/>
    <cellStyle name="Процентный 6 65 2 2" xfId="17618"/>
    <cellStyle name="Процентный 6 65 2 2 2" xfId="49662"/>
    <cellStyle name="Процентный 6 65 2 3" xfId="28299"/>
    <cellStyle name="Процентный 6 65 2 3 2" xfId="60342"/>
    <cellStyle name="Процентный 6 65 2 4" xfId="38982"/>
    <cellStyle name="Процентный 6 65 3" xfId="12278"/>
    <cellStyle name="Процентный 6 65 3 2" xfId="44322"/>
    <cellStyle name="Процентный 6 65 4" xfId="22959"/>
    <cellStyle name="Процентный 6 65 4 2" xfId="55002"/>
    <cellStyle name="Процентный 6 65 5" xfId="33642"/>
    <cellStyle name="Процентный 6 66" xfId="1622"/>
    <cellStyle name="Процентный 6 66 2" xfId="6964"/>
    <cellStyle name="Процентный 6 66 2 2" xfId="17644"/>
    <cellStyle name="Процентный 6 66 2 2 2" xfId="49688"/>
    <cellStyle name="Процентный 6 66 2 3" xfId="28325"/>
    <cellStyle name="Процентный 6 66 2 3 2" xfId="60368"/>
    <cellStyle name="Процентный 6 66 2 4" xfId="39008"/>
    <cellStyle name="Процентный 6 66 3" xfId="12304"/>
    <cellStyle name="Процентный 6 66 3 2" xfId="44348"/>
    <cellStyle name="Процентный 6 66 4" xfId="22985"/>
    <cellStyle name="Процентный 6 66 4 2" xfId="55028"/>
    <cellStyle name="Процентный 6 66 5" xfId="33668"/>
    <cellStyle name="Процентный 6 67" xfId="1648"/>
    <cellStyle name="Процентный 6 67 2" xfId="6990"/>
    <cellStyle name="Процентный 6 67 2 2" xfId="17670"/>
    <cellStyle name="Процентный 6 67 2 2 2" xfId="49714"/>
    <cellStyle name="Процентный 6 67 2 3" xfId="28351"/>
    <cellStyle name="Процентный 6 67 2 3 2" xfId="60394"/>
    <cellStyle name="Процентный 6 67 2 4" xfId="39034"/>
    <cellStyle name="Процентный 6 67 3" xfId="12330"/>
    <cellStyle name="Процентный 6 67 3 2" xfId="44374"/>
    <cellStyle name="Процентный 6 67 4" xfId="23011"/>
    <cellStyle name="Процентный 6 67 4 2" xfId="55054"/>
    <cellStyle name="Процентный 6 67 5" xfId="33694"/>
    <cellStyle name="Процентный 6 68" xfId="1674"/>
    <cellStyle name="Процентный 6 68 2" xfId="7016"/>
    <cellStyle name="Процентный 6 68 2 2" xfId="17696"/>
    <cellStyle name="Процентный 6 68 2 2 2" xfId="49740"/>
    <cellStyle name="Процентный 6 68 2 3" xfId="28377"/>
    <cellStyle name="Процентный 6 68 2 3 2" xfId="60420"/>
    <cellStyle name="Процентный 6 68 2 4" xfId="39060"/>
    <cellStyle name="Процентный 6 68 3" xfId="12356"/>
    <cellStyle name="Процентный 6 68 3 2" xfId="44400"/>
    <cellStyle name="Процентный 6 68 4" xfId="23037"/>
    <cellStyle name="Процентный 6 68 4 2" xfId="55080"/>
    <cellStyle name="Процентный 6 68 5" xfId="33720"/>
    <cellStyle name="Процентный 6 69" xfId="1700"/>
    <cellStyle name="Процентный 6 69 2" xfId="7042"/>
    <cellStyle name="Процентный 6 69 2 2" xfId="17722"/>
    <cellStyle name="Процентный 6 69 2 2 2" xfId="49766"/>
    <cellStyle name="Процентный 6 69 2 3" xfId="28403"/>
    <cellStyle name="Процентный 6 69 2 3 2" xfId="60446"/>
    <cellStyle name="Процентный 6 69 2 4" xfId="39086"/>
    <cellStyle name="Процентный 6 69 3" xfId="12382"/>
    <cellStyle name="Процентный 6 69 3 2" xfId="44426"/>
    <cellStyle name="Процентный 6 69 4" xfId="23063"/>
    <cellStyle name="Процентный 6 69 4 2" xfId="55106"/>
    <cellStyle name="Процентный 6 69 5" xfId="33746"/>
    <cellStyle name="Процентный 6 7" xfId="159"/>
    <cellStyle name="Процентный 6 7 2" xfId="627"/>
    <cellStyle name="Процентный 6 7 2 2" xfId="5970"/>
    <cellStyle name="Процентный 6 7 2 2 2" xfId="16650"/>
    <cellStyle name="Процентный 6 7 2 2 2 2" xfId="48694"/>
    <cellStyle name="Процентный 6 7 2 2 3" xfId="27331"/>
    <cellStyle name="Процентный 6 7 2 2 3 2" xfId="59374"/>
    <cellStyle name="Процентный 6 7 2 2 4" xfId="38014"/>
    <cellStyle name="Процентный 6 7 2 3" xfId="11310"/>
    <cellStyle name="Процентный 6 7 2 3 2" xfId="43354"/>
    <cellStyle name="Процентный 6 7 2 4" xfId="21991"/>
    <cellStyle name="Процентный 6 7 2 4 2" xfId="54034"/>
    <cellStyle name="Процентный 6 7 2 5" xfId="32674"/>
    <cellStyle name="Процентный 6 7 3" xfId="5503"/>
    <cellStyle name="Процентный 6 7 3 2" xfId="16183"/>
    <cellStyle name="Процентный 6 7 3 2 2" xfId="48227"/>
    <cellStyle name="Процентный 6 7 3 3" xfId="26864"/>
    <cellStyle name="Процентный 6 7 3 3 2" xfId="58907"/>
    <cellStyle name="Процентный 6 7 3 4" xfId="37547"/>
    <cellStyle name="Процентный 6 7 4" xfId="10843"/>
    <cellStyle name="Процентный 6 7 4 2" xfId="42887"/>
    <cellStyle name="Процентный 6 7 5" xfId="21524"/>
    <cellStyle name="Процентный 6 7 5 2" xfId="53567"/>
    <cellStyle name="Процентный 6 7 6" xfId="32207"/>
    <cellStyle name="Процентный 6 70" xfId="1726"/>
    <cellStyle name="Процентный 6 70 2" xfId="7068"/>
    <cellStyle name="Процентный 6 70 2 2" xfId="17748"/>
    <cellStyle name="Процентный 6 70 2 2 2" xfId="49792"/>
    <cellStyle name="Процентный 6 70 2 3" xfId="28429"/>
    <cellStyle name="Процентный 6 70 2 3 2" xfId="60472"/>
    <cellStyle name="Процентный 6 70 2 4" xfId="39112"/>
    <cellStyle name="Процентный 6 70 3" xfId="12408"/>
    <cellStyle name="Процентный 6 70 3 2" xfId="44452"/>
    <cellStyle name="Процентный 6 70 4" xfId="23089"/>
    <cellStyle name="Процентный 6 70 4 2" xfId="55132"/>
    <cellStyle name="Процентный 6 70 5" xfId="33772"/>
    <cellStyle name="Процентный 6 71" xfId="1752"/>
    <cellStyle name="Процентный 6 71 2" xfId="7094"/>
    <cellStyle name="Процентный 6 71 2 2" xfId="17774"/>
    <cellStyle name="Процентный 6 71 2 2 2" xfId="49818"/>
    <cellStyle name="Процентный 6 71 2 3" xfId="28455"/>
    <cellStyle name="Процентный 6 71 2 3 2" xfId="60498"/>
    <cellStyle name="Процентный 6 71 2 4" xfId="39138"/>
    <cellStyle name="Процентный 6 71 3" xfId="12434"/>
    <cellStyle name="Процентный 6 71 3 2" xfId="44478"/>
    <cellStyle name="Процентный 6 71 4" xfId="23115"/>
    <cellStyle name="Процентный 6 71 4 2" xfId="55158"/>
    <cellStyle name="Процентный 6 71 5" xfId="33798"/>
    <cellStyle name="Процентный 6 72" xfId="1778"/>
    <cellStyle name="Процентный 6 72 2" xfId="7120"/>
    <cellStyle name="Процентный 6 72 2 2" xfId="17800"/>
    <cellStyle name="Процентный 6 72 2 2 2" xfId="49844"/>
    <cellStyle name="Процентный 6 72 2 3" xfId="28481"/>
    <cellStyle name="Процентный 6 72 2 3 2" xfId="60524"/>
    <cellStyle name="Процентный 6 72 2 4" xfId="39164"/>
    <cellStyle name="Процентный 6 72 3" xfId="12460"/>
    <cellStyle name="Процентный 6 72 3 2" xfId="44504"/>
    <cellStyle name="Процентный 6 72 4" xfId="23141"/>
    <cellStyle name="Процентный 6 72 4 2" xfId="55184"/>
    <cellStyle name="Процентный 6 72 5" xfId="33824"/>
    <cellStyle name="Процентный 6 73" xfId="1804"/>
    <cellStyle name="Процентный 6 73 2" xfId="7146"/>
    <cellStyle name="Процентный 6 73 2 2" xfId="17826"/>
    <cellStyle name="Процентный 6 73 2 2 2" xfId="49870"/>
    <cellStyle name="Процентный 6 73 2 3" xfId="28507"/>
    <cellStyle name="Процентный 6 73 2 3 2" xfId="60550"/>
    <cellStyle name="Процентный 6 73 2 4" xfId="39190"/>
    <cellStyle name="Процентный 6 73 3" xfId="12486"/>
    <cellStyle name="Процентный 6 73 3 2" xfId="44530"/>
    <cellStyle name="Процентный 6 73 4" xfId="23167"/>
    <cellStyle name="Процентный 6 73 4 2" xfId="55210"/>
    <cellStyle name="Процентный 6 73 5" xfId="33850"/>
    <cellStyle name="Процентный 6 74" xfId="1830"/>
    <cellStyle name="Процентный 6 74 2" xfId="7172"/>
    <cellStyle name="Процентный 6 74 2 2" xfId="17852"/>
    <cellStyle name="Процентный 6 74 2 2 2" xfId="49896"/>
    <cellStyle name="Процентный 6 74 2 3" xfId="28533"/>
    <cellStyle name="Процентный 6 74 2 3 2" xfId="60576"/>
    <cellStyle name="Процентный 6 74 2 4" xfId="39216"/>
    <cellStyle name="Процентный 6 74 3" xfId="12512"/>
    <cellStyle name="Процентный 6 74 3 2" xfId="44556"/>
    <cellStyle name="Процентный 6 74 4" xfId="23193"/>
    <cellStyle name="Процентный 6 74 4 2" xfId="55236"/>
    <cellStyle name="Процентный 6 74 5" xfId="33876"/>
    <cellStyle name="Процентный 6 75" xfId="1856"/>
    <cellStyle name="Процентный 6 75 2" xfId="7198"/>
    <cellStyle name="Процентный 6 75 2 2" xfId="17878"/>
    <cellStyle name="Процентный 6 75 2 2 2" xfId="49922"/>
    <cellStyle name="Процентный 6 75 2 3" xfId="28559"/>
    <cellStyle name="Процентный 6 75 2 3 2" xfId="60602"/>
    <cellStyle name="Процентный 6 75 2 4" xfId="39242"/>
    <cellStyle name="Процентный 6 75 3" xfId="12538"/>
    <cellStyle name="Процентный 6 75 3 2" xfId="44582"/>
    <cellStyle name="Процентный 6 75 4" xfId="23219"/>
    <cellStyle name="Процентный 6 75 4 2" xfId="55262"/>
    <cellStyle name="Процентный 6 75 5" xfId="33902"/>
    <cellStyle name="Процентный 6 76" xfId="1882"/>
    <cellStyle name="Процентный 6 76 2" xfId="7224"/>
    <cellStyle name="Процентный 6 76 2 2" xfId="17904"/>
    <cellStyle name="Процентный 6 76 2 2 2" xfId="49948"/>
    <cellStyle name="Процентный 6 76 2 3" xfId="28585"/>
    <cellStyle name="Процентный 6 76 2 3 2" xfId="60628"/>
    <cellStyle name="Процентный 6 76 2 4" xfId="39268"/>
    <cellStyle name="Процентный 6 76 3" xfId="12564"/>
    <cellStyle name="Процентный 6 76 3 2" xfId="44608"/>
    <cellStyle name="Процентный 6 76 4" xfId="23245"/>
    <cellStyle name="Процентный 6 76 4 2" xfId="55288"/>
    <cellStyle name="Процентный 6 76 5" xfId="33928"/>
    <cellStyle name="Процентный 6 77" xfId="1908"/>
    <cellStyle name="Процентный 6 77 2" xfId="7250"/>
    <cellStyle name="Процентный 6 77 2 2" xfId="17930"/>
    <cellStyle name="Процентный 6 77 2 2 2" xfId="49974"/>
    <cellStyle name="Процентный 6 77 2 3" xfId="28611"/>
    <cellStyle name="Процентный 6 77 2 3 2" xfId="60654"/>
    <cellStyle name="Процентный 6 77 2 4" xfId="39294"/>
    <cellStyle name="Процентный 6 77 3" xfId="12590"/>
    <cellStyle name="Процентный 6 77 3 2" xfId="44634"/>
    <cellStyle name="Процентный 6 77 4" xfId="23271"/>
    <cellStyle name="Процентный 6 77 4 2" xfId="55314"/>
    <cellStyle name="Процентный 6 77 5" xfId="33954"/>
    <cellStyle name="Процентный 6 78" xfId="1936"/>
    <cellStyle name="Процентный 6 78 2" xfId="7278"/>
    <cellStyle name="Процентный 6 78 2 2" xfId="17958"/>
    <cellStyle name="Процентный 6 78 2 2 2" xfId="50002"/>
    <cellStyle name="Процентный 6 78 2 3" xfId="28639"/>
    <cellStyle name="Процентный 6 78 2 3 2" xfId="60682"/>
    <cellStyle name="Процентный 6 78 2 4" xfId="39322"/>
    <cellStyle name="Процентный 6 78 3" xfId="12618"/>
    <cellStyle name="Процентный 6 78 3 2" xfId="44662"/>
    <cellStyle name="Процентный 6 78 4" xfId="23299"/>
    <cellStyle name="Процентный 6 78 4 2" xfId="55342"/>
    <cellStyle name="Процентный 6 78 5" xfId="33982"/>
    <cellStyle name="Процентный 6 79" xfId="1964"/>
    <cellStyle name="Процентный 6 79 2" xfId="7306"/>
    <cellStyle name="Процентный 6 79 2 2" xfId="17986"/>
    <cellStyle name="Процентный 6 79 2 2 2" xfId="50030"/>
    <cellStyle name="Процентный 6 79 2 3" xfId="28667"/>
    <cellStyle name="Процентный 6 79 2 3 2" xfId="60710"/>
    <cellStyle name="Процентный 6 79 2 4" xfId="39350"/>
    <cellStyle name="Процентный 6 79 3" xfId="12646"/>
    <cellStyle name="Процентный 6 79 3 2" xfId="44690"/>
    <cellStyle name="Процентный 6 79 4" xfId="23327"/>
    <cellStyle name="Процентный 6 79 4 2" xfId="55370"/>
    <cellStyle name="Процентный 6 79 5" xfId="34010"/>
    <cellStyle name="Процентный 6 8" xfId="169"/>
    <cellStyle name="Процентный 6 8 2" xfId="637"/>
    <cellStyle name="Процентный 6 8 2 2" xfId="5980"/>
    <cellStyle name="Процентный 6 8 2 2 2" xfId="16660"/>
    <cellStyle name="Процентный 6 8 2 2 2 2" xfId="48704"/>
    <cellStyle name="Процентный 6 8 2 2 3" xfId="27341"/>
    <cellStyle name="Процентный 6 8 2 2 3 2" xfId="59384"/>
    <cellStyle name="Процентный 6 8 2 2 4" xfId="38024"/>
    <cellStyle name="Процентный 6 8 2 3" xfId="11320"/>
    <cellStyle name="Процентный 6 8 2 3 2" xfId="43364"/>
    <cellStyle name="Процентный 6 8 2 4" xfId="22001"/>
    <cellStyle name="Процентный 6 8 2 4 2" xfId="54044"/>
    <cellStyle name="Процентный 6 8 2 5" xfId="32684"/>
    <cellStyle name="Процентный 6 8 3" xfId="5513"/>
    <cellStyle name="Процентный 6 8 3 2" xfId="16193"/>
    <cellStyle name="Процентный 6 8 3 2 2" xfId="48237"/>
    <cellStyle name="Процентный 6 8 3 3" xfId="26874"/>
    <cellStyle name="Процентный 6 8 3 3 2" xfId="58917"/>
    <cellStyle name="Процентный 6 8 3 4" xfId="37557"/>
    <cellStyle name="Процентный 6 8 4" xfId="10853"/>
    <cellStyle name="Процентный 6 8 4 2" xfId="42897"/>
    <cellStyle name="Процентный 6 8 5" xfId="21534"/>
    <cellStyle name="Процентный 6 8 5 2" xfId="53577"/>
    <cellStyle name="Процентный 6 8 6" xfId="32217"/>
    <cellStyle name="Процентный 6 80" xfId="1992"/>
    <cellStyle name="Процентный 6 80 2" xfId="7334"/>
    <cellStyle name="Процентный 6 80 2 2" xfId="18014"/>
    <cellStyle name="Процентный 6 80 2 2 2" xfId="50058"/>
    <cellStyle name="Процентный 6 80 2 3" xfId="28695"/>
    <cellStyle name="Процентный 6 80 2 3 2" xfId="60738"/>
    <cellStyle name="Процентный 6 80 2 4" xfId="39378"/>
    <cellStyle name="Процентный 6 80 3" xfId="12674"/>
    <cellStyle name="Процентный 6 80 3 2" xfId="44718"/>
    <cellStyle name="Процентный 6 80 4" xfId="23355"/>
    <cellStyle name="Процентный 6 80 4 2" xfId="55398"/>
    <cellStyle name="Процентный 6 80 5" xfId="34038"/>
    <cellStyle name="Процентный 6 81" xfId="2020"/>
    <cellStyle name="Процентный 6 81 2" xfId="7362"/>
    <cellStyle name="Процентный 6 81 2 2" xfId="18042"/>
    <cellStyle name="Процентный 6 81 2 2 2" xfId="50086"/>
    <cellStyle name="Процентный 6 81 2 3" xfId="28723"/>
    <cellStyle name="Процентный 6 81 2 3 2" xfId="60766"/>
    <cellStyle name="Процентный 6 81 2 4" xfId="39406"/>
    <cellStyle name="Процентный 6 81 3" xfId="12702"/>
    <cellStyle name="Процентный 6 81 3 2" xfId="44746"/>
    <cellStyle name="Процентный 6 81 4" xfId="23383"/>
    <cellStyle name="Процентный 6 81 4 2" xfId="55426"/>
    <cellStyle name="Процентный 6 81 5" xfId="34066"/>
    <cellStyle name="Процентный 6 82" xfId="2048"/>
    <cellStyle name="Процентный 6 82 2" xfId="7390"/>
    <cellStyle name="Процентный 6 82 2 2" xfId="18070"/>
    <cellStyle name="Процентный 6 82 2 2 2" xfId="50114"/>
    <cellStyle name="Процентный 6 82 2 3" xfId="28751"/>
    <cellStyle name="Процентный 6 82 2 3 2" xfId="60794"/>
    <cellStyle name="Процентный 6 82 2 4" xfId="39434"/>
    <cellStyle name="Процентный 6 82 3" xfId="12730"/>
    <cellStyle name="Процентный 6 82 3 2" xfId="44774"/>
    <cellStyle name="Процентный 6 82 4" xfId="23411"/>
    <cellStyle name="Процентный 6 82 4 2" xfId="55454"/>
    <cellStyle name="Процентный 6 82 5" xfId="34094"/>
    <cellStyle name="Процентный 6 83" xfId="2076"/>
    <cellStyle name="Процентный 6 83 2" xfId="7418"/>
    <cellStyle name="Процентный 6 83 2 2" xfId="18098"/>
    <cellStyle name="Процентный 6 83 2 2 2" xfId="50142"/>
    <cellStyle name="Процентный 6 83 2 3" xfId="28779"/>
    <cellStyle name="Процентный 6 83 2 3 2" xfId="60822"/>
    <cellStyle name="Процентный 6 83 2 4" xfId="39462"/>
    <cellStyle name="Процентный 6 83 3" xfId="12758"/>
    <cellStyle name="Процентный 6 83 3 2" xfId="44802"/>
    <cellStyle name="Процентный 6 83 4" xfId="23439"/>
    <cellStyle name="Процентный 6 83 4 2" xfId="55482"/>
    <cellStyle name="Процентный 6 83 5" xfId="34122"/>
    <cellStyle name="Процентный 6 84" xfId="2104"/>
    <cellStyle name="Процентный 6 84 2" xfId="7446"/>
    <cellStyle name="Процентный 6 84 2 2" xfId="18126"/>
    <cellStyle name="Процентный 6 84 2 2 2" xfId="50170"/>
    <cellStyle name="Процентный 6 84 2 3" xfId="28807"/>
    <cellStyle name="Процентный 6 84 2 3 2" xfId="60850"/>
    <cellStyle name="Процентный 6 84 2 4" xfId="39490"/>
    <cellStyle name="Процентный 6 84 3" xfId="12786"/>
    <cellStyle name="Процентный 6 84 3 2" xfId="44830"/>
    <cellStyle name="Процентный 6 84 4" xfId="23467"/>
    <cellStyle name="Процентный 6 84 4 2" xfId="55510"/>
    <cellStyle name="Процентный 6 84 5" xfId="34150"/>
    <cellStyle name="Процентный 6 85" xfId="2134"/>
    <cellStyle name="Процентный 6 85 2" xfId="7476"/>
    <cellStyle name="Процентный 6 85 2 2" xfId="18156"/>
    <cellStyle name="Процентный 6 85 2 2 2" xfId="50200"/>
    <cellStyle name="Процентный 6 85 2 3" xfId="28837"/>
    <cellStyle name="Процентный 6 85 2 3 2" xfId="60880"/>
    <cellStyle name="Процентный 6 85 2 4" xfId="39520"/>
    <cellStyle name="Процентный 6 85 3" xfId="12816"/>
    <cellStyle name="Процентный 6 85 3 2" xfId="44860"/>
    <cellStyle name="Процентный 6 85 4" xfId="23497"/>
    <cellStyle name="Процентный 6 85 4 2" xfId="55540"/>
    <cellStyle name="Процентный 6 85 5" xfId="34180"/>
    <cellStyle name="Процентный 6 86" xfId="2164"/>
    <cellStyle name="Процентный 6 86 2" xfId="7506"/>
    <cellStyle name="Процентный 6 86 2 2" xfId="18186"/>
    <cellStyle name="Процентный 6 86 2 2 2" xfId="50230"/>
    <cellStyle name="Процентный 6 86 2 3" xfId="28867"/>
    <cellStyle name="Процентный 6 86 2 3 2" xfId="60910"/>
    <cellStyle name="Процентный 6 86 2 4" xfId="39550"/>
    <cellStyle name="Процентный 6 86 3" xfId="12846"/>
    <cellStyle name="Процентный 6 86 3 2" xfId="44890"/>
    <cellStyle name="Процентный 6 86 4" xfId="23527"/>
    <cellStyle name="Процентный 6 86 4 2" xfId="55570"/>
    <cellStyle name="Процентный 6 86 5" xfId="34210"/>
    <cellStyle name="Процентный 6 87" xfId="2194"/>
    <cellStyle name="Процентный 6 87 2" xfId="7536"/>
    <cellStyle name="Процентный 6 87 2 2" xfId="18216"/>
    <cellStyle name="Процентный 6 87 2 2 2" xfId="50260"/>
    <cellStyle name="Процентный 6 87 2 3" xfId="28897"/>
    <cellStyle name="Процентный 6 87 2 3 2" xfId="60940"/>
    <cellStyle name="Процентный 6 87 2 4" xfId="39580"/>
    <cellStyle name="Процентный 6 87 3" xfId="12876"/>
    <cellStyle name="Процентный 6 87 3 2" xfId="44920"/>
    <cellStyle name="Процентный 6 87 4" xfId="23557"/>
    <cellStyle name="Процентный 6 87 4 2" xfId="55600"/>
    <cellStyle name="Процентный 6 87 5" xfId="34240"/>
    <cellStyle name="Процентный 6 88" xfId="2224"/>
    <cellStyle name="Процентный 6 88 2" xfId="7566"/>
    <cellStyle name="Процентный 6 88 2 2" xfId="18246"/>
    <cellStyle name="Процентный 6 88 2 2 2" xfId="50290"/>
    <cellStyle name="Процентный 6 88 2 3" xfId="28927"/>
    <cellStyle name="Процентный 6 88 2 3 2" xfId="60970"/>
    <cellStyle name="Процентный 6 88 2 4" xfId="39610"/>
    <cellStyle name="Процентный 6 88 3" xfId="12906"/>
    <cellStyle name="Процентный 6 88 3 2" xfId="44950"/>
    <cellStyle name="Процентный 6 88 4" xfId="23587"/>
    <cellStyle name="Процентный 6 88 4 2" xfId="55630"/>
    <cellStyle name="Процентный 6 88 5" xfId="34270"/>
    <cellStyle name="Процентный 6 89" xfId="2254"/>
    <cellStyle name="Процентный 6 89 2" xfId="7596"/>
    <cellStyle name="Процентный 6 89 2 2" xfId="18276"/>
    <cellStyle name="Процентный 6 89 2 2 2" xfId="50320"/>
    <cellStyle name="Процентный 6 89 2 3" xfId="28957"/>
    <cellStyle name="Процентный 6 89 2 3 2" xfId="61000"/>
    <cellStyle name="Процентный 6 89 2 4" xfId="39640"/>
    <cellStyle name="Процентный 6 89 3" xfId="12936"/>
    <cellStyle name="Процентный 6 89 3 2" xfId="44980"/>
    <cellStyle name="Процентный 6 89 4" xfId="23617"/>
    <cellStyle name="Процентный 6 89 4 2" xfId="55660"/>
    <cellStyle name="Процентный 6 89 5" xfId="34300"/>
    <cellStyle name="Процентный 6 9" xfId="179"/>
    <cellStyle name="Процентный 6 9 2" xfId="647"/>
    <cellStyle name="Процентный 6 9 2 2" xfId="5990"/>
    <cellStyle name="Процентный 6 9 2 2 2" xfId="16670"/>
    <cellStyle name="Процентный 6 9 2 2 2 2" xfId="48714"/>
    <cellStyle name="Процентный 6 9 2 2 3" xfId="27351"/>
    <cellStyle name="Процентный 6 9 2 2 3 2" xfId="59394"/>
    <cellStyle name="Процентный 6 9 2 2 4" xfId="38034"/>
    <cellStyle name="Процентный 6 9 2 3" xfId="11330"/>
    <cellStyle name="Процентный 6 9 2 3 2" xfId="43374"/>
    <cellStyle name="Процентный 6 9 2 4" xfId="22011"/>
    <cellStyle name="Процентный 6 9 2 4 2" xfId="54054"/>
    <cellStyle name="Процентный 6 9 2 5" xfId="32694"/>
    <cellStyle name="Процентный 6 9 3" xfId="5523"/>
    <cellStyle name="Процентный 6 9 3 2" xfId="16203"/>
    <cellStyle name="Процентный 6 9 3 2 2" xfId="48247"/>
    <cellStyle name="Процентный 6 9 3 3" xfId="26884"/>
    <cellStyle name="Процентный 6 9 3 3 2" xfId="58927"/>
    <cellStyle name="Процентный 6 9 3 4" xfId="37567"/>
    <cellStyle name="Процентный 6 9 4" xfId="10863"/>
    <cellStyle name="Процентный 6 9 4 2" xfId="42907"/>
    <cellStyle name="Процентный 6 9 5" xfId="21544"/>
    <cellStyle name="Процентный 6 9 5 2" xfId="53587"/>
    <cellStyle name="Процентный 6 9 6" xfId="32227"/>
    <cellStyle name="Процентный 6 90" xfId="2284"/>
    <cellStyle name="Процентный 6 90 2" xfId="7626"/>
    <cellStyle name="Процентный 6 90 2 2" xfId="18306"/>
    <cellStyle name="Процентный 6 90 2 2 2" xfId="50350"/>
    <cellStyle name="Процентный 6 90 2 3" xfId="28987"/>
    <cellStyle name="Процентный 6 90 2 3 2" xfId="61030"/>
    <cellStyle name="Процентный 6 90 2 4" xfId="39670"/>
    <cellStyle name="Процентный 6 90 3" xfId="12966"/>
    <cellStyle name="Процентный 6 90 3 2" xfId="45010"/>
    <cellStyle name="Процентный 6 90 4" xfId="23647"/>
    <cellStyle name="Процентный 6 90 4 2" xfId="55690"/>
    <cellStyle name="Процентный 6 90 5" xfId="34330"/>
    <cellStyle name="Процентный 6 91" xfId="2314"/>
    <cellStyle name="Процентный 6 91 2" xfId="7656"/>
    <cellStyle name="Процентный 6 91 2 2" xfId="18336"/>
    <cellStyle name="Процентный 6 91 2 2 2" xfId="50380"/>
    <cellStyle name="Процентный 6 91 2 3" xfId="29017"/>
    <cellStyle name="Процентный 6 91 2 3 2" xfId="61060"/>
    <cellStyle name="Процентный 6 91 2 4" xfId="39700"/>
    <cellStyle name="Процентный 6 91 3" xfId="12996"/>
    <cellStyle name="Процентный 6 91 3 2" xfId="45040"/>
    <cellStyle name="Процентный 6 91 4" xfId="23677"/>
    <cellStyle name="Процентный 6 91 4 2" xfId="55720"/>
    <cellStyle name="Процентный 6 91 5" xfId="34360"/>
    <cellStyle name="Процентный 6 92" xfId="2344"/>
    <cellStyle name="Процентный 6 92 2" xfId="7686"/>
    <cellStyle name="Процентный 6 92 2 2" xfId="18366"/>
    <cellStyle name="Процентный 6 92 2 2 2" xfId="50410"/>
    <cellStyle name="Процентный 6 92 2 3" xfId="29047"/>
    <cellStyle name="Процентный 6 92 2 3 2" xfId="61090"/>
    <cellStyle name="Процентный 6 92 2 4" xfId="39730"/>
    <cellStyle name="Процентный 6 92 3" xfId="13026"/>
    <cellStyle name="Процентный 6 92 3 2" xfId="45070"/>
    <cellStyle name="Процентный 6 92 4" xfId="23707"/>
    <cellStyle name="Процентный 6 92 4 2" xfId="55750"/>
    <cellStyle name="Процентный 6 92 5" xfId="34390"/>
    <cellStyle name="Процентный 6 93" xfId="2374"/>
    <cellStyle name="Процентный 6 93 2" xfId="7716"/>
    <cellStyle name="Процентный 6 93 2 2" xfId="18396"/>
    <cellStyle name="Процентный 6 93 2 2 2" xfId="50440"/>
    <cellStyle name="Процентный 6 93 2 3" xfId="29077"/>
    <cellStyle name="Процентный 6 93 2 3 2" xfId="61120"/>
    <cellStyle name="Процентный 6 93 2 4" xfId="39760"/>
    <cellStyle name="Процентный 6 93 3" xfId="13056"/>
    <cellStyle name="Процентный 6 93 3 2" xfId="45100"/>
    <cellStyle name="Процентный 6 93 4" xfId="23737"/>
    <cellStyle name="Процентный 6 93 4 2" xfId="55780"/>
    <cellStyle name="Процентный 6 93 5" xfId="34420"/>
    <cellStyle name="Процентный 6 94" xfId="2404"/>
    <cellStyle name="Процентный 6 94 2" xfId="7746"/>
    <cellStyle name="Процентный 6 94 2 2" xfId="18426"/>
    <cellStyle name="Процентный 6 94 2 2 2" xfId="50470"/>
    <cellStyle name="Процентный 6 94 2 3" xfId="29107"/>
    <cellStyle name="Процентный 6 94 2 3 2" xfId="61150"/>
    <cellStyle name="Процентный 6 94 2 4" xfId="39790"/>
    <cellStyle name="Процентный 6 94 3" xfId="13086"/>
    <cellStyle name="Процентный 6 94 3 2" xfId="45130"/>
    <cellStyle name="Процентный 6 94 4" xfId="23767"/>
    <cellStyle name="Процентный 6 94 4 2" xfId="55810"/>
    <cellStyle name="Процентный 6 94 5" xfId="34450"/>
    <cellStyle name="Процентный 6 95" xfId="2434"/>
    <cellStyle name="Процентный 6 95 2" xfId="7776"/>
    <cellStyle name="Процентный 6 95 2 2" xfId="18456"/>
    <cellStyle name="Процентный 6 95 2 2 2" xfId="50500"/>
    <cellStyle name="Процентный 6 95 2 3" xfId="29137"/>
    <cellStyle name="Процентный 6 95 2 3 2" xfId="61180"/>
    <cellStyle name="Процентный 6 95 2 4" xfId="39820"/>
    <cellStyle name="Процентный 6 95 3" xfId="13116"/>
    <cellStyle name="Процентный 6 95 3 2" xfId="45160"/>
    <cellStyle name="Процентный 6 95 4" xfId="23797"/>
    <cellStyle name="Процентный 6 95 4 2" xfId="55840"/>
    <cellStyle name="Процентный 6 95 5" xfId="34480"/>
    <cellStyle name="Процентный 6 96" xfId="2464"/>
    <cellStyle name="Процентный 6 96 2" xfId="7806"/>
    <cellStyle name="Процентный 6 96 2 2" xfId="18486"/>
    <cellStyle name="Процентный 6 96 2 2 2" xfId="50530"/>
    <cellStyle name="Процентный 6 96 2 3" xfId="29167"/>
    <cellStyle name="Процентный 6 96 2 3 2" xfId="61210"/>
    <cellStyle name="Процентный 6 96 2 4" xfId="39850"/>
    <cellStyle name="Процентный 6 96 3" xfId="13146"/>
    <cellStyle name="Процентный 6 96 3 2" xfId="45190"/>
    <cellStyle name="Процентный 6 96 4" xfId="23827"/>
    <cellStyle name="Процентный 6 96 4 2" xfId="55870"/>
    <cellStyle name="Процентный 6 96 5" xfId="34510"/>
    <cellStyle name="Процентный 6 97" xfId="2496"/>
    <cellStyle name="Процентный 6 97 2" xfId="7838"/>
    <cellStyle name="Процентный 6 97 2 2" xfId="18518"/>
    <cellStyle name="Процентный 6 97 2 2 2" xfId="50562"/>
    <cellStyle name="Процентный 6 97 2 3" xfId="29199"/>
    <cellStyle name="Процентный 6 97 2 3 2" xfId="61242"/>
    <cellStyle name="Процентный 6 97 2 4" xfId="39882"/>
    <cellStyle name="Процентный 6 97 3" xfId="13178"/>
    <cellStyle name="Процентный 6 97 3 2" xfId="45222"/>
    <cellStyle name="Процентный 6 97 4" xfId="23859"/>
    <cellStyle name="Процентный 6 97 4 2" xfId="55902"/>
    <cellStyle name="Процентный 6 97 5" xfId="34542"/>
    <cellStyle name="Процентный 6 98" xfId="2530"/>
    <cellStyle name="Процентный 6 98 2" xfId="7872"/>
    <cellStyle name="Процентный 6 98 2 2" xfId="18552"/>
    <cellStyle name="Процентный 6 98 2 2 2" xfId="50596"/>
    <cellStyle name="Процентный 6 98 2 3" xfId="29233"/>
    <cellStyle name="Процентный 6 98 2 3 2" xfId="61276"/>
    <cellStyle name="Процентный 6 98 2 4" xfId="39916"/>
    <cellStyle name="Процентный 6 98 3" xfId="13212"/>
    <cellStyle name="Процентный 6 98 3 2" xfId="45256"/>
    <cellStyle name="Процентный 6 98 4" xfId="23893"/>
    <cellStyle name="Процентный 6 98 4 2" xfId="55936"/>
    <cellStyle name="Процентный 6 98 5" xfId="34576"/>
    <cellStyle name="Процентный 6 99" xfId="2562"/>
    <cellStyle name="Процентный 6 99 2" xfId="7904"/>
    <cellStyle name="Процентный 6 99 2 2" xfId="18584"/>
    <cellStyle name="Процентный 6 99 2 2 2" xfId="50628"/>
    <cellStyle name="Процентный 6 99 2 3" xfId="29265"/>
    <cellStyle name="Процентный 6 99 2 3 2" xfId="61308"/>
    <cellStyle name="Процентный 6 99 2 4" xfId="39948"/>
    <cellStyle name="Процентный 6 99 3" xfId="13244"/>
    <cellStyle name="Процентный 6 99 3 2" xfId="45288"/>
    <cellStyle name="Процентный 6 99 4" xfId="23925"/>
    <cellStyle name="Процентный 6 99 4 2" xfId="55968"/>
    <cellStyle name="Процентный 6 99 5" xfId="34608"/>
    <cellStyle name="Процентный 7" xfId="401"/>
    <cellStyle name="Процентный 7 10" xfId="869"/>
    <cellStyle name="Процентный 7 10 2" xfId="6212"/>
    <cellStyle name="Процентный 7 10 2 2" xfId="16892"/>
    <cellStyle name="Процентный 7 10 2 2 2" xfId="48936"/>
    <cellStyle name="Процентный 7 10 2 3" xfId="27573"/>
    <cellStyle name="Процентный 7 10 2 3 2" xfId="59616"/>
    <cellStyle name="Процентный 7 10 2 4" xfId="38256"/>
    <cellStyle name="Процентный 7 10 3" xfId="11552"/>
    <cellStyle name="Процентный 7 10 3 2" xfId="43596"/>
    <cellStyle name="Процентный 7 10 4" xfId="22233"/>
    <cellStyle name="Процентный 7 10 4 2" xfId="54276"/>
    <cellStyle name="Процентный 7 10 5" xfId="32916"/>
    <cellStyle name="Процентный 7 100" xfId="3559"/>
    <cellStyle name="Процентный 7 100 2" xfId="8900"/>
    <cellStyle name="Процентный 7 100 2 2" xfId="19580"/>
    <cellStyle name="Процентный 7 100 2 2 2" xfId="51624"/>
    <cellStyle name="Процентный 7 100 2 3" xfId="30261"/>
    <cellStyle name="Процентный 7 100 2 3 2" xfId="62304"/>
    <cellStyle name="Процентный 7 100 2 4" xfId="40944"/>
    <cellStyle name="Процентный 7 100 3" xfId="14240"/>
    <cellStyle name="Процентный 7 100 3 2" xfId="46284"/>
    <cellStyle name="Процентный 7 100 4" xfId="24921"/>
    <cellStyle name="Процентный 7 100 4 2" xfId="56964"/>
    <cellStyle name="Процентный 7 100 5" xfId="35604"/>
    <cellStyle name="Процентный 7 101" xfId="3591"/>
    <cellStyle name="Процентный 7 101 2" xfId="8932"/>
    <cellStyle name="Процентный 7 101 2 2" xfId="19612"/>
    <cellStyle name="Процентный 7 101 2 2 2" xfId="51656"/>
    <cellStyle name="Процентный 7 101 2 3" xfId="30293"/>
    <cellStyle name="Процентный 7 101 2 3 2" xfId="62336"/>
    <cellStyle name="Процентный 7 101 2 4" xfId="40976"/>
    <cellStyle name="Процентный 7 101 3" xfId="14272"/>
    <cellStyle name="Процентный 7 101 3 2" xfId="46316"/>
    <cellStyle name="Процентный 7 101 4" xfId="24953"/>
    <cellStyle name="Процентный 7 101 4 2" xfId="56996"/>
    <cellStyle name="Процентный 7 101 5" xfId="35636"/>
    <cellStyle name="Процентный 7 102" xfId="3623"/>
    <cellStyle name="Процентный 7 102 2" xfId="8964"/>
    <cellStyle name="Процентный 7 102 2 2" xfId="19644"/>
    <cellStyle name="Процентный 7 102 2 2 2" xfId="51688"/>
    <cellStyle name="Процентный 7 102 2 3" xfId="30325"/>
    <cellStyle name="Процентный 7 102 2 3 2" xfId="62368"/>
    <cellStyle name="Процентный 7 102 2 4" xfId="41008"/>
    <cellStyle name="Процентный 7 102 3" xfId="14304"/>
    <cellStyle name="Процентный 7 102 3 2" xfId="46348"/>
    <cellStyle name="Процентный 7 102 4" xfId="24985"/>
    <cellStyle name="Процентный 7 102 4 2" xfId="57028"/>
    <cellStyle name="Процентный 7 102 5" xfId="35668"/>
    <cellStyle name="Процентный 7 103" xfId="3655"/>
    <cellStyle name="Процентный 7 103 2" xfId="8996"/>
    <cellStyle name="Процентный 7 103 2 2" xfId="19676"/>
    <cellStyle name="Процентный 7 103 2 2 2" xfId="51720"/>
    <cellStyle name="Процентный 7 103 2 3" xfId="30357"/>
    <cellStyle name="Процентный 7 103 2 3 2" xfId="62400"/>
    <cellStyle name="Процентный 7 103 2 4" xfId="41040"/>
    <cellStyle name="Процентный 7 103 3" xfId="14336"/>
    <cellStyle name="Процентный 7 103 3 2" xfId="46380"/>
    <cellStyle name="Процентный 7 103 4" xfId="25017"/>
    <cellStyle name="Процентный 7 103 4 2" xfId="57060"/>
    <cellStyle name="Процентный 7 103 5" xfId="35700"/>
    <cellStyle name="Процентный 7 104" xfId="3687"/>
    <cellStyle name="Процентный 7 104 2" xfId="9028"/>
    <cellStyle name="Процентный 7 104 2 2" xfId="19708"/>
    <cellStyle name="Процентный 7 104 2 2 2" xfId="51752"/>
    <cellStyle name="Процентный 7 104 2 3" xfId="30389"/>
    <cellStyle name="Процентный 7 104 2 3 2" xfId="62432"/>
    <cellStyle name="Процентный 7 104 2 4" xfId="41072"/>
    <cellStyle name="Процентный 7 104 3" xfId="14368"/>
    <cellStyle name="Процентный 7 104 3 2" xfId="46412"/>
    <cellStyle name="Процентный 7 104 4" xfId="25049"/>
    <cellStyle name="Процентный 7 104 4 2" xfId="57092"/>
    <cellStyle name="Процентный 7 104 5" xfId="35732"/>
    <cellStyle name="Процентный 7 105" xfId="3719"/>
    <cellStyle name="Процентный 7 105 2" xfId="9060"/>
    <cellStyle name="Процентный 7 105 2 2" xfId="19740"/>
    <cellStyle name="Процентный 7 105 2 2 2" xfId="51784"/>
    <cellStyle name="Процентный 7 105 2 3" xfId="30421"/>
    <cellStyle name="Процентный 7 105 2 3 2" xfId="62464"/>
    <cellStyle name="Процентный 7 105 2 4" xfId="41104"/>
    <cellStyle name="Процентный 7 105 3" xfId="14400"/>
    <cellStyle name="Процентный 7 105 3 2" xfId="46444"/>
    <cellStyle name="Процентный 7 105 4" xfId="25081"/>
    <cellStyle name="Процентный 7 105 4 2" xfId="57124"/>
    <cellStyle name="Процентный 7 105 5" xfId="35764"/>
    <cellStyle name="Процентный 7 106" xfId="3751"/>
    <cellStyle name="Процентный 7 106 2" xfId="9092"/>
    <cellStyle name="Процентный 7 106 2 2" xfId="19772"/>
    <cellStyle name="Процентный 7 106 2 2 2" xfId="51816"/>
    <cellStyle name="Процентный 7 106 2 3" xfId="30453"/>
    <cellStyle name="Процентный 7 106 2 3 2" xfId="62496"/>
    <cellStyle name="Процентный 7 106 2 4" xfId="41136"/>
    <cellStyle name="Процентный 7 106 3" xfId="14432"/>
    <cellStyle name="Процентный 7 106 3 2" xfId="46476"/>
    <cellStyle name="Процентный 7 106 4" xfId="25113"/>
    <cellStyle name="Процентный 7 106 4 2" xfId="57156"/>
    <cellStyle name="Процентный 7 106 5" xfId="35796"/>
    <cellStyle name="Процентный 7 107" xfId="3783"/>
    <cellStyle name="Процентный 7 107 2" xfId="9124"/>
    <cellStyle name="Процентный 7 107 2 2" xfId="19804"/>
    <cellStyle name="Процентный 7 107 2 2 2" xfId="51848"/>
    <cellStyle name="Процентный 7 107 2 3" xfId="30485"/>
    <cellStyle name="Процентный 7 107 2 3 2" xfId="62528"/>
    <cellStyle name="Процентный 7 107 2 4" xfId="41168"/>
    <cellStyle name="Процентный 7 107 3" xfId="14464"/>
    <cellStyle name="Процентный 7 107 3 2" xfId="46508"/>
    <cellStyle name="Процентный 7 107 4" xfId="25145"/>
    <cellStyle name="Процентный 7 107 4 2" xfId="57188"/>
    <cellStyle name="Процентный 7 107 5" xfId="35828"/>
    <cellStyle name="Процентный 7 108" xfId="3815"/>
    <cellStyle name="Процентный 7 108 2" xfId="9156"/>
    <cellStyle name="Процентный 7 108 2 2" xfId="19836"/>
    <cellStyle name="Процентный 7 108 2 2 2" xfId="51880"/>
    <cellStyle name="Процентный 7 108 2 3" xfId="30517"/>
    <cellStyle name="Процентный 7 108 2 3 2" xfId="62560"/>
    <cellStyle name="Процентный 7 108 2 4" xfId="41200"/>
    <cellStyle name="Процентный 7 108 3" xfId="14496"/>
    <cellStyle name="Процентный 7 108 3 2" xfId="46540"/>
    <cellStyle name="Процентный 7 108 4" xfId="25177"/>
    <cellStyle name="Процентный 7 108 4 2" xfId="57220"/>
    <cellStyle name="Процентный 7 108 5" xfId="35860"/>
    <cellStyle name="Процентный 7 109" xfId="3847"/>
    <cellStyle name="Процентный 7 109 2" xfId="9188"/>
    <cellStyle name="Процентный 7 109 2 2" xfId="19868"/>
    <cellStyle name="Процентный 7 109 2 2 2" xfId="51912"/>
    <cellStyle name="Процентный 7 109 2 3" xfId="30549"/>
    <cellStyle name="Процентный 7 109 2 3 2" xfId="62592"/>
    <cellStyle name="Процентный 7 109 2 4" xfId="41232"/>
    <cellStyle name="Процентный 7 109 3" xfId="14528"/>
    <cellStyle name="Процентный 7 109 3 2" xfId="46572"/>
    <cellStyle name="Процентный 7 109 4" xfId="25209"/>
    <cellStyle name="Процентный 7 109 4 2" xfId="57252"/>
    <cellStyle name="Процентный 7 109 5" xfId="35892"/>
    <cellStyle name="Процентный 7 11" xfId="977"/>
    <cellStyle name="Процентный 7 11 2" xfId="6320"/>
    <cellStyle name="Процентный 7 11 2 2" xfId="17000"/>
    <cellStyle name="Процентный 7 11 2 2 2" xfId="49044"/>
    <cellStyle name="Процентный 7 11 2 3" xfId="27681"/>
    <cellStyle name="Процентный 7 11 2 3 2" xfId="59724"/>
    <cellStyle name="Процентный 7 11 2 4" xfId="38364"/>
    <cellStyle name="Процентный 7 11 3" xfId="11660"/>
    <cellStyle name="Процентный 7 11 3 2" xfId="43704"/>
    <cellStyle name="Процентный 7 11 4" xfId="22341"/>
    <cellStyle name="Процентный 7 11 4 2" xfId="54384"/>
    <cellStyle name="Процентный 7 11 5" xfId="33024"/>
    <cellStyle name="Процентный 7 110" xfId="3879"/>
    <cellStyle name="Процентный 7 110 2" xfId="9220"/>
    <cellStyle name="Процентный 7 110 2 2" xfId="19900"/>
    <cellStyle name="Процентный 7 110 2 2 2" xfId="51944"/>
    <cellStyle name="Процентный 7 110 2 3" xfId="30581"/>
    <cellStyle name="Процентный 7 110 2 3 2" xfId="62624"/>
    <cellStyle name="Процентный 7 110 2 4" xfId="41264"/>
    <cellStyle name="Процентный 7 110 3" xfId="14560"/>
    <cellStyle name="Процентный 7 110 3 2" xfId="46604"/>
    <cellStyle name="Процентный 7 110 4" xfId="25241"/>
    <cellStyle name="Процентный 7 110 4 2" xfId="57284"/>
    <cellStyle name="Процентный 7 110 5" xfId="35924"/>
    <cellStyle name="Процентный 7 111" xfId="3911"/>
    <cellStyle name="Процентный 7 111 2" xfId="9252"/>
    <cellStyle name="Процентный 7 111 2 2" xfId="19932"/>
    <cellStyle name="Процентный 7 111 2 2 2" xfId="51976"/>
    <cellStyle name="Процентный 7 111 2 3" xfId="30613"/>
    <cellStyle name="Процентный 7 111 2 3 2" xfId="62656"/>
    <cellStyle name="Процентный 7 111 2 4" xfId="41296"/>
    <cellStyle name="Процентный 7 111 3" xfId="14592"/>
    <cellStyle name="Процентный 7 111 3 2" xfId="46636"/>
    <cellStyle name="Процентный 7 111 4" xfId="25273"/>
    <cellStyle name="Процентный 7 111 4 2" xfId="57316"/>
    <cellStyle name="Процентный 7 111 5" xfId="35956"/>
    <cellStyle name="Процентный 7 112" xfId="3943"/>
    <cellStyle name="Процентный 7 112 2" xfId="9284"/>
    <cellStyle name="Процентный 7 112 2 2" xfId="19964"/>
    <cellStyle name="Процентный 7 112 2 2 2" xfId="52008"/>
    <cellStyle name="Процентный 7 112 2 3" xfId="30645"/>
    <cellStyle name="Процентный 7 112 2 3 2" xfId="62688"/>
    <cellStyle name="Процентный 7 112 2 4" xfId="41328"/>
    <cellStyle name="Процентный 7 112 3" xfId="14624"/>
    <cellStyle name="Процентный 7 112 3 2" xfId="46668"/>
    <cellStyle name="Процентный 7 112 4" xfId="25305"/>
    <cellStyle name="Процентный 7 112 4 2" xfId="57348"/>
    <cellStyle name="Процентный 7 112 5" xfId="35988"/>
    <cellStyle name="Процентный 7 113" xfId="3975"/>
    <cellStyle name="Процентный 7 113 2" xfId="9316"/>
    <cellStyle name="Процентный 7 113 2 2" xfId="19996"/>
    <cellStyle name="Процентный 7 113 2 2 2" xfId="52040"/>
    <cellStyle name="Процентный 7 113 2 3" xfId="30677"/>
    <cellStyle name="Процентный 7 113 2 3 2" xfId="62720"/>
    <cellStyle name="Процентный 7 113 2 4" xfId="41360"/>
    <cellStyle name="Процентный 7 113 3" xfId="14656"/>
    <cellStyle name="Процентный 7 113 3 2" xfId="46700"/>
    <cellStyle name="Процентный 7 113 4" xfId="25337"/>
    <cellStyle name="Процентный 7 113 4 2" xfId="57380"/>
    <cellStyle name="Процентный 7 113 5" xfId="36020"/>
    <cellStyle name="Процентный 7 114" xfId="4007"/>
    <cellStyle name="Процентный 7 114 2" xfId="9348"/>
    <cellStyle name="Процентный 7 114 2 2" xfId="20028"/>
    <cellStyle name="Процентный 7 114 2 2 2" xfId="52072"/>
    <cellStyle name="Процентный 7 114 2 3" xfId="30709"/>
    <cellStyle name="Процентный 7 114 2 3 2" xfId="62752"/>
    <cellStyle name="Процентный 7 114 2 4" xfId="41392"/>
    <cellStyle name="Процентный 7 114 3" xfId="14688"/>
    <cellStyle name="Процентный 7 114 3 2" xfId="46732"/>
    <cellStyle name="Процентный 7 114 4" xfId="25369"/>
    <cellStyle name="Процентный 7 114 4 2" xfId="57412"/>
    <cellStyle name="Процентный 7 114 5" xfId="36052"/>
    <cellStyle name="Процентный 7 115" xfId="4039"/>
    <cellStyle name="Процентный 7 115 2" xfId="9380"/>
    <cellStyle name="Процентный 7 115 2 2" xfId="20060"/>
    <cellStyle name="Процентный 7 115 2 2 2" xfId="52104"/>
    <cellStyle name="Процентный 7 115 2 3" xfId="30741"/>
    <cellStyle name="Процентный 7 115 2 3 2" xfId="62784"/>
    <cellStyle name="Процентный 7 115 2 4" xfId="41424"/>
    <cellStyle name="Процентный 7 115 3" xfId="14720"/>
    <cellStyle name="Процентный 7 115 3 2" xfId="46764"/>
    <cellStyle name="Процентный 7 115 4" xfId="25401"/>
    <cellStyle name="Процентный 7 115 4 2" xfId="57444"/>
    <cellStyle name="Процентный 7 115 5" xfId="36084"/>
    <cellStyle name="Процентный 7 116" xfId="4071"/>
    <cellStyle name="Процентный 7 116 2" xfId="9412"/>
    <cellStyle name="Процентный 7 116 2 2" xfId="20092"/>
    <cellStyle name="Процентный 7 116 2 2 2" xfId="52136"/>
    <cellStyle name="Процентный 7 116 2 3" xfId="30773"/>
    <cellStyle name="Процентный 7 116 2 3 2" xfId="62816"/>
    <cellStyle name="Процентный 7 116 2 4" xfId="41456"/>
    <cellStyle name="Процентный 7 116 3" xfId="14752"/>
    <cellStyle name="Процентный 7 116 3 2" xfId="46796"/>
    <cellStyle name="Процентный 7 116 4" xfId="25433"/>
    <cellStyle name="Процентный 7 116 4 2" xfId="57476"/>
    <cellStyle name="Процентный 7 116 5" xfId="36116"/>
    <cellStyle name="Процентный 7 117" xfId="4103"/>
    <cellStyle name="Процентный 7 117 2" xfId="9444"/>
    <cellStyle name="Процентный 7 117 2 2" xfId="20124"/>
    <cellStyle name="Процентный 7 117 2 2 2" xfId="52168"/>
    <cellStyle name="Процентный 7 117 2 3" xfId="30805"/>
    <cellStyle name="Процентный 7 117 2 3 2" xfId="62848"/>
    <cellStyle name="Процентный 7 117 2 4" xfId="41488"/>
    <cellStyle name="Процентный 7 117 3" xfId="14784"/>
    <cellStyle name="Процентный 7 117 3 2" xfId="46828"/>
    <cellStyle name="Процентный 7 117 4" xfId="25465"/>
    <cellStyle name="Процентный 7 117 4 2" xfId="57508"/>
    <cellStyle name="Процентный 7 117 5" xfId="36148"/>
    <cellStyle name="Процентный 7 118" xfId="4135"/>
    <cellStyle name="Процентный 7 118 2" xfId="9476"/>
    <cellStyle name="Процентный 7 118 2 2" xfId="20156"/>
    <cellStyle name="Процентный 7 118 2 2 2" xfId="52200"/>
    <cellStyle name="Процентный 7 118 2 3" xfId="30837"/>
    <cellStyle name="Процентный 7 118 2 3 2" xfId="62880"/>
    <cellStyle name="Процентный 7 118 2 4" xfId="41520"/>
    <cellStyle name="Процентный 7 118 3" xfId="14816"/>
    <cellStyle name="Процентный 7 118 3 2" xfId="46860"/>
    <cellStyle name="Процентный 7 118 4" xfId="25497"/>
    <cellStyle name="Процентный 7 118 4 2" xfId="57540"/>
    <cellStyle name="Процентный 7 118 5" xfId="36180"/>
    <cellStyle name="Процентный 7 119" xfId="4167"/>
    <cellStyle name="Процентный 7 119 2" xfId="9508"/>
    <cellStyle name="Процентный 7 119 2 2" xfId="20188"/>
    <cellStyle name="Процентный 7 119 2 2 2" xfId="52232"/>
    <cellStyle name="Процентный 7 119 2 3" xfId="30869"/>
    <cellStyle name="Процентный 7 119 2 3 2" xfId="62912"/>
    <cellStyle name="Процентный 7 119 2 4" xfId="41552"/>
    <cellStyle name="Процентный 7 119 3" xfId="14848"/>
    <cellStyle name="Процентный 7 119 3 2" xfId="46892"/>
    <cellStyle name="Процентный 7 119 4" xfId="25529"/>
    <cellStyle name="Процентный 7 119 4 2" xfId="57572"/>
    <cellStyle name="Процентный 7 119 5" xfId="36212"/>
    <cellStyle name="Процентный 7 12" xfId="1001"/>
    <cellStyle name="Процентный 7 12 2" xfId="6344"/>
    <cellStyle name="Процентный 7 12 2 2" xfId="17024"/>
    <cellStyle name="Процентный 7 12 2 2 2" xfId="49068"/>
    <cellStyle name="Процентный 7 12 2 3" xfId="27705"/>
    <cellStyle name="Процентный 7 12 2 3 2" xfId="59748"/>
    <cellStyle name="Процентный 7 12 2 4" xfId="38388"/>
    <cellStyle name="Процентный 7 12 3" xfId="11684"/>
    <cellStyle name="Процентный 7 12 3 2" xfId="43728"/>
    <cellStyle name="Процентный 7 12 4" xfId="22365"/>
    <cellStyle name="Процентный 7 12 4 2" xfId="54408"/>
    <cellStyle name="Процентный 7 12 5" xfId="33048"/>
    <cellStyle name="Процентный 7 120" xfId="4199"/>
    <cellStyle name="Процентный 7 120 2" xfId="9540"/>
    <cellStyle name="Процентный 7 120 2 2" xfId="20220"/>
    <cellStyle name="Процентный 7 120 2 2 2" xfId="52264"/>
    <cellStyle name="Процентный 7 120 2 3" xfId="30901"/>
    <cellStyle name="Процентный 7 120 2 3 2" xfId="62944"/>
    <cellStyle name="Процентный 7 120 2 4" xfId="41584"/>
    <cellStyle name="Процентный 7 120 3" xfId="14880"/>
    <cellStyle name="Процентный 7 120 3 2" xfId="46924"/>
    <cellStyle name="Процентный 7 120 4" xfId="25561"/>
    <cellStyle name="Процентный 7 120 4 2" xfId="57604"/>
    <cellStyle name="Процентный 7 120 5" xfId="36244"/>
    <cellStyle name="Процентный 7 121" xfId="4231"/>
    <cellStyle name="Процентный 7 121 2" xfId="9572"/>
    <cellStyle name="Процентный 7 121 2 2" xfId="20252"/>
    <cellStyle name="Процентный 7 121 2 2 2" xfId="52296"/>
    <cellStyle name="Процентный 7 121 2 3" xfId="30933"/>
    <cellStyle name="Процентный 7 121 2 3 2" xfId="62976"/>
    <cellStyle name="Процентный 7 121 2 4" xfId="41616"/>
    <cellStyle name="Процентный 7 121 3" xfId="14912"/>
    <cellStyle name="Процентный 7 121 3 2" xfId="46956"/>
    <cellStyle name="Процентный 7 121 4" xfId="25593"/>
    <cellStyle name="Процентный 7 121 4 2" xfId="57636"/>
    <cellStyle name="Процентный 7 121 5" xfId="36276"/>
    <cellStyle name="Процентный 7 122" xfId="4263"/>
    <cellStyle name="Процентный 7 122 2" xfId="9604"/>
    <cellStyle name="Процентный 7 122 2 2" xfId="20284"/>
    <cellStyle name="Процентный 7 122 2 2 2" xfId="52328"/>
    <cellStyle name="Процентный 7 122 2 3" xfId="30965"/>
    <cellStyle name="Процентный 7 122 2 3 2" xfId="63008"/>
    <cellStyle name="Процентный 7 122 2 4" xfId="41648"/>
    <cellStyle name="Процентный 7 122 3" xfId="14944"/>
    <cellStyle name="Процентный 7 122 3 2" xfId="46988"/>
    <cellStyle name="Процентный 7 122 4" xfId="25625"/>
    <cellStyle name="Процентный 7 122 4 2" xfId="57668"/>
    <cellStyle name="Процентный 7 122 5" xfId="36308"/>
    <cellStyle name="Процентный 7 123" xfId="4295"/>
    <cellStyle name="Процентный 7 123 2" xfId="9636"/>
    <cellStyle name="Процентный 7 123 2 2" xfId="20316"/>
    <cellStyle name="Процентный 7 123 2 2 2" xfId="52360"/>
    <cellStyle name="Процентный 7 123 2 3" xfId="30997"/>
    <cellStyle name="Процентный 7 123 2 3 2" xfId="63040"/>
    <cellStyle name="Процентный 7 123 2 4" xfId="41680"/>
    <cellStyle name="Процентный 7 123 3" xfId="14976"/>
    <cellStyle name="Процентный 7 123 3 2" xfId="47020"/>
    <cellStyle name="Процентный 7 123 4" xfId="25657"/>
    <cellStyle name="Процентный 7 123 4 2" xfId="57700"/>
    <cellStyle name="Процентный 7 123 5" xfId="36340"/>
    <cellStyle name="Процентный 7 124" xfId="4327"/>
    <cellStyle name="Процентный 7 124 2" xfId="9668"/>
    <cellStyle name="Процентный 7 124 2 2" xfId="20348"/>
    <cellStyle name="Процентный 7 124 2 2 2" xfId="52392"/>
    <cellStyle name="Процентный 7 124 2 3" xfId="31029"/>
    <cellStyle name="Процентный 7 124 2 3 2" xfId="63072"/>
    <cellStyle name="Процентный 7 124 2 4" xfId="41712"/>
    <cellStyle name="Процентный 7 124 3" xfId="15008"/>
    <cellStyle name="Процентный 7 124 3 2" xfId="47052"/>
    <cellStyle name="Процентный 7 124 4" xfId="25689"/>
    <cellStyle name="Процентный 7 124 4 2" xfId="57732"/>
    <cellStyle name="Процентный 7 124 5" xfId="36372"/>
    <cellStyle name="Процентный 7 125" xfId="4359"/>
    <cellStyle name="Процентный 7 125 2" xfId="9700"/>
    <cellStyle name="Процентный 7 125 2 2" xfId="20380"/>
    <cellStyle name="Процентный 7 125 2 2 2" xfId="52424"/>
    <cellStyle name="Процентный 7 125 2 3" xfId="31061"/>
    <cellStyle name="Процентный 7 125 2 3 2" xfId="63104"/>
    <cellStyle name="Процентный 7 125 2 4" xfId="41744"/>
    <cellStyle name="Процентный 7 125 3" xfId="15040"/>
    <cellStyle name="Процентный 7 125 3 2" xfId="47084"/>
    <cellStyle name="Процентный 7 125 4" xfId="25721"/>
    <cellStyle name="Процентный 7 125 4 2" xfId="57764"/>
    <cellStyle name="Процентный 7 125 5" xfId="36404"/>
    <cellStyle name="Процентный 7 126" xfId="4391"/>
    <cellStyle name="Процентный 7 126 2" xfId="9732"/>
    <cellStyle name="Процентный 7 126 2 2" xfId="20412"/>
    <cellStyle name="Процентный 7 126 2 2 2" xfId="52456"/>
    <cellStyle name="Процентный 7 126 2 3" xfId="31093"/>
    <cellStyle name="Процентный 7 126 2 3 2" xfId="63136"/>
    <cellStyle name="Процентный 7 126 2 4" xfId="41776"/>
    <cellStyle name="Процентный 7 126 3" xfId="15072"/>
    <cellStyle name="Процентный 7 126 3 2" xfId="47116"/>
    <cellStyle name="Процентный 7 126 4" xfId="25753"/>
    <cellStyle name="Процентный 7 126 4 2" xfId="57796"/>
    <cellStyle name="Процентный 7 126 5" xfId="36436"/>
    <cellStyle name="Процентный 7 127" xfId="4423"/>
    <cellStyle name="Процентный 7 127 2" xfId="9764"/>
    <cellStyle name="Процентный 7 127 2 2" xfId="20444"/>
    <cellStyle name="Процентный 7 127 2 2 2" xfId="52488"/>
    <cellStyle name="Процентный 7 127 2 3" xfId="31125"/>
    <cellStyle name="Процентный 7 127 2 3 2" xfId="63168"/>
    <cellStyle name="Процентный 7 127 2 4" xfId="41808"/>
    <cellStyle name="Процентный 7 127 3" xfId="15104"/>
    <cellStyle name="Процентный 7 127 3 2" xfId="47148"/>
    <cellStyle name="Процентный 7 127 4" xfId="25785"/>
    <cellStyle name="Процентный 7 127 4 2" xfId="57828"/>
    <cellStyle name="Процентный 7 127 5" xfId="36468"/>
    <cellStyle name="Процентный 7 128" xfId="4455"/>
    <cellStyle name="Процентный 7 128 2" xfId="9796"/>
    <cellStyle name="Процентный 7 128 2 2" xfId="20476"/>
    <cellStyle name="Процентный 7 128 2 2 2" xfId="52520"/>
    <cellStyle name="Процентный 7 128 2 3" xfId="31157"/>
    <cellStyle name="Процентный 7 128 2 3 2" xfId="63200"/>
    <cellStyle name="Процентный 7 128 2 4" xfId="41840"/>
    <cellStyle name="Процентный 7 128 3" xfId="15136"/>
    <cellStyle name="Процентный 7 128 3 2" xfId="47180"/>
    <cellStyle name="Процентный 7 128 4" xfId="25817"/>
    <cellStyle name="Процентный 7 128 4 2" xfId="57860"/>
    <cellStyle name="Процентный 7 128 5" xfId="36500"/>
    <cellStyle name="Процентный 7 129" xfId="4487"/>
    <cellStyle name="Процентный 7 129 2" xfId="9828"/>
    <cellStyle name="Процентный 7 129 2 2" xfId="20508"/>
    <cellStyle name="Процентный 7 129 2 2 2" xfId="52552"/>
    <cellStyle name="Процентный 7 129 2 3" xfId="31189"/>
    <cellStyle name="Процентный 7 129 2 3 2" xfId="63232"/>
    <cellStyle name="Процентный 7 129 2 4" xfId="41872"/>
    <cellStyle name="Процентный 7 129 3" xfId="15168"/>
    <cellStyle name="Процентный 7 129 3 2" xfId="47212"/>
    <cellStyle name="Процентный 7 129 4" xfId="25849"/>
    <cellStyle name="Процентный 7 129 4 2" xfId="57892"/>
    <cellStyle name="Процентный 7 129 5" xfId="36532"/>
    <cellStyle name="Процентный 7 13" xfId="1025"/>
    <cellStyle name="Процентный 7 13 2" xfId="6368"/>
    <cellStyle name="Процентный 7 13 2 2" xfId="17048"/>
    <cellStyle name="Процентный 7 13 2 2 2" xfId="49092"/>
    <cellStyle name="Процентный 7 13 2 3" xfId="27729"/>
    <cellStyle name="Процентный 7 13 2 3 2" xfId="59772"/>
    <cellStyle name="Процентный 7 13 2 4" xfId="38412"/>
    <cellStyle name="Процентный 7 13 3" xfId="11708"/>
    <cellStyle name="Процентный 7 13 3 2" xfId="43752"/>
    <cellStyle name="Процентный 7 13 4" xfId="22389"/>
    <cellStyle name="Процентный 7 13 4 2" xfId="54432"/>
    <cellStyle name="Процентный 7 13 5" xfId="33072"/>
    <cellStyle name="Процентный 7 130" xfId="4519"/>
    <cellStyle name="Процентный 7 130 2" xfId="9860"/>
    <cellStyle name="Процентный 7 130 2 2" xfId="20540"/>
    <cellStyle name="Процентный 7 130 2 2 2" xfId="52584"/>
    <cellStyle name="Процентный 7 130 2 3" xfId="31221"/>
    <cellStyle name="Процентный 7 130 2 3 2" xfId="63264"/>
    <cellStyle name="Процентный 7 130 2 4" xfId="41904"/>
    <cellStyle name="Процентный 7 130 3" xfId="15200"/>
    <cellStyle name="Процентный 7 130 3 2" xfId="47244"/>
    <cellStyle name="Процентный 7 130 4" xfId="25881"/>
    <cellStyle name="Процентный 7 130 4 2" xfId="57924"/>
    <cellStyle name="Процентный 7 130 5" xfId="36564"/>
    <cellStyle name="Процентный 7 131" xfId="4551"/>
    <cellStyle name="Процентный 7 131 2" xfId="9892"/>
    <cellStyle name="Процентный 7 131 2 2" xfId="20572"/>
    <cellStyle name="Процентный 7 131 2 2 2" xfId="52616"/>
    <cellStyle name="Процентный 7 131 2 3" xfId="31253"/>
    <cellStyle name="Процентный 7 131 2 3 2" xfId="63296"/>
    <cellStyle name="Процентный 7 131 2 4" xfId="41936"/>
    <cellStyle name="Процентный 7 131 3" xfId="15232"/>
    <cellStyle name="Процентный 7 131 3 2" xfId="47276"/>
    <cellStyle name="Процентный 7 131 4" xfId="25913"/>
    <cellStyle name="Процентный 7 131 4 2" xfId="57956"/>
    <cellStyle name="Процентный 7 131 5" xfId="36596"/>
    <cellStyle name="Процентный 7 132" xfId="4583"/>
    <cellStyle name="Процентный 7 132 2" xfId="9924"/>
    <cellStyle name="Процентный 7 132 2 2" xfId="20604"/>
    <cellStyle name="Процентный 7 132 2 2 2" xfId="52648"/>
    <cellStyle name="Процентный 7 132 2 3" xfId="31285"/>
    <cellStyle name="Процентный 7 132 2 3 2" xfId="63328"/>
    <cellStyle name="Процентный 7 132 2 4" xfId="41968"/>
    <cellStyle name="Процентный 7 132 3" xfId="15264"/>
    <cellStyle name="Процентный 7 132 3 2" xfId="47308"/>
    <cellStyle name="Процентный 7 132 4" xfId="25945"/>
    <cellStyle name="Процентный 7 132 4 2" xfId="57988"/>
    <cellStyle name="Процентный 7 132 5" xfId="36628"/>
    <cellStyle name="Процентный 7 133" xfId="4615"/>
    <cellStyle name="Процентный 7 133 2" xfId="9956"/>
    <cellStyle name="Процентный 7 133 2 2" xfId="20636"/>
    <cellStyle name="Процентный 7 133 2 2 2" xfId="52680"/>
    <cellStyle name="Процентный 7 133 2 3" xfId="31317"/>
    <cellStyle name="Процентный 7 133 2 3 2" xfId="63360"/>
    <cellStyle name="Процентный 7 133 2 4" xfId="42000"/>
    <cellStyle name="Процентный 7 133 3" xfId="15296"/>
    <cellStyle name="Процентный 7 133 3 2" xfId="47340"/>
    <cellStyle name="Процентный 7 133 4" xfId="25977"/>
    <cellStyle name="Процентный 7 133 4 2" xfId="58020"/>
    <cellStyle name="Процентный 7 133 5" xfId="36660"/>
    <cellStyle name="Процентный 7 134" xfId="4647"/>
    <cellStyle name="Процентный 7 134 2" xfId="9988"/>
    <cellStyle name="Процентный 7 134 2 2" xfId="20668"/>
    <cellStyle name="Процентный 7 134 2 2 2" xfId="52712"/>
    <cellStyle name="Процентный 7 134 2 3" xfId="31349"/>
    <cellStyle name="Процентный 7 134 2 3 2" xfId="63392"/>
    <cellStyle name="Процентный 7 134 2 4" xfId="42032"/>
    <cellStyle name="Процентный 7 134 3" xfId="15328"/>
    <cellStyle name="Процентный 7 134 3 2" xfId="47372"/>
    <cellStyle name="Процентный 7 134 4" xfId="26009"/>
    <cellStyle name="Процентный 7 134 4 2" xfId="58052"/>
    <cellStyle name="Процентный 7 134 5" xfId="36692"/>
    <cellStyle name="Процентный 7 135" xfId="4679"/>
    <cellStyle name="Процентный 7 135 2" xfId="10020"/>
    <cellStyle name="Процентный 7 135 2 2" xfId="20700"/>
    <cellStyle name="Процентный 7 135 2 2 2" xfId="52744"/>
    <cellStyle name="Процентный 7 135 2 3" xfId="31381"/>
    <cellStyle name="Процентный 7 135 2 3 2" xfId="63424"/>
    <cellStyle name="Процентный 7 135 2 4" xfId="42064"/>
    <cellStyle name="Процентный 7 135 3" xfId="15360"/>
    <cellStyle name="Процентный 7 135 3 2" xfId="47404"/>
    <cellStyle name="Процентный 7 135 4" xfId="26041"/>
    <cellStyle name="Процентный 7 135 4 2" xfId="58084"/>
    <cellStyle name="Процентный 7 135 5" xfId="36724"/>
    <cellStyle name="Процентный 7 136" xfId="4713"/>
    <cellStyle name="Процентный 7 136 2" xfId="10054"/>
    <cellStyle name="Процентный 7 136 2 2" xfId="20734"/>
    <cellStyle name="Процентный 7 136 2 2 2" xfId="52778"/>
    <cellStyle name="Процентный 7 136 2 3" xfId="31415"/>
    <cellStyle name="Процентный 7 136 2 3 2" xfId="63458"/>
    <cellStyle name="Процентный 7 136 2 4" xfId="42098"/>
    <cellStyle name="Процентный 7 136 3" xfId="15394"/>
    <cellStyle name="Процентный 7 136 3 2" xfId="47438"/>
    <cellStyle name="Процентный 7 136 4" xfId="26075"/>
    <cellStyle name="Процентный 7 136 4 2" xfId="58118"/>
    <cellStyle name="Процентный 7 136 5" xfId="36758"/>
    <cellStyle name="Процентный 7 137" xfId="4745"/>
    <cellStyle name="Процентный 7 137 2" xfId="10086"/>
    <cellStyle name="Процентный 7 137 2 2" xfId="20766"/>
    <cellStyle name="Процентный 7 137 2 2 2" xfId="52810"/>
    <cellStyle name="Процентный 7 137 2 3" xfId="31447"/>
    <cellStyle name="Процентный 7 137 2 3 2" xfId="63490"/>
    <cellStyle name="Процентный 7 137 2 4" xfId="42130"/>
    <cellStyle name="Процентный 7 137 3" xfId="15426"/>
    <cellStyle name="Процентный 7 137 3 2" xfId="47470"/>
    <cellStyle name="Процентный 7 137 4" xfId="26107"/>
    <cellStyle name="Процентный 7 137 4 2" xfId="58150"/>
    <cellStyle name="Процентный 7 137 5" xfId="36790"/>
    <cellStyle name="Процентный 7 138" xfId="4777"/>
    <cellStyle name="Процентный 7 138 2" xfId="10118"/>
    <cellStyle name="Процентный 7 138 2 2" xfId="20798"/>
    <cellStyle name="Процентный 7 138 2 2 2" xfId="52842"/>
    <cellStyle name="Процентный 7 138 2 3" xfId="31479"/>
    <cellStyle name="Процентный 7 138 2 3 2" xfId="63522"/>
    <cellStyle name="Процентный 7 138 2 4" xfId="42162"/>
    <cellStyle name="Процентный 7 138 3" xfId="15458"/>
    <cellStyle name="Процентный 7 138 3 2" xfId="47502"/>
    <cellStyle name="Процентный 7 138 4" xfId="26139"/>
    <cellStyle name="Процентный 7 138 4 2" xfId="58182"/>
    <cellStyle name="Процентный 7 138 5" xfId="36822"/>
    <cellStyle name="Процентный 7 139" xfId="4809"/>
    <cellStyle name="Процентный 7 139 2" xfId="10150"/>
    <cellStyle name="Процентный 7 139 2 2" xfId="20830"/>
    <cellStyle name="Процентный 7 139 2 2 2" xfId="52874"/>
    <cellStyle name="Процентный 7 139 2 3" xfId="31511"/>
    <cellStyle name="Процентный 7 139 2 3 2" xfId="63554"/>
    <cellStyle name="Процентный 7 139 2 4" xfId="42194"/>
    <cellStyle name="Процентный 7 139 3" xfId="15490"/>
    <cellStyle name="Процентный 7 139 3 2" xfId="47534"/>
    <cellStyle name="Процентный 7 139 4" xfId="26171"/>
    <cellStyle name="Процентный 7 139 4 2" xfId="58214"/>
    <cellStyle name="Процентный 7 139 5" xfId="36854"/>
    <cellStyle name="Процентный 7 14" xfId="1051"/>
    <cellStyle name="Процентный 7 14 2" xfId="6394"/>
    <cellStyle name="Процентный 7 14 2 2" xfId="17074"/>
    <cellStyle name="Процентный 7 14 2 2 2" xfId="49118"/>
    <cellStyle name="Процентный 7 14 2 3" xfId="27755"/>
    <cellStyle name="Процентный 7 14 2 3 2" xfId="59798"/>
    <cellStyle name="Процентный 7 14 2 4" xfId="38438"/>
    <cellStyle name="Процентный 7 14 3" xfId="11734"/>
    <cellStyle name="Процентный 7 14 3 2" xfId="43778"/>
    <cellStyle name="Процентный 7 14 4" xfId="22415"/>
    <cellStyle name="Процентный 7 14 4 2" xfId="54458"/>
    <cellStyle name="Процентный 7 14 5" xfId="33098"/>
    <cellStyle name="Процентный 7 140" xfId="4841"/>
    <cellStyle name="Процентный 7 140 2" xfId="10182"/>
    <cellStyle name="Процентный 7 140 2 2" xfId="20862"/>
    <cellStyle name="Процентный 7 140 2 2 2" xfId="52906"/>
    <cellStyle name="Процентный 7 140 2 3" xfId="31543"/>
    <cellStyle name="Процентный 7 140 2 3 2" xfId="63586"/>
    <cellStyle name="Процентный 7 140 2 4" xfId="42226"/>
    <cellStyle name="Процентный 7 140 3" xfId="15522"/>
    <cellStyle name="Процентный 7 140 3 2" xfId="47566"/>
    <cellStyle name="Процентный 7 140 4" xfId="26203"/>
    <cellStyle name="Процентный 7 140 4 2" xfId="58246"/>
    <cellStyle name="Процентный 7 140 5" xfId="36886"/>
    <cellStyle name="Процентный 7 141" xfId="4873"/>
    <cellStyle name="Процентный 7 141 2" xfId="10214"/>
    <cellStyle name="Процентный 7 141 2 2" xfId="20894"/>
    <cellStyle name="Процентный 7 141 2 2 2" xfId="52938"/>
    <cellStyle name="Процентный 7 141 2 3" xfId="31575"/>
    <cellStyle name="Процентный 7 141 2 3 2" xfId="63618"/>
    <cellStyle name="Процентный 7 141 2 4" xfId="42258"/>
    <cellStyle name="Процентный 7 141 3" xfId="15554"/>
    <cellStyle name="Процентный 7 141 3 2" xfId="47598"/>
    <cellStyle name="Процентный 7 141 4" xfId="26235"/>
    <cellStyle name="Процентный 7 141 4 2" xfId="58278"/>
    <cellStyle name="Процентный 7 141 5" xfId="36918"/>
    <cellStyle name="Процентный 7 142" xfId="4905"/>
    <cellStyle name="Процентный 7 142 2" xfId="10246"/>
    <cellStyle name="Процентный 7 142 2 2" xfId="20926"/>
    <cellStyle name="Процентный 7 142 2 2 2" xfId="52970"/>
    <cellStyle name="Процентный 7 142 2 3" xfId="31607"/>
    <cellStyle name="Процентный 7 142 2 3 2" xfId="63650"/>
    <cellStyle name="Процентный 7 142 2 4" xfId="42290"/>
    <cellStyle name="Процентный 7 142 3" xfId="15586"/>
    <cellStyle name="Процентный 7 142 3 2" xfId="47630"/>
    <cellStyle name="Процентный 7 142 4" xfId="26267"/>
    <cellStyle name="Процентный 7 142 4 2" xfId="58310"/>
    <cellStyle name="Процентный 7 142 5" xfId="36950"/>
    <cellStyle name="Процентный 7 143" xfId="4937"/>
    <cellStyle name="Процентный 7 143 2" xfId="10278"/>
    <cellStyle name="Процентный 7 143 2 2" xfId="20958"/>
    <cellStyle name="Процентный 7 143 2 2 2" xfId="53002"/>
    <cellStyle name="Процентный 7 143 2 3" xfId="31639"/>
    <cellStyle name="Процентный 7 143 2 3 2" xfId="63682"/>
    <cellStyle name="Процентный 7 143 2 4" xfId="42322"/>
    <cellStyle name="Процентный 7 143 3" xfId="15618"/>
    <cellStyle name="Процентный 7 143 3 2" xfId="47662"/>
    <cellStyle name="Процентный 7 143 4" xfId="26299"/>
    <cellStyle name="Процентный 7 143 4 2" xfId="58342"/>
    <cellStyle name="Процентный 7 143 5" xfId="36982"/>
    <cellStyle name="Процентный 7 144" xfId="4969"/>
    <cellStyle name="Процентный 7 144 2" xfId="10310"/>
    <cellStyle name="Процентный 7 144 2 2" xfId="20990"/>
    <cellStyle name="Процентный 7 144 2 2 2" xfId="53034"/>
    <cellStyle name="Процентный 7 144 2 3" xfId="31671"/>
    <cellStyle name="Процентный 7 144 2 3 2" xfId="63714"/>
    <cellStyle name="Процентный 7 144 2 4" xfId="42354"/>
    <cellStyle name="Процентный 7 144 3" xfId="15650"/>
    <cellStyle name="Процентный 7 144 3 2" xfId="47694"/>
    <cellStyle name="Процентный 7 144 4" xfId="26331"/>
    <cellStyle name="Процентный 7 144 4 2" xfId="58374"/>
    <cellStyle name="Процентный 7 144 5" xfId="37014"/>
    <cellStyle name="Процентный 7 145" xfId="5001"/>
    <cellStyle name="Процентный 7 145 2" xfId="10342"/>
    <cellStyle name="Процентный 7 145 2 2" xfId="21022"/>
    <cellStyle name="Процентный 7 145 2 2 2" xfId="53066"/>
    <cellStyle name="Процентный 7 145 2 3" xfId="31703"/>
    <cellStyle name="Процентный 7 145 2 3 2" xfId="63746"/>
    <cellStyle name="Процентный 7 145 2 4" xfId="42386"/>
    <cellStyle name="Процентный 7 145 3" xfId="15682"/>
    <cellStyle name="Процентный 7 145 3 2" xfId="47726"/>
    <cellStyle name="Процентный 7 145 4" xfId="26363"/>
    <cellStyle name="Процентный 7 145 4 2" xfId="58406"/>
    <cellStyle name="Процентный 7 145 5" xfId="37046"/>
    <cellStyle name="Процентный 7 146" xfId="5033"/>
    <cellStyle name="Процентный 7 146 2" xfId="10374"/>
    <cellStyle name="Процентный 7 146 2 2" xfId="21054"/>
    <cellStyle name="Процентный 7 146 2 2 2" xfId="53098"/>
    <cellStyle name="Процентный 7 146 2 3" xfId="31735"/>
    <cellStyle name="Процентный 7 146 2 3 2" xfId="63778"/>
    <cellStyle name="Процентный 7 146 2 4" xfId="42418"/>
    <cellStyle name="Процентный 7 146 3" xfId="15714"/>
    <cellStyle name="Процентный 7 146 3 2" xfId="47758"/>
    <cellStyle name="Процентный 7 146 4" xfId="26395"/>
    <cellStyle name="Процентный 7 146 4 2" xfId="58438"/>
    <cellStyle name="Процентный 7 146 5" xfId="37078"/>
    <cellStyle name="Процентный 7 147" xfId="5065"/>
    <cellStyle name="Процентный 7 147 2" xfId="10406"/>
    <cellStyle name="Процентный 7 147 2 2" xfId="21086"/>
    <cellStyle name="Процентный 7 147 2 2 2" xfId="53130"/>
    <cellStyle name="Процентный 7 147 2 3" xfId="31767"/>
    <cellStyle name="Процентный 7 147 2 3 2" xfId="63810"/>
    <cellStyle name="Процентный 7 147 2 4" xfId="42450"/>
    <cellStyle name="Процентный 7 147 3" xfId="15746"/>
    <cellStyle name="Процентный 7 147 3 2" xfId="47790"/>
    <cellStyle name="Процентный 7 147 4" xfId="26427"/>
    <cellStyle name="Процентный 7 147 4 2" xfId="58470"/>
    <cellStyle name="Процентный 7 147 5" xfId="37110"/>
    <cellStyle name="Процентный 7 148" xfId="5097"/>
    <cellStyle name="Процентный 7 148 2" xfId="10438"/>
    <cellStyle name="Процентный 7 148 2 2" xfId="21118"/>
    <cellStyle name="Процентный 7 148 2 2 2" xfId="53162"/>
    <cellStyle name="Процентный 7 148 2 3" xfId="31799"/>
    <cellStyle name="Процентный 7 148 2 3 2" xfId="63842"/>
    <cellStyle name="Процентный 7 148 2 4" xfId="42482"/>
    <cellStyle name="Процентный 7 148 3" xfId="15778"/>
    <cellStyle name="Процентный 7 148 3 2" xfId="47822"/>
    <cellStyle name="Процентный 7 148 4" xfId="26459"/>
    <cellStyle name="Процентный 7 148 4 2" xfId="58502"/>
    <cellStyle name="Процентный 7 148 5" xfId="37142"/>
    <cellStyle name="Процентный 7 149" xfId="5129"/>
    <cellStyle name="Процентный 7 149 2" xfId="10470"/>
    <cellStyle name="Процентный 7 149 2 2" xfId="21150"/>
    <cellStyle name="Процентный 7 149 2 2 2" xfId="53194"/>
    <cellStyle name="Процентный 7 149 2 3" xfId="31831"/>
    <cellStyle name="Процентный 7 149 2 3 2" xfId="63874"/>
    <cellStyle name="Процентный 7 149 2 4" xfId="42514"/>
    <cellStyle name="Процентный 7 149 3" xfId="15810"/>
    <cellStyle name="Процентный 7 149 3 2" xfId="47854"/>
    <cellStyle name="Процентный 7 149 4" xfId="26491"/>
    <cellStyle name="Процентный 7 149 4 2" xfId="58534"/>
    <cellStyle name="Процентный 7 149 5" xfId="37174"/>
    <cellStyle name="Процентный 7 15" xfId="1077"/>
    <cellStyle name="Процентный 7 15 2" xfId="6420"/>
    <cellStyle name="Процентный 7 15 2 2" xfId="17100"/>
    <cellStyle name="Процентный 7 15 2 2 2" xfId="49144"/>
    <cellStyle name="Процентный 7 15 2 3" xfId="27781"/>
    <cellStyle name="Процентный 7 15 2 3 2" xfId="59824"/>
    <cellStyle name="Процентный 7 15 2 4" xfId="38464"/>
    <cellStyle name="Процентный 7 15 3" xfId="11760"/>
    <cellStyle name="Процентный 7 15 3 2" xfId="43804"/>
    <cellStyle name="Процентный 7 15 4" xfId="22441"/>
    <cellStyle name="Процентный 7 15 4 2" xfId="54484"/>
    <cellStyle name="Процентный 7 15 5" xfId="33124"/>
    <cellStyle name="Процентный 7 150" xfId="5161"/>
    <cellStyle name="Процентный 7 150 2" xfId="10502"/>
    <cellStyle name="Процентный 7 150 2 2" xfId="21182"/>
    <cellStyle name="Процентный 7 150 2 2 2" xfId="53226"/>
    <cellStyle name="Процентный 7 150 2 3" xfId="31863"/>
    <cellStyle name="Процентный 7 150 2 3 2" xfId="63906"/>
    <cellStyle name="Процентный 7 150 2 4" xfId="42546"/>
    <cellStyle name="Процентный 7 150 3" xfId="15842"/>
    <cellStyle name="Процентный 7 150 3 2" xfId="47886"/>
    <cellStyle name="Процентный 7 150 4" xfId="26523"/>
    <cellStyle name="Процентный 7 150 4 2" xfId="58566"/>
    <cellStyle name="Процентный 7 150 5" xfId="37206"/>
    <cellStyle name="Процентный 7 151" xfId="5193"/>
    <cellStyle name="Процентный 7 151 2" xfId="10534"/>
    <cellStyle name="Процентный 7 151 2 2" xfId="21214"/>
    <cellStyle name="Процентный 7 151 2 2 2" xfId="53258"/>
    <cellStyle name="Процентный 7 151 2 3" xfId="31895"/>
    <cellStyle name="Процентный 7 151 2 3 2" xfId="63938"/>
    <cellStyle name="Процентный 7 151 2 4" xfId="42578"/>
    <cellStyle name="Процентный 7 151 3" xfId="15874"/>
    <cellStyle name="Процентный 7 151 3 2" xfId="47918"/>
    <cellStyle name="Процентный 7 151 4" xfId="26555"/>
    <cellStyle name="Процентный 7 151 4 2" xfId="58598"/>
    <cellStyle name="Процентный 7 151 5" xfId="37238"/>
    <cellStyle name="Процентный 7 152" xfId="5225"/>
    <cellStyle name="Процентный 7 152 2" xfId="10566"/>
    <cellStyle name="Процентный 7 152 2 2" xfId="21246"/>
    <cellStyle name="Процентный 7 152 2 2 2" xfId="53290"/>
    <cellStyle name="Процентный 7 152 2 3" xfId="31927"/>
    <cellStyle name="Процентный 7 152 2 3 2" xfId="63970"/>
    <cellStyle name="Процентный 7 152 2 4" xfId="42610"/>
    <cellStyle name="Процентный 7 152 3" xfId="15906"/>
    <cellStyle name="Процентный 7 152 3 2" xfId="47950"/>
    <cellStyle name="Процентный 7 152 4" xfId="26587"/>
    <cellStyle name="Процентный 7 152 4 2" xfId="58630"/>
    <cellStyle name="Процентный 7 152 5" xfId="37270"/>
    <cellStyle name="Процентный 7 153" xfId="5257"/>
    <cellStyle name="Процентный 7 153 2" xfId="10598"/>
    <cellStyle name="Процентный 7 153 2 2" xfId="21278"/>
    <cellStyle name="Процентный 7 153 2 2 2" xfId="53322"/>
    <cellStyle name="Процентный 7 153 2 3" xfId="31959"/>
    <cellStyle name="Процентный 7 153 2 3 2" xfId="64002"/>
    <cellStyle name="Процентный 7 153 2 4" xfId="42642"/>
    <cellStyle name="Процентный 7 153 3" xfId="15938"/>
    <cellStyle name="Процентный 7 153 3 2" xfId="47982"/>
    <cellStyle name="Процентный 7 153 4" xfId="26619"/>
    <cellStyle name="Процентный 7 153 4 2" xfId="58662"/>
    <cellStyle name="Процентный 7 153 5" xfId="37302"/>
    <cellStyle name="Процентный 7 154" xfId="5289"/>
    <cellStyle name="Процентный 7 154 2" xfId="10630"/>
    <cellStyle name="Процентный 7 154 2 2" xfId="21310"/>
    <cellStyle name="Процентный 7 154 2 2 2" xfId="53354"/>
    <cellStyle name="Процентный 7 154 2 3" xfId="31991"/>
    <cellStyle name="Процентный 7 154 2 3 2" xfId="64034"/>
    <cellStyle name="Процентный 7 154 2 4" xfId="42674"/>
    <cellStyle name="Процентный 7 154 3" xfId="15970"/>
    <cellStyle name="Процентный 7 154 3 2" xfId="48014"/>
    <cellStyle name="Процентный 7 154 4" xfId="26651"/>
    <cellStyle name="Процентный 7 154 4 2" xfId="58694"/>
    <cellStyle name="Процентный 7 154 5" xfId="37334"/>
    <cellStyle name="Процентный 7 155" xfId="5321"/>
    <cellStyle name="Процентный 7 155 2" xfId="10662"/>
    <cellStyle name="Процентный 7 155 2 2" xfId="21342"/>
    <cellStyle name="Процентный 7 155 2 2 2" xfId="53386"/>
    <cellStyle name="Процентный 7 155 2 3" xfId="32023"/>
    <cellStyle name="Процентный 7 155 2 3 2" xfId="64066"/>
    <cellStyle name="Процентный 7 155 2 4" xfId="42706"/>
    <cellStyle name="Процентный 7 155 3" xfId="16002"/>
    <cellStyle name="Процентный 7 155 3 2" xfId="48046"/>
    <cellStyle name="Процентный 7 155 4" xfId="26683"/>
    <cellStyle name="Процентный 7 155 4 2" xfId="58726"/>
    <cellStyle name="Процентный 7 155 5" xfId="37366"/>
    <cellStyle name="Процентный 7 156" xfId="5353"/>
    <cellStyle name="Процентный 7 156 2" xfId="10694"/>
    <cellStyle name="Процентный 7 156 2 2" xfId="21374"/>
    <cellStyle name="Процентный 7 156 2 2 2" xfId="53418"/>
    <cellStyle name="Процентный 7 156 2 3" xfId="32055"/>
    <cellStyle name="Процентный 7 156 2 3 2" xfId="64098"/>
    <cellStyle name="Процентный 7 156 2 4" xfId="42738"/>
    <cellStyle name="Процентный 7 156 3" xfId="16034"/>
    <cellStyle name="Процентный 7 156 3 2" xfId="48078"/>
    <cellStyle name="Процентный 7 156 4" xfId="26715"/>
    <cellStyle name="Процентный 7 156 4 2" xfId="58758"/>
    <cellStyle name="Процентный 7 156 5" xfId="37398"/>
    <cellStyle name="Процентный 7 157" xfId="5745"/>
    <cellStyle name="Процентный 7 157 2" xfId="16425"/>
    <cellStyle name="Процентный 7 157 2 2" xfId="48469"/>
    <cellStyle name="Процентный 7 157 3" xfId="27106"/>
    <cellStyle name="Процентный 7 157 3 2" xfId="59149"/>
    <cellStyle name="Процентный 7 157 4" xfId="37789"/>
    <cellStyle name="Процентный 7 158" xfId="11085"/>
    <cellStyle name="Процентный 7 158 2" xfId="43129"/>
    <cellStyle name="Процентный 7 159" xfId="21766"/>
    <cellStyle name="Процентный 7 159 2" xfId="53809"/>
    <cellStyle name="Процентный 7 16" xfId="1103"/>
    <cellStyle name="Процентный 7 16 2" xfId="6446"/>
    <cellStyle name="Процентный 7 16 2 2" xfId="17126"/>
    <cellStyle name="Процентный 7 16 2 2 2" xfId="49170"/>
    <cellStyle name="Процентный 7 16 2 3" xfId="27807"/>
    <cellStyle name="Процентный 7 16 2 3 2" xfId="59850"/>
    <cellStyle name="Процентный 7 16 2 4" xfId="38490"/>
    <cellStyle name="Процентный 7 16 3" xfId="11786"/>
    <cellStyle name="Процентный 7 16 3 2" xfId="43830"/>
    <cellStyle name="Процентный 7 16 4" xfId="22467"/>
    <cellStyle name="Процентный 7 16 4 2" xfId="54510"/>
    <cellStyle name="Процентный 7 16 5" xfId="33150"/>
    <cellStyle name="Процентный 7 160" xfId="32449"/>
    <cellStyle name="Процентный 7 17" xfId="1129"/>
    <cellStyle name="Процентный 7 17 2" xfId="6472"/>
    <cellStyle name="Процентный 7 17 2 2" xfId="17152"/>
    <cellStyle name="Процентный 7 17 2 2 2" xfId="49196"/>
    <cellStyle name="Процентный 7 17 2 3" xfId="27833"/>
    <cellStyle name="Процентный 7 17 2 3 2" xfId="59876"/>
    <cellStyle name="Процентный 7 17 2 4" xfId="38516"/>
    <cellStyle name="Процентный 7 17 3" xfId="11812"/>
    <cellStyle name="Процентный 7 17 3 2" xfId="43856"/>
    <cellStyle name="Процентный 7 17 4" xfId="22493"/>
    <cellStyle name="Процентный 7 17 4 2" xfId="54536"/>
    <cellStyle name="Процентный 7 17 5" xfId="33176"/>
    <cellStyle name="Процентный 7 18" xfId="1155"/>
    <cellStyle name="Процентный 7 18 2" xfId="6498"/>
    <cellStyle name="Процентный 7 18 2 2" xfId="17178"/>
    <cellStyle name="Процентный 7 18 2 2 2" xfId="49222"/>
    <cellStyle name="Процентный 7 18 2 3" xfId="27859"/>
    <cellStyle name="Процентный 7 18 2 3 2" xfId="59902"/>
    <cellStyle name="Процентный 7 18 2 4" xfId="38542"/>
    <cellStyle name="Процентный 7 18 3" xfId="11838"/>
    <cellStyle name="Процентный 7 18 3 2" xfId="43882"/>
    <cellStyle name="Процентный 7 18 4" xfId="22519"/>
    <cellStyle name="Процентный 7 18 4 2" xfId="54562"/>
    <cellStyle name="Процентный 7 18 5" xfId="33202"/>
    <cellStyle name="Процентный 7 19" xfId="1181"/>
    <cellStyle name="Процентный 7 19 2" xfId="6524"/>
    <cellStyle name="Процентный 7 19 2 2" xfId="17204"/>
    <cellStyle name="Процентный 7 19 2 2 2" xfId="49248"/>
    <cellStyle name="Процентный 7 19 2 3" xfId="27885"/>
    <cellStyle name="Процентный 7 19 2 3 2" xfId="59928"/>
    <cellStyle name="Процентный 7 19 2 4" xfId="38568"/>
    <cellStyle name="Процентный 7 19 3" xfId="11864"/>
    <cellStyle name="Процентный 7 19 3 2" xfId="43908"/>
    <cellStyle name="Процентный 7 19 4" xfId="22545"/>
    <cellStyle name="Процентный 7 19 4 2" xfId="54588"/>
    <cellStyle name="Процентный 7 19 5" xfId="33228"/>
    <cellStyle name="Процентный 7 2" xfId="413"/>
    <cellStyle name="Процентный 7 2 10" xfId="1167"/>
    <cellStyle name="Процентный 7 2 10 2" xfId="6510"/>
    <cellStyle name="Процентный 7 2 10 2 2" xfId="17190"/>
    <cellStyle name="Процентный 7 2 10 2 2 2" xfId="49234"/>
    <cellStyle name="Процентный 7 2 10 2 3" xfId="27871"/>
    <cellStyle name="Процентный 7 2 10 2 3 2" xfId="59914"/>
    <cellStyle name="Процентный 7 2 10 2 4" xfId="38554"/>
    <cellStyle name="Процентный 7 2 10 3" xfId="11850"/>
    <cellStyle name="Процентный 7 2 10 3 2" xfId="43894"/>
    <cellStyle name="Процентный 7 2 10 4" xfId="22531"/>
    <cellStyle name="Процентный 7 2 10 4 2" xfId="54574"/>
    <cellStyle name="Процентный 7 2 10 5" xfId="33214"/>
    <cellStyle name="Процентный 7 2 100" xfId="3827"/>
    <cellStyle name="Процентный 7 2 100 2" xfId="9168"/>
    <cellStyle name="Процентный 7 2 100 2 2" xfId="19848"/>
    <cellStyle name="Процентный 7 2 100 2 2 2" xfId="51892"/>
    <cellStyle name="Процентный 7 2 100 2 3" xfId="30529"/>
    <cellStyle name="Процентный 7 2 100 2 3 2" xfId="62572"/>
    <cellStyle name="Процентный 7 2 100 2 4" xfId="41212"/>
    <cellStyle name="Процентный 7 2 100 3" xfId="14508"/>
    <cellStyle name="Процентный 7 2 100 3 2" xfId="46552"/>
    <cellStyle name="Процентный 7 2 100 4" xfId="25189"/>
    <cellStyle name="Процентный 7 2 100 4 2" xfId="57232"/>
    <cellStyle name="Процентный 7 2 100 5" xfId="35872"/>
    <cellStyle name="Процентный 7 2 101" xfId="3859"/>
    <cellStyle name="Процентный 7 2 101 2" xfId="9200"/>
    <cellStyle name="Процентный 7 2 101 2 2" xfId="19880"/>
    <cellStyle name="Процентный 7 2 101 2 2 2" xfId="51924"/>
    <cellStyle name="Процентный 7 2 101 2 3" xfId="30561"/>
    <cellStyle name="Процентный 7 2 101 2 3 2" xfId="62604"/>
    <cellStyle name="Процентный 7 2 101 2 4" xfId="41244"/>
    <cellStyle name="Процентный 7 2 101 3" xfId="14540"/>
    <cellStyle name="Процентный 7 2 101 3 2" xfId="46584"/>
    <cellStyle name="Процентный 7 2 101 4" xfId="25221"/>
    <cellStyle name="Процентный 7 2 101 4 2" xfId="57264"/>
    <cellStyle name="Процентный 7 2 101 5" xfId="35904"/>
    <cellStyle name="Процентный 7 2 102" xfId="3891"/>
    <cellStyle name="Процентный 7 2 102 2" xfId="9232"/>
    <cellStyle name="Процентный 7 2 102 2 2" xfId="19912"/>
    <cellStyle name="Процентный 7 2 102 2 2 2" xfId="51956"/>
    <cellStyle name="Процентный 7 2 102 2 3" xfId="30593"/>
    <cellStyle name="Процентный 7 2 102 2 3 2" xfId="62636"/>
    <cellStyle name="Процентный 7 2 102 2 4" xfId="41276"/>
    <cellStyle name="Процентный 7 2 102 3" xfId="14572"/>
    <cellStyle name="Процентный 7 2 102 3 2" xfId="46616"/>
    <cellStyle name="Процентный 7 2 102 4" xfId="25253"/>
    <cellStyle name="Процентный 7 2 102 4 2" xfId="57296"/>
    <cellStyle name="Процентный 7 2 102 5" xfId="35936"/>
    <cellStyle name="Процентный 7 2 103" xfId="3923"/>
    <cellStyle name="Процентный 7 2 103 2" xfId="9264"/>
    <cellStyle name="Процентный 7 2 103 2 2" xfId="19944"/>
    <cellStyle name="Процентный 7 2 103 2 2 2" xfId="51988"/>
    <cellStyle name="Процентный 7 2 103 2 3" xfId="30625"/>
    <cellStyle name="Процентный 7 2 103 2 3 2" xfId="62668"/>
    <cellStyle name="Процентный 7 2 103 2 4" xfId="41308"/>
    <cellStyle name="Процентный 7 2 103 3" xfId="14604"/>
    <cellStyle name="Процентный 7 2 103 3 2" xfId="46648"/>
    <cellStyle name="Процентный 7 2 103 4" xfId="25285"/>
    <cellStyle name="Процентный 7 2 103 4 2" xfId="57328"/>
    <cellStyle name="Процентный 7 2 103 5" xfId="35968"/>
    <cellStyle name="Процентный 7 2 104" xfId="3955"/>
    <cellStyle name="Процентный 7 2 104 2" xfId="9296"/>
    <cellStyle name="Процентный 7 2 104 2 2" xfId="19976"/>
    <cellStyle name="Процентный 7 2 104 2 2 2" xfId="52020"/>
    <cellStyle name="Процентный 7 2 104 2 3" xfId="30657"/>
    <cellStyle name="Процентный 7 2 104 2 3 2" xfId="62700"/>
    <cellStyle name="Процентный 7 2 104 2 4" xfId="41340"/>
    <cellStyle name="Процентный 7 2 104 3" xfId="14636"/>
    <cellStyle name="Процентный 7 2 104 3 2" xfId="46680"/>
    <cellStyle name="Процентный 7 2 104 4" xfId="25317"/>
    <cellStyle name="Процентный 7 2 104 4 2" xfId="57360"/>
    <cellStyle name="Процентный 7 2 104 5" xfId="36000"/>
    <cellStyle name="Процентный 7 2 105" xfId="3987"/>
    <cellStyle name="Процентный 7 2 105 2" xfId="9328"/>
    <cellStyle name="Процентный 7 2 105 2 2" xfId="20008"/>
    <cellStyle name="Процентный 7 2 105 2 2 2" xfId="52052"/>
    <cellStyle name="Процентный 7 2 105 2 3" xfId="30689"/>
    <cellStyle name="Процентный 7 2 105 2 3 2" xfId="62732"/>
    <cellStyle name="Процентный 7 2 105 2 4" xfId="41372"/>
    <cellStyle name="Процентный 7 2 105 3" xfId="14668"/>
    <cellStyle name="Процентный 7 2 105 3 2" xfId="46712"/>
    <cellStyle name="Процентный 7 2 105 4" xfId="25349"/>
    <cellStyle name="Процентный 7 2 105 4 2" xfId="57392"/>
    <cellStyle name="Процентный 7 2 105 5" xfId="36032"/>
    <cellStyle name="Процентный 7 2 106" xfId="4019"/>
    <cellStyle name="Процентный 7 2 106 2" xfId="9360"/>
    <cellStyle name="Процентный 7 2 106 2 2" xfId="20040"/>
    <cellStyle name="Процентный 7 2 106 2 2 2" xfId="52084"/>
    <cellStyle name="Процентный 7 2 106 2 3" xfId="30721"/>
    <cellStyle name="Процентный 7 2 106 2 3 2" xfId="62764"/>
    <cellStyle name="Процентный 7 2 106 2 4" xfId="41404"/>
    <cellStyle name="Процентный 7 2 106 3" xfId="14700"/>
    <cellStyle name="Процентный 7 2 106 3 2" xfId="46744"/>
    <cellStyle name="Процентный 7 2 106 4" xfId="25381"/>
    <cellStyle name="Процентный 7 2 106 4 2" xfId="57424"/>
    <cellStyle name="Процентный 7 2 106 5" xfId="36064"/>
    <cellStyle name="Процентный 7 2 107" xfId="4051"/>
    <cellStyle name="Процентный 7 2 107 2" xfId="9392"/>
    <cellStyle name="Процентный 7 2 107 2 2" xfId="20072"/>
    <cellStyle name="Процентный 7 2 107 2 2 2" xfId="52116"/>
    <cellStyle name="Процентный 7 2 107 2 3" xfId="30753"/>
    <cellStyle name="Процентный 7 2 107 2 3 2" xfId="62796"/>
    <cellStyle name="Процентный 7 2 107 2 4" xfId="41436"/>
    <cellStyle name="Процентный 7 2 107 3" xfId="14732"/>
    <cellStyle name="Процентный 7 2 107 3 2" xfId="46776"/>
    <cellStyle name="Процентный 7 2 107 4" xfId="25413"/>
    <cellStyle name="Процентный 7 2 107 4 2" xfId="57456"/>
    <cellStyle name="Процентный 7 2 107 5" xfId="36096"/>
    <cellStyle name="Процентный 7 2 108" xfId="4083"/>
    <cellStyle name="Процентный 7 2 108 2" xfId="9424"/>
    <cellStyle name="Процентный 7 2 108 2 2" xfId="20104"/>
    <cellStyle name="Процентный 7 2 108 2 2 2" xfId="52148"/>
    <cellStyle name="Процентный 7 2 108 2 3" xfId="30785"/>
    <cellStyle name="Процентный 7 2 108 2 3 2" xfId="62828"/>
    <cellStyle name="Процентный 7 2 108 2 4" xfId="41468"/>
    <cellStyle name="Процентный 7 2 108 3" xfId="14764"/>
    <cellStyle name="Процентный 7 2 108 3 2" xfId="46808"/>
    <cellStyle name="Процентный 7 2 108 4" xfId="25445"/>
    <cellStyle name="Процентный 7 2 108 4 2" xfId="57488"/>
    <cellStyle name="Процентный 7 2 108 5" xfId="36128"/>
    <cellStyle name="Процентный 7 2 109" xfId="4115"/>
    <cellStyle name="Процентный 7 2 109 2" xfId="9456"/>
    <cellStyle name="Процентный 7 2 109 2 2" xfId="20136"/>
    <cellStyle name="Процентный 7 2 109 2 2 2" xfId="52180"/>
    <cellStyle name="Процентный 7 2 109 2 3" xfId="30817"/>
    <cellStyle name="Процентный 7 2 109 2 3 2" xfId="62860"/>
    <cellStyle name="Процентный 7 2 109 2 4" xfId="41500"/>
    <cellStyle name="Процентный 7 2 109 3" xfId="14796"/>
    <cellStyle name="Процентный 7 2 109 3 2" xfId="46840"/>
    <cellStyle name="Процентный 7 2 109 4" xfId="25477"/>
    <cellStyle name="Процентный 7 2 109 4 2" xfId="57520"/>
    <cellStyle name="Процентный 7 2 109 5" xfId="36160"/>
    <cellStyle name="Процентный 7 2 11" xfId="1193"/>
    <cellStyle name="Процентный 7 2 11 2" xfId="6536"/>
    <cellStyle name="Процентный 7 2 11 2 2" xfId="17216"/>
    <cellStyle name="Процентный 7 2 11 2 2 2" xfId="49260"/>
    <cellStyle name="Процентный 7 2 11 2 3" xfId="27897"/>
    <cellStyle name="Процентный 7 2 11 2 3 2" xfId="59940"/>
    <cellStyle name="Процентный 7 2 11 2 4" xfId="38580"/>
    <cellStyle name="Процентный 7 2 11 3" xfId="11876"/>
    <cellStyle name="Процентный 7 2 11 3 2" xfId="43920"/>
    <cellStyle name="Процентный 7 2 11 4" xfId="22557"/>
    <cellStyle name="Процентный 7 2 11 4 2" xfId="54600"/>
    <cellStyle name="Процентный 7 2 11 5" xfId="33240"/>
    <cellStyle name="Процентный 7 2 110" xfId="4147"/>
    <cellStyle name="Процентный 7 2 110 2" xfId="9488"/>
    <cellStyle name="Процентный 7 2 110 2 2" xfId="20168"/>
    <cellStyle name="Процентный 7 2 110 2 2 2" xfId="52212"/>
    <cellStyle name="Процентный 7 2 110 2 3" xfId="30849"/>
    <cellStyle name="Процентный 7 2 110 2 3 2" xfId="62892"/>
    <cellStyle name="Процентный 7 2 110 2 4" xfId="41532"/>
    <cellStyle name="Процентный 7 2 110 3" xfId="14828"/>
    <cellStyle name="Процентный 7 2 110 3 2" xfId="46872"/>
    <cellStyle name="Процентный 7 2 110 4" xfId="25509"/>
    <cellStyle name="Процентный 7 2 110 4 2" xfId="57552"/>
    <cellStyle name="Процентный 7 2 110 5" xfId="36192"/>
    <cellStyle name="Процентный 7 2 111" xfId="4179"/>
    <cellStyle name="Процентный 7 2 111 2" xfId="9520"/>
    <cellStyle name="Процентный 7 2 111 2 2" xfId="20200"/>
    <cellStyle name="Процентный 7 2 111 2 2 2" xfId="52244"/>
    <cellStyle name="Процентный 7 2 111 2 3" xfId="30881"/>
    <cellStyle name="Процентный 7 2 111 2 3 2" xfId="62924"/>
    <cellStyle name="Процентный 7 2 111 2 4" xfId="41564"/>
    <cellStyle name="Процентный 7 2 111 3" xfId="14860"/>
    <cellStyle name="Процентный 7 2 111 3 2" xfId="46904"/>
    <cellStyle name="Процентный 7 2 111 4" xfId="25541"/>
    <cellStyle name="Процентный 7 2 111 4 2" xfId="57584"/>
    <cellStyle name="Процентный 7 2 111 5" xfId="36224"/>
    <cellStyle name="Процентный 7 2 112" xfId="4211"/>
    <cellStyle name="Процентный 7 2 112 2" xfId="9552"/>
    <cellStyle name="Процентный 7 2 112 2 2" xfId="20232"/>
    <cellStyle name="Процентный 7 2 112 2 2 2" xfId="52276"/>
    <cellStyle name="Процентный 7 2 112 2 3" xfId="30913"/>
    <cellStyle name="Процентный 7 2 112 2 3 2" xfId="62956"/>
    <cellStyle name="Процентный 7 2 112 2 4" xfId="41596"/>
    <cellStyle name="Процентный 7 2 112 3" xfId="14892"/>
    <cellStyle name="Процентный 7 2 112 3 2" xfId="46936"/>
    <cellStyle name="Процентный 7 2 112 4" xfId="25573"/>
    <cellStyle name="Процентный 7 2 112 4 2" xfId="57616"/>
    <cellStyle name="Процентный 7 2 112 5" xfId="36256"/>
    <cellStyle name="Процентный 7 2 113" xfId="4243"/>
    <cellStyle name="Процентный 7 2 113 2" xfId="9584"/>
    <cellStyle name="Процентный 7 2 113 2 2" xfId="20264"/>
    <cellStyle name="Процентный 7 2 113 2 2 2" xfId="52308"/>
    <cellStyle name="Процентный 7 2 113 2 3" xfId="30945"/>
    <cellStyle name="Процентный 7 2 113 2 3 2" xfId="62988"/>
    <cellStyle name="Процентный 7 2 113 2 4" xfId="41628"/>
    <cellStyle name="Процентный 7 2 113 3" xfId="14924"/>
    <cellStyle name="Процентный 7 2 113 3 2" xfId="46968"/>
    <cellStyle name="Процентный 7 2 113 4" xfId="25605"/>
    <cellStyle name="Процентный 7 2 113 4 2" xfId="57648"/>
    <cellStyle name="Процентный 7 2 113 5" xfId="36288"/>
    <cellStyle name="Процентный 7 2 114" xfId="4275"/>
    <cellStyle name="Процентный 7 2 114 2" xfId="9616"/>
    <cellStyle name="Процентный 7 2 114 2 2" xfId="20296"/>
    <cellStyle name="Процентный 7 2 114 2 2 2" xfId="52340"/>
    <cellStyle name="Процентный 7 2 114 2 3" xfId="30977"/>
    <cellStyle name="Процентный 7 2 114 2 3 2" xfId="63020"/>
    <cellStyle name="Процентный 7 2 114 2 4" xfId="41660"/>
    <cellStyle name="Процентный 7 2 114 3" xfId="14956"/>
    <cellStyle name="Процентный 7 2 114 3 2" xfId="47000"/>
    <cellStyle name="Процентный 7 2 114 4" xfId="25637"/>
    <cellStyle name="Процентный 7 2 114 4 2" xfId="57680"/>
    <cellStyle name="Процентный 7 2 114 5" xfId="36320"/>
    <cellStyle name="Процентный 7 2 115" xfId="4307"/>
    <cellStyle name="Процентный 7 2 115 2" xfId="9648"/>
    <cellStyle name="Процентный 7 2 115 2 2" xfId="20328"/>
    <cellStyle name="Процентный 7 2 115 2 2 2" xfId="52372"/>
    <cellStyle name="Процентный 7 2 115 2 3" xfId="31009"/>
    <cellStyle name="Процентный 7 2 115 2 3 2" xfId="63052"/>
    <cellStyle name="Процентный 7 2 115 2 4" xfId="41692"/>
    <cellStyle name="Процентный 7 2 115 3" xfId="14988"/>
    <cellStyle name="Процентный 7 2 115 3 2" xfId="47032"/>
    <cellStyle name="Процентный 7 2 115 4" xfId="25669"/>
    <cellStyle name="Процентный 7 2 115 4 2" xfId="57712"/>
    <cellStyle name="Процентный 7 2 115 5" xfId="36352"/>
    <cellStyle name="Процентный 7 2 116" xfId="4339"/>
    <cellStyle name="Процентный 7 2 116 2" xfId="9680"/>
    <cellStyle name="Процентный 7 2 116 2 2" xfId="20360"/>
    <cellStyle name="Процентный 7 2 116 2 2 2" xfId="52404"/>
    <cellStyle name="Процентный 7 2 116 2 3" xfId="31041"/>
    <cellStyle name="Процентный 7 2 116 2 3 2" xfId="63084"/>
    <cellStyle name="Процентный 7 2 116 2 4" xfId="41724"/>
    <cellStyle name="Процентный 7 2 116 3" xfId="15020"/>
    <cellStyle name="Процентный 7 2 116 3 2" xfId="47064"/>
    <cellStyle name="Процентный 7 2 116 4" xfId="25701"/>
    <cellStyle name="Процентный 7 2 116 4 2" xfId="57744"/>
    <cellStyle name="Процентный 7 2 116 5" xfId="36384"/>
    <cellStyle name="Процентный 7 2 117" xfId="4371"/>
    <cellStyle name="Процентный 7 2 117 2" xfId="9712"/>
    <cellStyle name="Процентный 7 2 117 2 2" xfId="20392"/>
    <cellStyle name="Процентный 7 2 117 2 2 2" xfId="52436"/>
    <cellStyle name="Процентный 7 2 117 2 3" xfId="31073"/>
    <cellStyle name="Процентный 7 2 117 2 3 2" xfId="63116"/>
    <cellStyle name="Процентный 7 2 117 2 4" xfId="41756"/>
    <cellStyle name="Процентный 7 2 117 3" xfId="15052"/>
    <cellStyle name="Процентный 7 2 117 3 2" xfId="47096"/>
    <cellStyle name="Процентный 7 2 117 4" xfId="25733"/>
    <cellStyle name="Процентный 7 2 117 4 2" xfId="57776"/>
    <cellStyle name="Процентный 7 2 117 5" xfId="36416"/>
    <cellStyle name="Процентный 7 2 118" xfId="4403"/>
    <cellStyle name="Процентный 7 2 118 2" xfId="9744"/>
    <cellStyle name="Процентный 7 2 118 2 2" xfId="20424"/>
    <cellStyle name="Процентный 7 2 118 2 2 2" xfId="52468"/>
    <cellStyle name="Процентный 7 2 118 2 3" xfId="31105"/>
    <cellStyle name="Процентный 7 2 118 2 3 2" xfId="63148"/>
    <cellStyle name="Процентный 7 2 118 2 4" xfId="41788"/>
    <cellStyle name="Процентный 7 2 118 3" xfId="15084"/>
    <cellStyle name="Процентный 7 2 118 3 2" xfId="47128"/>
    <cellStyle name="Процентный 7 2 118 4" xfId="25765"/>
    <cellStyle name="Процентный 7 2 118 4 2" xfId="57808"/>
    <cellStyle name="Процентный 7 2 118 5" xfId="36448"/>
    <cellStyle name="Процентный 7 2 119" xfId="4435"/>
    <cellStyle name="Процентный 7 2 119 2" xfId="9776"/>
    <cellStyle name="Процентный 7 2 119 2 2" xfId="20456"/>
    <cellStyle name="Процентный 7 2 119 2 2 2" xfId="52500"/>
    <cellStyle name="Процентный 7 2 119 2 3" xfId="31137"/>
    <cellStyle name="Процентный 7 2 119 2 3 2" xfId="63180"/>
    <cellStyle name="Процентный 7 2 119 2 4" xfId="41820"/>
    <cellStyle name="Процентный 7 2 119 3" xfId="15116"/>
    <cellStyle name="Процентный 7 2 119 3 2" xfId="47160"/>
    <cellStyle name="Процентный 7 2 119 4" xfId="25797"/>
    <cellStyle name="Процентный 7 2 119 4 2" xfId="57840"/>
    <cellStyle name="Процентный 7 2 119 5" xfId="36480"/>
    <cellStyle name="Процентный 7 2 12" xfId="1219"/>
    <cellStyle name="Процентный 7 2 12 2" xfId="6562"/>
    <cellStyle name="Процентный 7 2 12 2 2" xfId="17242"/>
    <cellStyle name="Процентный 7 2 12 2 2 2" xfId="49286"/>
    <cellStyle name="Процентный 7 2 12 2 3" xfId="27923"/>
    <cellStyle name="Процентный 7 2 12 2 3 2" xfId="59966"/>
    <cellStyle name="Процентный 7 2 12 2 4" xfId="38606"/>
    <cellStyle name="Процентный 7 2 12 3" xfId="11902"/>
    <cellStyle name="Процентный 7 2 12 3 2" xfId="43946"/>
    <cellStyle name="Процентный 7 2 12 4" xfId="22583"/>
    <cellStyle name="Процентный 7 2 12 4 2" xfId="54626"/>
    <cellStyle name="Процентный 7 2 12 5" xfId="33266"/>
    <cellStyle name="Процентный 7 2 120" xfId="4467"/>
    <cellStyle name="Процентный 7 2 120 2" xfId="9808"/>
    <cellStyle name="Процентный 7 2 120 2 2" xfId="20488"/>
    <cellStyle name="Процентный 7 2 120 2 2 2" xfId="52532"/>
    <cellStyle name="Процентный 7 2 120 2 3" xfId="31169"/>
    <cellStyle name="Процентный 7 2 120 2 3 2" xfId="63212"/>
    <cellStyle name="Процентный 7 2 120 2 4" xfId="41852"/>
    <cellStyle name="Процентный 7 2 120 3" xfId="15148"/>
    <cellStyle name="Процентный 7 2 120 3 2" xfId="47192"/>
    <cellStyle name="Процентный 7 2 120 4" xfId="25829"/>
    <cellStyle name="Процентный 7 2 120 4 2" xfId="57872"/>
    <cellStyle name="Процентный 7 2 120 5" xfId="36512"/>
    <cellStyle name="Процентный 7 2 121" xfId="4499"/>
    <cellStyle name="Процентный 7 2 121 2" xfId="9840"/>
    <cellStyle name="Процентный 7 2 121 2 2" xfId="20520"/>
    <cellStyle name="Процентный 7 2 121 2 2 2" xfId="52564"/>
    <cellStyle name="Процентный 7 2 121 2 3" xfId="31201"/>
    <cellStyle name="Процентный 7 2 121 2 3 2" xfId="63244"/>
    <cellStyle name="Процентный 7 2 121 2 4" xfId="41884"/>
    <cellStyle name="Процентный 7 2 121 3" xfId="15180"/>
    <cellStyle name="Процентный 7 2 121 3 2" xfId="47224"/>
    <cellStyle name="Процентный 7 2 121 4" xfId="25861"/>
    <cellStyle name="Процентный 7 2 121 4 2" xfId="57904"/>
    <cellStyle name="Процентный 7 2 121 5" xfId="36544"/>
    <cellStyle name="Процентный 7 2 122" xfId="4531"/>
    <cellStyle name="Процентный 7 2 122 2" xfId="9872"/>
    <cellStyle name="Процентный 7 2 122 2 2" xfId="20552"/>
    <cellStyle name="Процентный 7 2 122 2 2 2" xfId="52596"/>
    <cellStyle name="Процентный 7 2 122 2 3" xfId="31233"/>
    <cellStyle name="Процентный 7 2 122 2 3 2" xfId="63276"/>
    <cellStyle name="Процентный 7 2 122 2 4" xfId="41916"/>
    <cellStyle name="Процентный 7 2 122 3" xfId="15212"/>
    <cellStyle name="Процентный 7 2 122 3 2" xfId="47256"/>
    <cellStyle name="Процентный 7 2 122 4" xfId="25893"/>
    <cellStyle name="Процентный 7 2 122 4 2" xfId="57936"/>
    <cellStyle name="Процентный 7 2 122 5" xfId="36576"/>
    <cellStyle name="Процентный 7 2 123" xfId="4563"/>
    <cellStyle name="Процентный 7 2 123 2" xfId="9904"/>
    <cellStyle name="Процентный 7 2 123 2 2" xfId="20584"/>
    <cellStyle name="Процентный 7 2 123 2 2 2" xfId="52628"/>
    <cellStyle name="Процентный 7 2 123 2 3" xfId="31265"/>
    <cellStyle name="Процентный 7 2 123 2 3 2" xfId="63308"/>
    <cellStyle name="Процентный 7 2 123 2 4" xfId="41948"/>
    <cellStyle name="Процентный 7 2 123 3" xfId="15244"/>
    <cellStyle name="Процентный 7 2 123 3 2" xfId="47288"/>
    <cellStyle name="Процентный 7 2 123 4" xfId="25925"/>
    <cellStyle name="Процентный 7 2 123 4 2" xfId="57968"/>
    <cellStyle name="Процентный 7 2 123 5" xfId="36608"/>
    <cellStyle name="Процентный 7 2 124" xfId="4595"/>
    <cellStyle name="Процентный 7 2 124 2" xfId="9936"/>
    <cellStyle name="Процентный 7 2 124 2 2" xfId="20616"/>
    <cellStyle name="Процентный 7 2 124 2 2 2" xfId="52660"/>
    <cellStyle name="Процентный 7 2 124 2 3" xfId="31297"/>
    <cellStyle name="Процентный 7 2 124 2 3 2" xfId="63340"/>
    <cellStyle name="Процентный 7 2 124 2 4" xfId="41980"/>
    <cellStyle name="Процентный 7 2 124 3" xfId="15276"/>
    <cellStyle name="Процентный 7 2 124 3 2" xfId="47320"/>
    <cellStyle name="Процентный 7 2 124 4" xfId="25957"/>
    <cellStyle name="Процентный 7 2 124 4 2" xfId="58000"/>
    <cellStyle name="Процентный 7 2 124 5" xfId="36640"/>
    <cellStyle name="Процентный 7 2 125" xfId="4627"/>
    <cellStyle name="Процентный 7 2 125 2" xfId="9968"/>
    <cellStyle name="Процентный 7 2 125 2 2" xfId="20648"/>
    <cellStyle name="Процентный 7 2 125 2 2 2" xfId="52692"/>
    <cellStyle name="Процентный 7 2 125 2 3" xfId="31329"/>
    <cellStyle name="Процентный 7 2 125 2 3 2" xfId="63372"/>
    <cellStyle name="Процентный 7 2 125 2 4" xfId="42012"/>
    <cellStyle name="Процентный 7 2 125 3" xfId="15308"/>
    <cellStyle name="Процентный 7 2 125 3 2" xfId="47352"/>
    <cellStyle name="Процентный 7 2 125 4" xfId="25989"/>
    <cellStyle name="Процентный 7 2 125 4 2" xfId="58032"/>
    <cellStyle name="Процентный 7 2 125 5" xfId="36672"/>
    <cellStyle name="Процентный 7 2 126" xfId="4659"/>
    <cellStyle name="Процентный 7 2 126 2" xfId="10000"/>
    <cellStyle name="Процентный 7 2 126 2 2" xfId="20680"/>
    <cellStyle name="Процентный 7 2 126 2 2 2" xfId="52724"/>
    <cellStyle name="Процентный 7 2 126 2 3" xfId="31361"/>
    <cellStyle name="Процентный 7 2 126 2 3 2" xfId="63404"/>
    <cellStyle name="Процентный 7 2 126 2 4" xfId="42044"/>
    <cellStyle name="Процентный 7 2 126 3" xfId="15340"/>
    <cellStyle name="Процентный 7 2 126 3 2" xfId="47384"/>
    <cellStyle name="Процентный 7 2 126 4" xfId="26021"/>
    <cellStyle name="Процентный 7 2 126 4 2" xfId="58064"/>
    <cellStyle name="Процентный 7 2 126 5" xfId="36704"/>
    <cellStyle name="Процентный 7 2 127" xfId="4691"/>
    <cellStyle name="Процентный 7 2 127 2" xfId="10032"/>
    <cellStyle name="Процентный 7 2 127 2 2" xfId="20712"/>
    <cellStyle name="Процентный 7 2 127 2 2 2" xfId="52756"/>
    <cellStyle name="Процентный 7 2 127 2 3" xfId="31393"/>
    <cellStyle name="Процентный 7 2 127 2 3 2" xfId="63436"/>
    <cellStyle name="Процентный 7 2 127 2 4" xfId="42076"/>
    <cellStyle name="Процентный 7 2 127 3" xfId="15372"/>
    <cellStyle name="Процентный 7 2 127 3 2" xfId="47416"/>
    <cellStyle name="Процентный 7 2 127 4" xfId="26053"/>
    <cellStyle name="Процентный 7 2 127 4 2" xfId="58096"/>
    <cellStyle name="Процентный 7 2 127 5" xfId="36736"/>
    <cellStyle name="Процентный 7 2 128" xfId="4725"/>
    <cellStyle name="Процентный 7 2 128 2" xfId="10066"/>
    <cellStyle name="Процентный 7 2 128 2 2" xfId="20746"/>
    <cellStyle name="Процентный 7 2 128 2 2 2" xfId="52790"/>
    <cellStyle name="Процентный 7 2 128 2 3" xfId="31427"/>
    <cellStyle name="Процентный 7 2 128 2 3 2" xfId="63470"/>
    <cellStyle name="Процентный 7 2 128 2 4" xfId="42110"/>
    <cellStyle name="Процентный 7 2 128 3" xfId="15406"/>
    <cellStyle name="Процентный 7 2 128 3 2" xfId="47450"/>
    <cellStyle name="Процентный 7 2 128 4" xfId="26087"/>
    <cellStyle name="Процентный 7 2 128 4 2" xfId="58130"/>
    <cellStyle name="Процентный 7 2 128 5" xfId="36770"/>
    <cellStyle name="Процентный 7 2 129" xfId="4757"/>
    <cellStyle name="Процентный 7 2 129 2" xfId="10098"/>
    <cellStyle name="Процентный 7 2 129 2 2" xfId="20778"/>
    <cellStyle name="Процентный 7 2 129 2 2 2" xfId="52822"/>
    <cellStyle name="Процентный 7 2 129 2 3" xfId="31459"/>
    <cellStyle name="Процентный 7 2 129 2 3 2" xfId="63502"/>
    <cellStyle name="Процентный 7 2 129 2 4" xfId="42142"/>
    <cellStyle name="Процентный 7 2 129 3" xfId="15438"/>
    <cellStyle name="Процентный 7 2 129 3 2" xfId="47482"/>
    <cellStyle name="Процентный 7 2 129 4" xfId="26119"/>
    <cellStyle name="Процентный 7 2 129 4 2" xfId="58162"/>
    <cellStyle name="Процентный 7 2 129 5" xfId="36802"/>
    <cellStyle name="Процентный 7 2 13" xfId="1245"/>
    <cellStyle name="Процентный 7 2 13 2" xfId="6588"/>
    <cellStyle name="Процентный 7 2 13 2 2" xfId="17268"/>
    <cellStyle name="Процентный 7 2 13 2 2 2" xfId="49312"/>
    <cellStyle name="Процентный 7 2 13 2 3" xfId="27949"/>
    <cellStyle name="Процентный 7 2 13 2 3 2" xfId="59992"/>
    <cellStyle name="Процентный 7 2 13 2 4" xfId="38632"/>
    <cellStyle name="Процентный 7 2 13 3" xfId="11928"/>
    <cellStyle name="Процентный 7 2 13 3 2" xfId="43972"/>
    <cellStyle name="Процентный 7 2 13 4" xfId="22609"/>
    <cellStyle name="Процентный 7 2 13 4 2" xfId="54652"/>
    <cellStyle name="Процентный 7 2 13 5" xfId="33292"/>
    <cellStyle name="Процентный 7 2 130" xfId="4789"/>
    <cellStyle name="Процентный 7 2 130 2" xfId="10130"/>
    <cellStyle name="Процентный 7 2 130 2 2" xfId="20810"/>
    <cellStyle name="Процентный 7 2 130 2 2 2" xfId="52854"/>
    <cellStyle name="Процентный 7 2 130 2 3" xfId="31491"/>
    <cellStyle name="Процентный 7 2 130 2 3 2" xfId="63534"/>
    <cellStyle name="Процентный 7 2 130 2 4" xfId="42174"/>
    <cellStyle name="Процентный 7 2 130 3" xfId="15470"/>
    <cellStyle name="Процентный 7 2 130 3 2" xfId="47514"/>
    <cellStyle name="Процентный 7 2 130 4" xfId="26151"/>
    <cellStyle name="Процентный 7 2 130 4 2" xfId="58194"/>
    <cellStyle name="Процентный 7 2 130 5" xfId="36834"/>
    <cellStyle name="Процентный 7 2 131" xfId="4821"/>
    <cellStyle name="Процентный 7 2 131 2" xfId="10162"/>
    <cellStyle name="Процентный 7 2 131 2 2" xfId="20842"/>
    <cellStyle name="Процентный 7 2 131 2 2 2" xfId="52886"/>
    <cellStyle name="Процентный 7 2 131 2 3" xfId="31523"/>
    <cellStyle name="Процентный 7 2 131 2 3 2" xfId="63566"/>
    <cellStyle name="Процентный 7 2 131 2 4" xfId="42206"/>
    <cellStyle name="Процентный 7 2 131 3" xfId="15502"/>
    <cellStyle name="Процентный 7 2 131 3 2" xfId="47546"/>
    <cellStyle name="Процентный 7 2 131 4" xfId="26183"/>
    <cellStyle name="Процентный 7 2 131 4 2" xfId="58226"/>
    <cellStyle name="Процентный 7 2 131 5" xfId="36866"/>
    <cellStyle name="Процентный 7 2 132" xfId="4853"/>
    <cellStyle name="Процентный 7 2 132 2" xfId="10194"/>
    <cellStyle name="Процентный 7 2 132 2 2" xfId="20874"/>
    <cellStyle name="Процентный 7 2 132 2 2 2" xfId="52918"/>
    <cellStyle name="Процентный 7 2 132 2 3" xfId="31555"/>
    <cellStyle name="Процентный 7 2 132 2 3 2" xfId="63598"/>
    <cellStyle name="Процентный 7 2 132 2 4" xfId="42238"/>
    <cellStyle name="Процентный 7 2 132 3" xfId="15534"/>
    <cellStyle name="Процентный 7 2 132 3 2" xfId="47578"/>
    <cellStyle name="Процентный 7 2 132 4" xfId="26215"/>
    <cellStyle name="Процентный 7 2 132 4 2" xfId="58258"/>
    <cellStyle name="Процентный 7 2 132 5" xfId="36898"/>
    <cellStyle name="Процентный 7 2 133" xfId="4885"/>
    <cellStyle name="Процентный 7 2 133 2" xfId="10226"/>
    <cellStyle name="Процентный 7 2 133 2 2" xfId="20906"/>
    <cellStyle name="Процентный 7 2 133 2 2 2" xfId="52950"/>
    <cellStyle name="Процентный 7 2 133 2 3" xfId="31587"/>
    <cellStyle name="Процентный 7 2 133 2 3 2" xfId="63630"/>
    <cellStyle name="Процентный 7 2 133 2 4" xfId="42270"/>
    <cellStyle name="Процентный 7 2 133 3" xfId="15566"/>
    <cellStyle name="Процентный 7 2 133 3 2" xfId="47610"/>
    <cellStyle name="Процентный 7 2 133 4" xfId="26247"/>
    <cellStyle name="Процентный 7 2 133 4 2" xfId="58290"/>
    <cellStyle name="Процентный 7 2 133 5" xfId="36930"/>
    <cellStyle name="Процентный 7 2 134" xfId="4917"/>
    <cellStyle name="Процентный 7 2 134 2" xfId="10258"/>
    <cellStyle name="Процентный 7 2 134 2 2" xfId="20938"/>
    <cellStyle name="Процентный 7 2 134 2 2 2" xfId="52982"/>
    <cellStyle name="Процентный 7 2 134 2 3" xfId="31619"/>
    <cellStyle name="Процентный 7 2 134 2 3 2" xfId="63662"/>
    <cellStyle name="Процентный 7 2 134 2 4" xfId="42302"/>
    <cellStyle name="Процентный 7 2 134 3" xfId="15598"/>
    <cellStyle name="Процентный 7 2 134 3 2" xfId="47642"/>
    <cellStyle name="Процентный 7 2 134 4" xfId="26279"/>
    <cellStyle name="Процентный 7 2 134 4 2" xfId="58322"/>
    <cellStyle name="Процентный 7 2 134 5" xfId="36962"/>
    <cellStyle name="Процентный 7 2 135" xfId="4949"/>
    <cellStyle name="Процентный 7 2 135 2" xfId="10290"/>
    <cellStyle name="Процентный 7 2 135 2 2" xfId="20970"/>
    <cellStyle name="Процентный 7 2 135 2 2 2" xfId="53014"/>
    <cellStyle name="Процентный 7 2 135 2 3" xfId="31651"/>
    <cellStyle name="Процентный 7 2 135 2 3 2" xfId="63694"/>
    <cellStyle name="Процентный 7 2 135 2 4" xfId="42334"/>
    <cellStyle name="Процентный 7 2 135 3" xfId="15630"/>
    <cellStyle name="Процентный 7 2 135 3 2" xfId="47674"/>
    <cellStyle name="Процентный 7 2 135 4" xfId="26311"/>
    <cellStyle name="Процентный 7 2 135 4 2" xfId="58354"/>
    <cellStyle name="Процентный 7 2 135 5" xfId="36994"/>
    <cellStyle name="Процентный 7 2 136" xfId="4981"/>
    <cellStyle name="Процентный 7 2 136 2" xfId="10322"/>
    <cellStyle name="Процентный 7 2 136 2 2" xfId="21002"/>
    <cellStyle name="Процентный 7 2 136 2 2 2" xfId="53046"/>
    <cellStyle name="Процентный 7 2 136 2 3" xfId="31683"/>
    <cellStyle name="Процентный 7 2 136 2 3 2" xfId="63726"/>
    <cellStyle name="Процентный 7 2 136 2 4" xfId="42366"/>
    <cellStyle name="Процентный 7 2 136 3" xfId="15662"/>
    <cellStyle name="Процентный 7 2 136 3 2" xfId="47706"/>
    <cellStyle name="Процентный 7 2 136 4" xfId="26343"/>
    <cellStyle name="Процентный 7 2 136 4 2" xfId="58386"/>
    <cellStyle name="Процентный 7 2 136 5" xfId="37026"/>
    <cellStyle name="Процентный 7 2 137" xfId="5013"/>
    <cellStyle name="Процентный 7 2 137 2" xfId="10354"/>
    <cellStyle name="Процентный 7 2 137 2 2" xfId="21034"/>
    <cellStyle name="Процентный 7 2 137 2 2 2" xfId="53078"/>
    <cellStyle name="Процентный 7 2 137 2 3" xfId="31715"/>
    <cellStyle name="Процентный 7 2 137 2 3 2" xfId="63758"/>
    <cellStyle name="Процентный 7 2 137 2 4" xfId="42398"/>
    <cellStyle name="Процентный 7 2 137 3" xfId="15694"/>
    <cellStyle name="Процентный 7 2 137 3 2" xfId="47738"/>
    <cellStyle name="Процентный 7 2 137 4" xfId="26375"/>
    <cellStyle name="Процентный 7 2 137 4 2" xfId="58418"/>
    <cellStyle name="Процентный 7 2 137 5" xfId="37058"/>
    <cellStyle name="Процентный 7 2 138" xfId="5045"/>
    <cellStyle name="Процентный 7 2 138 2" xfId="10386"/>
    <cellStyle name="Процентный 7 2 138 2 2" xfId="21066"/>
    <cellStyle name="Процентный 7 2 138 2 2 2" xfId="53110"/>
    <cellStyle name="Процентный 7 2 138 2 3" xfId="31747"/>
    <cellStyle name="Процентный 7 2 138 2 3 2" xfId="63790"/>
    <cellStyle name="Процентный 7 2 138 2 4" xfId="42430"/>
    <cellStyle name="Процентный 7 2 138 3" xfId="15726"/>
    <cellStyle name="Процентный 7 2 138 3 2" xfId="47770"/>
    <cellStyle name="Процентный 7 2 138 4" xfId="26407"/>
    <cellStyle name="Процентный 7 2 138 4 2" xfId="58450"/>
    <cellStyle name="Процентный 7 2 138 5" xfId="37090"/>
    <cellStyle name="Процентный 7 2 139" xfId="5077"/>
    <cellStyle name="Процентный 7 2 139 2" xfId="10418"/>
    <cellStyle name="Процентный 7 2 139 2 2" xfId="21098"/>
    <cellStyle name="Процентный 7 2 139 2 2 2" xfId="53142"/>
    <cellStyle name="Процентный 7 2 139 2 3" xfId="31779"/>
    <cellStyle name="Процентный 7 2 139 2 3 2" xfId="63822"/>
    <cellStyle name="Процентный 7 2 139 2 4" xfId="42462"/>
    <cellStyle name="Процентный 7 2 139 3" xfId="15758"/>
    <cellStyle name="Процентный 7 2 139 3 2" xfId="47802"/>
    <cellStyle name="Процентный 7 2 139 4" xfId="26439"/>
    <cellStyle name="Процентный 7 2 139 4 2" xfId="58482"/>
    <cellStyle name="Процентный 7 2 139 5" xfId="37122"/>
    <cellStyle name="Процентный 7 2 14" xfId="1271"/>
    <cellStyle name="Процентный 7 2 14 2" xfId="6614"/>
    <cellStyle name="Процентный 7 2 14 2 2" xfId="17294"/>
    <cellStyle name="Процентный 7 2 14 2 2 2" xfId="49338"/>
    <cellStyle name="Процентный 7 2 14 2 3" xfId="27975"/>
    <cellStyle name="Процентный 7 2 14 2 3 2" xfId="60018"/>
    <cellStyle name="Процентный 7 2 14 2 4" xfId="38658"/>
    <cellStyle name="Процентный 7 2 14 3" xfId="11954"/>
    <cellStyle name="Процентный 7 2 14 3 2" xfId="43998"/>
    <cellStyle name="Процентный 7 2 14 4" xfId="22635"/>
    <cellStyle name="Процентный 7 2 14 4 2" xfId="54678"/>
    <cellStyle name="Процентный 7 2 14 5" xfId="33318"/>
    <cellStyle name="Процентный 7 2 140" xfId="5109"/>
    <cellStyle name="Процентный 7 2 140 2" xfId="10450"/>
    <cellStyle name="Процентный 7 2 140 2 2" xfId="21130"/>
    <cellStyle name="Процентный 7 2 140 2 2 2" xfId="53174"/>
    <cellStyle name="Процентный 7 2 140 2 3" xfId="31811"/>
    <cellStyle name="Процентный 7 2 140 2 3 2" xfId="63854"/>
    <cellStyle name="Процентный 7 2 140 2 4" xfId="42494"/>
    <cellStyle name="Процентный 7 2 140 3" xfId="15790"/>
    <cellStyle name="Процентный 7 2 140 3 2" xfId="47834"/>
    <cellStyle name="Процентный 7 2 140 4" xfId="26471"/>
    <cellStyle name="Процентный 7 2 140 4 2" xfId="58514"/>
    <cellStyle name="Процентный 7 2 140 5" xfId="37154"/>
    <cellStyle name="Процентный 7 2 141" xfId="5141"/>
    <cellStyle name="Процентный 7 2 141 2" xfId="10482"/>
    <cellStyle name="Процентный 7 2 141 2 2" xfId="21162"/>
    <cellStyle name="Процентный 7 2 141 2 2 2" xfId="53206"/>
    <cellStyle name="Процентный 7 2 141 2 3" xfId="31843"/>
    <cellStyle name="Процентный 7 2 141 2 3 2" xfId="63886"/>
    <cellStyle name="Процентный 7 2 141 2 4" xfId="42526"/>
    <cellStyle name="Процентный 7 2 141 3" xfId="15822"/>
    <cellStyle name="Процентный 7 2 141 3 2" xfId="47866"/>
    <cellStyle name="Процентный 7 2 141 4" xfId="26503"/>
    <cellStyle name="Процентный 7 2 141 4 2" xfId="58546"/>
    <cellStyle name="Процентный 7 2 141 5" xfId="37186"/>
    <cellStyle name="Процентный 7 2 142" xfId="5173"/>
    <cellStyle name="Процентный 7 2 142 2" xfId="10514"/>
    <cellStyle name="Процентный 7 2 142 2 2" xfId="21194"/>
    <cellStyle name="Процентный 7 2 142 2 2 2" xfId="53238"/>
    <cellStyle name="Процентный 7 2 142 2 3" xfId="31875"/>
    <cellStyle name="Процентный 7 2 142 2 3 2" xfId="63918"/>
    <cellStyle name="Процентный 7 2 142 2 4" xfId="42558"/>
    <cellStyle name="Процентный 7 2 142 3" xfId="15854"/>
    <cellStyle name="Процентный 7 2 142 3 2" xfId="47898"/>
    <cellStyle name="Процентный 7 2 142 4" xfId="26535"/>
    <cellStyle name="Процентный 7 2 142 4 2" xfId="58578"/>
    <cellStyle name="Процентный 7 2 142 5" xfId="37218"/>
    <cellStyle name="Процентный 7 2 143" xfId="5205"/>
    <cellStyle name="Процентный 7 2 143 2" xfId="10546"/>
    <cellStyle name="Процентный 7 2 143 2 2" xfId="21226"/>
    <cellStyle name="Процентный 7 2 143 2 2 2" xfId="53270"/>
    <cellStyle name="Процентный 7 2 143 2 3" xfId="31907"/>
    <cellStyle name="Процентный 7 2 143 2 3 2" xfId="63950"/>
    <cellStyle name="Процентный 7 2 143 2 4" xfId="42590"/>
    <cellStyle name="Процентный 7 2 143 3" xfId="15886"/>
    <cellStyle name="Процентный 7 2 143 3 2" xfId="47930"/>
    <cellStyle name="Процентный 7 2 143 4" xfId="26567"/>
    <cellStyle name="Процентный 7 2 143 4 2" xfId="58610"/>
    <cellStyle name="Процентный 7 2 143 5" xfId="37250"/>
    <cellStyle name="Процентный 7 2 144" xfId="5237"/>
    <cellStyle name="Процентный 7 2 144 2" xfId="10578"/>
    <cellStyle name="Процентный 7 2 144 2 2" xfId="21258"/>
    <cellStyle name="Процентный 7 2 144 2 2 2" xfId="53302"/>
    <cellStyle name="Процентный 7 2 144 2 3" xfId="31939"/>
    <cellStyle name="Процентный 7 2 144 2 3 2" xfId="63982"/>
    <cellStyle name="Процентный 7 2 144 2 4" xfId="42622"/>
    <cellStyle name="Процентный 7 2 144 3" xfId="15918"/>
    <cellStyle name="Процентный 7 2 144 3 2" xfId="47962"/>
    <cellStyle name="Процентный 7 2 144 4" xfId="26599"/>
    <cellStyle name="Процентный 7 2 144 4 2" xfId="58642"/>
    <cellStyle name="Процентный 7 2 144 5" xfId="37282"/>
    <cellStyle name="Процентный 7 2 145" xfId="5269"/>
    <cellStyle name="Процентный 7 2 145 2" xfId="10610"/>
    <cellStyle name="Процентный 7 2 145 2 2" xfId="21290"/>
    <cellStyle name="Процентный 7 2 145 2 2 2" xfId="53334"/>
    <cellStyle name="Процентный 7 2 145 2 3" xfId="31971"/>
    <cellStyle name="Процентный 7 2 145 2 3 2" xfId="64014"/>
    <cellStyle name="Процентный 7 2 145 2 4" xfId="42654"/>
    <cellStyle name="Процентный 7 2 145 3" xfId="15950"/>
    <cellStyle name="Процентный 7 2 145 3 2" xfId="47994"/>
    <cellStyle name="Процентный 7 2 145 4" xfId="26631"/>
    <cellStyle name="Процентный 7 2 145 4 2" xfId="58674"/>
    <cellStyle name="Процентный 7 2 145 5" xfId="37314"/>
    <cellStyle name="Процентный 7 2 146" xfId="5301"/>
    <cellStyle name="Процентный 7 2 146 2" xfId="10642"/>
    <cellStyle name="Процентный 7 2 146 2 2" xfId="21322"/>
    <cellStyle name="Процентный 7 2 146 2 2 2" xfId="53366"/>
    <cellStyle name="Процентный 7 2 146 2 3" xfId="32003"/>
    <cellStyle name="Процентный 7 2 146 2 3 2" xfId="64046"/>
    <cellStyle name="Процентный 7 2 146 2 4" xfId="42686"/>
    <cellStyle name="Процентный 7 2 146 3" xfId="15982"/>
    <cellStyle name="Процентный 7 2 146 3 2" xfId="48026"/>
    <cellStyle name="Процентный 7 2 146 4" xfId="26663"/>
    <cellStyle name="Процентный 7 2 146 4 2" xfId="58706"/>
    <cellStyle name="Процентный 7 2 146 5" xfId="37346"/>
    <cellStyle name="Процентный 7 2 147" xfId="5333"/>
    <cellStyle name="Процентный 7 2 147 2" xfId="10674"/>
    <cellStyle name="Процентный 7 2 147 2 2" xfId="21354"/>
    <cellStyle name="Процентный 7 2 147 2 2 2" xfId="53398"/>
    <cellStyle name="Процентный 7 2 147 2 3" xfId="32035"/>
    <cellStyle name="Процентный 7 2 147 2 3 2" xfId="64078"/>
    <cellStyle name="Процентный 7 2 147 2 4" xfId="42718"/>
    <cellStyle name="Процентный 7 2 147 3" xfId="16014"/>
    <cellStyle name="Процентный 7 2 147 3 2" xfId="48058"/>
    <cellStyle name="Процентный 7 2 147 4" xfId="26695"/>
    <cellStyle name="Процентный 7 2 147 4 2" xfId="58738"/>
    <cellStyle name="Процентный 7 2 147 5" xfId="37378"/>
    <cellStyle name="Процентный 7 2 148" xfId="5365"/>
    <cellStyle name="Процентный 7 2 148 2" xfId="10706"/>
    <cellStyle name="Процентный 7 2 148 2 2" xfId="21386"/>
    <cellStyle name="Процентный 7 2 148 2 2 2" xfId="53430"/>
    <cellStyle name="Процентный 7 2 148 2 3" xfId="32067"/>
    <cellStyle name="Процентный 7 2 148 2 3 2" xfId="64110"/>
    <cellStyle name="Процентный 7 2 148 2 4" xfId="42750"/>
    <cellStyle name="Процентный 7 2 148 3" xfId="16046"/>
    <cellStyle name="Процентный 7 2 148 3 2" xfId="48090"/>
    <cellStyle name="Процентный 7 2 148 4" xfId="26727"/>
    <cellStyle name="Процентный 7 2 148 4 2" xfId="58770"/>
    <cellStyle name="Процентный 7 2 148 5" xfId="37410"/>
    <cellStyle name="Процентный 7 2 149" xfId="5757"/>
    <cellStyle name="Процентный 7 2 149 2" xfId="16437"/>
    <cellStyle name="Процентный 7 2 149 2 2" xfId="48481"/>
    <cellStyle name="Процентный 7 2 149 3" xfId="27118"/>
    <cellStyle name="Процентный 7 2 149 3 2" xfId="59161"/>
    <cellStyle name="Процентный 7 2 149 4" xfId="37801"/>
    <cellStyle name="Процентный 7 2 15" xfId="1297"/>
    <cellStyle name="Процентный 7 2 15 2" xfId="6640"/>
    <cellStyle name="Процентный 7 2 15 2 2" xfId="17320"/>
    <cellStyle name="Процентный 7 2 15 2 2 2" xfId="49364"/>
    <cellStyle name="Процентный 7 2 15 2 3" xfId="28001"/>
    <cellStyle name="Процентный 7 2 15 2 3 2" xfId="60044"/>
    <cellStyle name="Процентный 7 2 15 2 4" xfId="38684"/>
    <cellStyle name="Процентный 7 2 15 3" xfId="11980"/>
    <cellStyle name="Процентный 7 2 15 3 2" xfId="44024"/>
    <cellStyle name="Процентный 7 2 15 4" xfId="22661"/>
    <cellStyle name="Процентный 7 2 15 4 2" xfId="54704"/>
    <cellStyle name="Процентный 7 2 15 5" xfId="33344"/>
    <cellStyle name="Процентный 7 2 150" xfId="11097"/>
    <cellStyle name="Процентный 7 2 150 2" xfId="43141"/>
    <cellStyle name="Процентный 7 2 151" xfId="21778"/>
    <cellStyle name="Процентный 7 2 151 2" xfId="53821"/>
    <cellStyle name="Процентный 7 2 152" xfId="32461"/>
    <cellStyle name="Процентный 7 2 16" xfId="1324"/>
    <cellStyle name="Процентный 7 2 16 2" xfId="6666"/>
    <cellStyle name="Процентный 7 2 16 2 2" xfId="17346"/>
    <cellStyle name="Процентный 7 2 16 2 2 2" xfId="49390"/>
    <cellStyle name="Процентный 7 2 16 2 3" xfId="28027"/>
    <cellStyle name="Процентный 7 2 16 2 3 2" xfId="60070"/>
    <cellStyle name="Процентный 7 2 16 2 4" xfId="38710"/>
    <cellStyle name="Процентный 7 2 16 3" xfId="12006"/>
    <cellStyle name="Процентный 7 2 16 3 2" xfId="44050"/>
    <cellStyle name="Процентный 7 2 16 4" xfId="22687"/>
    <cellStyle name="Процентный 7 2 16 4 2" xfId="54730"/>
    <cellStyle name="Процентный 7 2 16 5" xfId="33370"/>
    <cellStyle name="Процентный 7 2 17" xfId="1350"/>
    <cellStyle name="Процентный 7 2 17 2" xfId="6692"/>
    <cellStyle name="Процентный 7 2 17 2 2" xfId="17372"/>
    <cellStyle name="Процентный 7 2 17 2 2 2" xfId="49416"/>
    <cellStyle name="Процентный 7 2 17 2 3" xfId="28053"/>
    <cellStyle name="Процентный 7 2 17 2 3 2" xfId="60096"/>
    <cellStyle name="Процентный 7 2 17 2 4" xfId="38736"/>
    <cellStyle name="Процентный 7 2 17 3" xfId="12032"/>
    <cellStyle name="Процентный 7 2 17 3 2" xfId="44076"/>
    <cellStyle name="Процентный 7 2 17 4" xfId="22713"/>
    <cellStyle name="Процентный 7 2 17 4 2" xfId="54756"/>
    <cellStyle name="Процентный 7 2 17 5" xfId="33396"/>
    <cellStyle name="Процентный 7 2 18" xfId="1376"/>
    <cellStyle name="Процентный 7 2 18 2" xfId="6718"/>
    <cellStyle name="Процентный 7 2 18 2 2" xfId="17398"/>
    <cellStyle name="Процентный 7 2 18 2 2 2" xfId="49442"/>
    <cellStyle name="Процентный 7 2 18 2 3" xfId="28079"/>
    <cellStyle name="Процентный 7 2 18 2 3 2" xfId="60122"/>
    <cellStyle name="Процентный 7 2 18 2 4" xfId="38762"/>
    <cellStyle name="Процентный 7 2 18 3" xfId="12058"/>
    <cellStyle name="Процентный 7 2 18 3 2" xfId="44102"/>
    <cellStyle name="Процентный 7 2 18 4" xfId="22739"/>
    <cellStyle name="Процентный 7 2 18 4 2" xfId="54782"/>
    <cellStyle name="Процентный 7 2 18 5" xfId="33422"/>
    <cellStyle name="Процентный 7 2 19" xfId="1402"/>
    <cellStyle name="Процентный 7 2 19 2" xfId="6744"/>
    <cellStyle name="Процентный 7 2 19 2 2" xfId="17424"/>
    <cellStyle name="Процентный 7 2 19 2 2 2" xfId="49468"/>
    <cellStyle name="Процентный 7 2 19 2 3" xfId="28105"/>
    <cellStyle name="Процентный 7 2 19 2 3 2" xfId="60148"/>
    <cellStyle name="Процентный 7 2 19 2 4" xfId="38788"/>
    <cellStyle name="Процентный 7 2 19 3" xfId="12084"/>
    <cellStyle name="Процентный 7 2 19 3 2" xfId="44128"/>
    <cellStyle name="Процентный 7 2 19 4" xfId="22765"/>
    <cellStyle name="Процентный 7 2 19 4 2" xfId="54808"/>
    <cellStyle name="Процентный 7 2 19 5" xfId="33448"/>
    <cellStyle name="Процентный 7 2 2" xfId="881"/>
    <cellStyle name="Процентный 7 2 2 2" xfId="6224"/>
    <cellStyle name="Процентный 7 2 2 2 2" xfId="16904"/>
    <cellStyle name="Процентный 7 2 2 2 2 2" xfId="48948"/>
    <cellStyle name="Процентный 7 2 2 2 3" xfId="27585"/>
    <cellStyle name="Процентный 7 2 2 2 3 2" xfId="59628"/>
    <cellStyle name="Процентный 7 2 2 2 4" xfId="38268"/>
    <cellStyle name="Процентный 7 2 2 3" xfId="11564"/>
    <cellStyle name="Процентный 7 2 2 3 2" xfId="43608"/>
    <cellStyle name="Процентный 7 2 2 4" xfId="22245"/>
    <cellStyle name="Процентный 7 2 2 4 2" xfId="54288"/>
    <cellStyle name="Процентный 7 2 2 5" xfId="32928"/>
    <cellStyle name="Процентный 7 2 20" xfId="1428"/>
    <cellStyle name="Процентный 7 2 20 2" xfId="6770"/>
    <cellStyle name="Процентный 7 2 20 2 2" xfId="17450"/>
    <cellStyle name="Процентный 7 2 20 2 2 2" xfId="49494"/>
    <cellStyle name="Процентный 7 2 20 2 3" xfId="28131"/>
    <cellStyle name="Процентный 7 2 20 2 3 2" xfId="60174"/>
    <cellStyle name="Процентный 7 2 20 2 4" xfId="38814"/>
    <cellStyle name="Процентный 7 2 20 3" xfId="12110"/>
    <cellStyle name="Процентный 7 2 20 3 2" xfId="44154"/>
    <cellStyle name="Процентный 7 2 20 4" xfId="22791"/>
    <cellStyle name="Процентный 7 2 20 4 2" xfId="54834"/>
    <cellStyle name="Процентный 7 2 20 5" xfId="33474"/>
    <cellStyle name="Процентный 7 2 21" xfId="1454"/>
    <cellStyle name="Процентный 7 2 21 2" xfId="6796"/>
    <cellStyle name="Процентный 7 2 21 2 2" xfId="17476"/>
    <cellStyle name="Процентный 7 2 21 2 2 2" xfId="49520"/>
    <cellStyle name="Процентный 7 2 21 2 3" xfId="28157"/>
    <cellStyle name="Процентный 7 2 21 2 3 2" xfId="60200"/>
    <cellStyle name="Процентный 7 2 21 2 4" xfId="38840"/>
    <cellStyle name="Процентный 7 2 21 3" xfId="12136"/>
    <cellStyle name="Процентный 7 2 21 3 2" xfId="44180"/>
    <cellStyle name="Процентный 7 2 21 4" xfId="22817"/>
    <cellStyle name="Процентный 7 2 21 4 2" xfId="54860"/>
    <cellStyle name="Процентный 7 2 21 5" xfId="33500"/>
    <cellStyle name="Процентный 7 2 22" xfId="1480"/>
    <cellStyle name="Процентный 7 2 22 2" xfId="6822"/>
    <cellStyle name="Процентный 7 2 22 2 2" xfId="17502"/>
    <cellStyle name="Процентный 7 2 22 2 2 2" xfId="49546"/>
    <cellStyle name="Процентный 7 2 22 2 3" xfId="28183"/>
    <cellStyle name="Процентный 7 2 22 2 3 2" xfId="60226"/>
    <cellStyle name="Процентный 7 2 22 2 4" xfId="38866"/>
    <cellStyle name="Процентный 7 2 22 3" xfId="12162"/>
    <cellStyle name="Процентный 7 2 22 3 2" xfId="44206"/>
    <cellStyle name="Процентный 7 2 22 4" xfId="22843"/>
    <cellStyle name="Процентный 7 2 22 4 2" xfId="54886"/>
    <cellStyle name="Процентный 7 2 22 5" xfId="33526"/>
    <cellStyle name="Процентный 7 2 23" xfId="1506"/>
    <cellStyle name="Процентный 7 2 23 2" xfId="6848"/>
    <cellStyle name="Процентный 7 2 23 2 2" xfId="17528"/>
    <cellStyle name="Процентный 7 2 23 2 2 2" xfId="49572"/>
    <cellStyle name="Процентный 7 2 23 2 3" xfId="28209"/>
    <cellStyle name="Процентный 7 2 23 2 3 2" xfId="60252"/>
    <cellStyle name="Процентный 7 2 23 2 4" xfId="38892"/>
    <cellStyle name="Процентный 7 2 23 3" xfId="12188"/>
    <cellStyle name="Процентный 7 2 23 3 2" xfId="44232"/>
    <cellStyle name="Процентный 7 2 23 4" xfId="22869"/>
    <cellStyle name="Процентный 7 2 23 4 2" xfId="54912"/>
    <cellStyle name="Процентный 7 2 23 5" xfId="33552"/>
    <cellStyle name="Процентный 7 2 24" xfId="1532"/>
    <cellStyle name="Процентный 7 2 24 2" xfId="6874"/>
    <cellStyle name="Процентный 7 2 24 2 2" xfId="17554"/>
    <cellStyle name="Процентный 7 2 24 2 2 2" xfId="49598"/>
    <cellStyle name="Процентный 7 2 24 2 3" xfId="28235"/>
    <cellStyle name="Процентный 7 2 24 2 3 2" xfId="60278"/>
    <cellStyle name="Процентный 7 2 24 2 4" xfId="38918"/>
    <cellStyle name="Процентный 7 2 24 3" xfId="12214"/>
    <cellStyle name="Процентный 7 2 24 3 2" xfId="44258"/>
    <cellStyle name="Процентный 7 2 24 4" xfId="22895"/>
    <cellStyle name="Процентный 7 2 24 4 2" xfId="54938"/>
    <cellStyle name="Процентный 7 2 24 5" xfId="33578"/>
    <cellStyle name="Процентный 7 2 25" xfId="1558"/>
    <cellStyle name="Процентный 7 2 25 2" xfId="6900"/>
    <cellStyle name="Процентный 7 2 25 2 2" xfId="17580"/>
    <cellStyle name="Процентный 7 2 25 2 2 2" xfId="49624"/>
    <cellStyle name="Процентный 7 2 25 2 3" xfId="28261"/>
    <cellStyle name="Процентный 7 2 25 2 3 2" xfId="60304"/>
    <cellStyle name="Процентный 7 2 25 2 4" xfId="38944"/>
    <cellStyle name="Процентный 7 2 25 3" xfId="12240"/>
    <cellStyle name="Процентный 7 2 25 3 2" xfId="44284"/>
    <cellStyle name="Процентный 7 2 25 4" xfId="22921"/>
    <cellStyle name="Процентный 7 2 25 4 2" xfId="54964"/>
    <cellStyle name="Процентный 7 2 25 5" xfId="33604"/>
    <cellStyle name="Процентный 7 2 26" xfId="1584"/>
    <cellStyle name="Процентный 7 2 26 2" xfId="6926"/>
    <cellStyle name="Процентный 7 2 26 2 2" xfId="17606"/>
    <cellStyle name="Процентный 7 2 26 2 2 2" xfId="49650"/>
    <cellStyle name="Процентный 7 2 26 2 3" xfId="28287"/>
    <cellStyle name="Процентный 7 2 26 2 3 2" xfId="60330"/>
    <cellStyle name="Процентный 7 2 26 2 4" xfId="38970"/>
    <cellStyle name="Процентный 7 2 26 3" xfId="12266"/>
    <cellStyle name="Процентный 7 2 26 3 2" xfId="44310"/>
    <cellStyle name="Процентный 7 2 26 4" xfId="22947"/>
    <cellStyle name="Процентный 7 2 26 4 2" xfId="54990"/>
    <cellStyle name="Процентный 7 2 26 5" xfId="33630"/>
    <cellStyle name="Процентный 7 2 27" xfId="1610"/>
    <cellStyle name="Процентный 7 2 27 2" xfId="6952"/>
    <cellStyle name="Процентный 7 2 27 2 2" xfId="17632"/>
    <cellStyle name="Процентный 7 2 27 2 2 2" xfId="49676"/>
    <cellStyle name="Процентный 7 2 27 2 3" xfId="28313"/>
    <cellStyle name="Процентный 7 2 27 2 3 2" xfId="60356"/>
    <cellStyle name="Процентный 7 2 27 2 4" xfId="38996"/>
    <cellStyle name="Процентный 7 2 27 3" xfId="12292"/>
    <cellStyle name="Процентный 7 2 27 3 2" xfId="44336"/>
    <cellStyle name="Процентный 7 2 27 4" xfId="22973"/>
    <cellStyle name="Процентный 7 2 27 4 2" xfId="55016"/>
    <cellStyle name="Процентный 7 2 27 5" xfId="33656"/>
    <cellStyle name="Процентный 7 2 28" xfId="1636"/>
    <cellStyle name="Процентный 7 2 28 2" xfId="6978"/>
    <cellStyle name="Процентный 7 2 28 2 2" xfId="17658"/>
    <cellStyle name="Процентный 7 2 28 2 2 2" xfId="49702"/>
    <cellStyle name="Процентный 7 2 28 2 3" xfId="28339"/>
    <cellStyle name="Процентный 7 2 28 2 3 2" xfId="60382"/>
    <cellStyle name="Процентный 7 2 28 2 4" xfId="39022"/>
    <cellStyle name="Процентный 7 2 28 3" xfId="12318"/>
    <cellStyle name="Процентный 7 2 28 3 2" xfId="44362"/>
    <cellStyle name="Процентный 7 2 28 4" xfId="22999"/>
    <cellStyle name="Процентный 7 2 28 4 2" xfId="55042"/>
    <cellStyle name="Процентный 7 2 28 5" xfId="33682"/>
    <cellStyle name="Процентный 7 2 29" xfId="1662"/>
    <cellStyle name="Процентный 7 2 29 2" xfId="7004"/>
    <cellStyle name="Процентный 7 2 29 2 2" xfId="17684"/>
    <cellStyle name="Процентный 7 2 29 2 2 2" xfId="49728"/>
    <cellStyle name="Процентный 7 2 29 2 3" xfId="28365"/>
    <cellStyle name="Процентный 7 2 29 2 3 2" xfId="60408"/>
    <cellStyle name="Процентный 7 2 29 2 4" xfId="39048"/>
    <cellStyle name="Процентный 7 2 29 3" xfId="12344"/>
    <cellStyle name="Процентный 7 2 29 3 2" xfId="44388"/>
    <cellStyle name="Процентный 7 2 29 4" xfId="23025"/>
    <cellStyle name="Процентный 7 2 29 4 2" xfId="55068"/>
    <cellStyle name="Процентный 7 2 29 5" xfId="33708"/>
    <cellStyle name="Процентный 7 2 3" xfId="989"/>
    <cellStyle name="Процентный 7 2 3 2" xfId="6332"/>
    <cellStyle name="Процентный 7 2 3 2 2" xfId="17012"/>
    <cellStyle name="Процентный 7 2 3 2 2 2" xfId="49056"/>
    <cellStyle name="Процентный 7 2 3 2 3" xfId="27693"/>
    <cellStyle name="Процентный 7 2 3 2 3 2" xfId="59736"/>
    <cellStyle name="Процентный 7 2 3 2 4" xfId="38376"/>
    <cellStyle name="Процентный 7 2 3 3" xfId="11672"/>
    <cellStyle name="Процентный 7 2 3 3 2" xfId="43716"/>
    <cellStyle name="Процентный 7 2 3 4" xfId="22353"/>
    <cellStyle name="Процентный 7 2 3 4 2" xfId="54396"/>
    <cellStyle name="Процентный 7 2 3 5" xfId="33036"/>
    <cellStyle name="Процентный 7 2 30" xfId="1688"/>
    <cellStyle name="Процентный 7 2 30 2" xfId="7030"/>
    <cellStyle name="Процентный 7 2 30 2 2" xfId="17710"/>
    <cellStyle name="Процентный 7 2 30 2 2 2" xfId="49754"/>
    <cellStyle name="Процентный 7 2 30 2 3" xfId="28391"/>
    <cellStyle name="Процентный 7 2 30 2 3 2" xfId="60434"/>
    <cellStyle name="Процентный 7 2 30 2 4" xfId="39074"/>
    <cellStyle name="Процентный 7 2 30 3" xfId="12370"/>
    <cellStyle name="Процентный 7 2 30 3 2" xfId="44414"/>
    <cellStyle name="Процентный 7 2 30 4" xfId="23051"/>
    <cellStyle name="Процентный 7 2 30 4 2" xfId="55094"/>
    <cellStyle name="Процентный 7 2 30 5" xfId="33734"/>
    <cellStyle name="Процентный 7 2 31" xfId="1714"/>
    <cellStyle name="Процентный 7 2 31 2" xfId="7056"/>
    <cellStyle name="Процентный 7 2 31 2 2" xfId="17736"/>
    <cellStyle name="Процентный 7 2 31 2 2 2" xfId="49780"/>
    <cellStyle name="Процентный 7 2 31 2 3" xfId="28417"/>
    <cellStyle name="Процентный 7 2 31 2 3 2" xfId="60460"/>
    <cellStyle name="Процентный 7 2 31 2 4" xfId="39100"/>
    <cellStyle name="Процентный 7 2 31 3" xfId="12396"/>
    <cellStyle name="Процентный 7 2 31 3 2" xfId="44440"/>
    <cellStyle name="Процентный 7 2 31 4" xfId="23077"/>
    <cellStyle name="Процентный 7 2 31 4 2" xfId="55120"/>
    <cellStyle name="Процентный 7 2 31 5" xfId="33760"/>
    <cellStyle name="Процентный 7 2 32" xfId="1740"/>
    <cellStyle name="Процентный 7 2 32 2" xfId="7082"/>
    <cellStyle name="Процентный 7 2 32 2 2" xfId="17762"/>
    <cellStyle name="Процентный 7 2 32 2 2 2" xfId="49806"/>
    <cellStyle name="Процентный 7 2 32 2 3" xfId="28443"/>
    <cellStyle name="Процентный 7 2 32 2 3 2" xfId="60486"/>
    <cellStyle name="Процентный 7 2 32 2 4" xfId="39126"/>
    <cellStyle name="Процентный 7 2 32 3" xfId="12422"/>
    <cellStyle name="Процентный 7 2 32 3 2" xfId="44466"/>
    <cellStyle name="Процентный 7 2 32 4" xfId="23103"/>
    <cellStyle name="Процентный 7 2 32 4 2" xfId="55146"/>
    <cellStyle name="Процентный 7 2 32 5" xfId="33786"/>
    <cellStyle name="Процентный 7 2 33" xfId="1766"/>
    <cellStyle name="Процентный 7 2 33 2" xfId="7108"/>
    <cellStyle name="Процентный 7 2 33 2 2" xfId="17788"/>
    <cellStyle name="Процентный 7 2 33 2 2 2" xfId="49832"/>
    <cellStyle name="Процентный 7 2 33 2 3" xfId="28469"/>
    <cellStyle name="Процентный 7 2 33 2 3 2" xfId="60512"/>
    <cellStyle name="Процентный 7 2 33 2 4" xfId="39152"/>
    <cellStyle name="Процентный 7 2 33 3" xfId="12448"/>
    <cellStyle name="Процентный 7 2 33 3 2" xfId="44492"/>
    <cellStyle name="Процентный 7 2 33 4" xfId="23129"/>
    <cellStyle name="Процентный 7 2 33 4 2" xfId="55172"/>
    <cellStyle name="Процентный 7 2 33 5" xfId="33812"/>
    <cellStyle name="Процентный 7 2 34" xfId="1792"/>
    <cellStyle name="Процентный 7 2 34 2" xfId="7134"/>
    <cellStyle name="Процентный 7 2 34 2 2" xfId="17814"/>
    <cellStyle name="Процентный 7 2 34 2 2 2" xfId="49858"/>
    <cellStyle name="Процентный 7 2 34 2 3" xfId="28495"/>
    <cellStyle name="Процентный 7 2 34 2 3 2" xfId="60538"/>
    <cellStyle name="Процентный 7 2 34 2 4" xfId="39178"/>
    <cellStyle name="Процентный 7 2 34 3" xfId="12474"/>
    <cellStyle name="Процентный 7 2 34 3 2" xfId="44518"/>
    <cellStyle name="Процентный 7 2 34 4" xfId="23155"/>
    <cellStyle name="Процентный 7 2 34 4 2" xfId="55198"/>
    <cellStyle name="Процентный 7 2 34 5" xfId="33838"/>
    <cellStyle name="Процентный 7 2 35" xfId="1818"/>
    <cellStyle name="Процентный 7 2 35 2" xfId="7160"/>
    <cellStyle name="Процентный 7 2 35 2 2" xfId="17840"/>
    <cellStyle name="Процентный 7 2 35 2 2 2" xfId="49884"/>
    <cellStyle name="Процентный 7 2 35 2 3" xfId="28521"/>
    <cellStyle name="Процентный 7 2 35 2 3 2" xfId="60564"/>
    <cellStyle name="Процентный 7 2 35 2 4" xfId="39204"/>
    <cellStyle name="Процентный 7 2 35 3" xfId="12500"/>
    <cellStyle name="Процентный 7 2 35 3 2" xfId="44544"/>
    <cellStyle name="Процентный 7 2 35 4" xfId="23181"/>
    <cellStyle name="Процентный 7 2 35 4 2" xfId="55224"/>
    <cellStyle name="Процентный 7 2 35 5" xfId="33864"/>
    <cellStyle name="Процентный 7 2 36" xfId="1844"/>
    <cellStyle name="Процентный 7 2 36 2" xfId="7186"/>
    <cellStyle name="Процентный 7 2 36 2 2" xfId="17866"/>
    <cellStyle name="Процентный 7 2 36 2 2 2" xfId="49910"/>
    <cellStyle name="Процентный 7 2 36 2 3" xfId="28547"/>
    <cellStyle name="Процентный 7 2 36 2 3 2" xfId="60590"/>
    <cellStyle name="Процентный 7 2 36 2 4" xfId="39230"/>
    <cellStyle name="Процентный 7 2 36 3" xfId="12526"/>
    <cellStyle name="Процентный 7 2 36 3 2" xfId="44570"/>
    <cellStyle name="Процентный 7 2 36 4" xfId="23207"/>
    <cellStyle name="Процентный 7 2 36 4 2" xfId="55250"/>
    <cellStyle name="Процентный 7 2 36 5" xfId="33890"/>
    <cellStyle name="Процентный 7 2 37" xfId="1870"/>
    <cellStyle name="Процентный 7 2 37 2" xfId="7212"/>
    <cellStyle name="Процентный 7 2 37 2 2" xfId="17892"/>
    <cellStyle name="Процентный 7 2 37 2 2 2" xfId="49936"/>
    <cellStyle name="Процентный 7 2 37 2 3" xfId="28573"/>
    <cellStyle name="Процентный 7 2 37 2 3 2" xfId="60616"/>
    <cellStyle name="Процентный 7 2 37 2 4" xfId="39256"/>
    <cellStyle name="Процентный 7 2 37 3" xfId="12552"/>
    <cellStyle name="Процентный 7 2 37 3 2" xfId="44596"/>
    <cellStyle name="Процентный 7 2 37 4" xfId="23233"/>
    <cellStyle name="Процентный 7 2 37 4 2" xfId="55276"/>
    <cellStyle name="Процентный 7 2 37 5" xfId="33916"/>
    <cellStyle name="Процентный 7 2 38" xfId="1896"/>
    <cellStyle name="Процентный 7 2 38 2" xfId="7238"/>
    <cellStyle name="Процентный 7 2 38 2 2" xfId="17918"/>
    <cellStyle name="Процентный 7 2 38 2 2 2" xfId="49962"/>
    <cellStyle name="Процентный 7 2 38 2 3" xfId="28599"/>
    <cellStyle name="Процентный 7 2 38 2 3 2" xfId="60642"/>
    <cellStyle name="Процентный 7 2 38 2 4" xfId="39282"/>
    <cellStyle name="Процентный 7 2 38 3" xfId="12578"/>
    <cellStyle name="Процентный 7 2 38 3 2" xfId="44622"/>
    <cellStyle name="Процентный 7 2 38 4" xfId="23259"/>
    <cellStyle name="Процентный 7 2 38 4 2" xfId="55302"/>
    <cellStyle name="Процентный 7 2 38 5" xfId="33942"/>
    <cellStyle name="Процентный 7 2 39" xfId="1922"/>
    <cellStyle name="Процентный 7 2 39 2" xfId="7264"/>
    <cellStyle name="Процентный 7 2 39 2 2" xfId="17944"/>
    <cellStyle name="Процентный 7 2 39 2 2 2" xfId="49988"/>
    <cellStyle name="Процентный 7 2 39 2 3" xfId="28625"/>
    <cellStyle name="Процентный 7 2 39 2 3 2" xfId="60668"/>
    <cellStyle name="Процентный 7 2 39 2 4" xfId="39308"/>
    <cellStyle name="Процентный 7 2 39 3" xfId="12604"/>
    <cellStyle name="Процентный 7 2 39 3 2" xfId="44648"/>
    <cellStyle name="Процентный 7 2 39 4" xfId="23285"/>
    <cellStyle name="Процентный 7 2 39 4 2" xfId="55328"/>
    <cellStyle name="Процентный 7 2 39 5" xfId="33968"/>
    <cellStyle name="Процентный 7 2 4" xfId="1013"/>
    <cellStyle name="Процентный 7 2 4 2" xfId="6356"/>
    <cellStyle name="Процентный 7 2 4 2 2" xfId="17036"/>
    <cellStyle name="Процентный 7 2 4 2 2 2" xfId="49080"/>
    <cellStyle name="Процентный 7 2 4 2 3" xfId="27717"/>
    <cellStyle name="Процентный 7 2 4 2 3 2" xfId="59760"/>
    <cellStyle name="Процентный 7 2 4 2 4" xfId="38400"/>
    <cellStyle name="Процентный 7 2 4 3" xfId="11696"/>
    <cellStyle name="Процентный 7 2 4 3 2" xfId="43740"/>
    <cellStyle name="Процентный 7 2 4 4" xfId="22377"/>
    <cellStyle name="Процентный 7 2 4 4 2" xfId="54420"/>
    <cellStyle name="Процентный 7 2 4 5" xfId="33060"/>
    <cellStyle name="Процентный 7 2 40" xfId="1950"/>
    <cellStyle name="Процентный 7 2 40 2" xfId="7292"/>
    <cellStyle name="Процентный 7 2 40 2 2" xfId="17972"/>
    <cellStyle name="Процентный 7 2 40 2 2 2" xfId="50016"/>
    <cellStyle name="Процентный 7 2 40 2 3" xfId="28653"/>
    <cellStyle name="Процентный 7 2 40 2 3 2" xfId="60696"/>
    <cellStyle name="Процентный 7 2 40 2 4" xfId="39336"/>
    <cellStyle name="Процентный 7 2 40 3" xfId="12632"/>
    <cellStyle name="Процентный 7 2 40 3 2" xfId="44676"/>
    <cellStyle name="Процентный 7 2 40 4" xfId="23313"/>
    <cellStyle name="Процентный 7 2 40 4 2" xfId="55356"/>
    <cellStyle name="Процентный 7 2 40 5" xfId="33996"/>
    <cellStyle name="Процентный 7 2 41" xfId="1978"/>
    <cellStyle name="Процентный 7 2 41 2" xfId="7320"/>
    <cellStyle name="Процентный 7 2 41 2 2" xfId="18000"/>
    <cellStyle name="Процентный 7 2 41 2 2 2" xfId="50044"/>
    <cellStyle name="Процентный 7 2 41 2 3" xfId="28681"/>
    <cellStyle name="Процентный 7 2 41 2 3 2" xfId="60724"/>
    <cellStyle name="Процентный 7 2 41 2 4" xfId="39364"/>
    <cellStyle name="Процентный 7 2 41 3" xfId="12660"/>
    <cellStyle name="Процентный 7 2 41 3 2" xfId="44704"/>
    <cellStyle name="Процентный 7 2 41 4" xfId="23341"/>
    <cellStyle name="Процентный 7 2 41 4 2" xfId="55384"/>
    <cellStyle name="Процентный 7 2 41 5" xfId="34024"/>
    <cellStyle name="Процентный 7 2 42" xfId="2006"/>
    <cellStyle name="Процентный 7 2 42 2" xfId="7348"/>
    <cellStyle name="Процентный 7 2 42 2 2" xfId="18028"/>
    <cellStyle name="Процентный 7 2 42 2 2 2" xfId="50072"/>
    <cellStyle name="Процентный 7 2 42 2 3" xfId="28709"/>
    <cellStyle name="Процентный 7 2 42 2 3 2" xfId="60752"/>
    <cellStyle name="Процентный 7 2 42 2 4" xfId="39392"/>
    <cellStyle name="Процентный 7 2 42 3" xfId="12688"/>
    <cellStyle name="Процентный 7 2 42 3 2" xfId="44732"/>
    <cellStyle name="Процентный 7 2 42 4" xfId="23369"/>
    <cellStyle name="Процентный 7 2 42 4 2" xfId="55412"/>
    <cellStyle name="Процентный 7 2 42 5" xfId="34052"/>
    <cellStyle name="Процентный 7 2 43" xfId="2034"/>
    <cellStyle name="Процентный 7 2 43 2" xfId="7376"/>
    <cellStyle name="Процентный 7 2 43 2 2" xfId="18056"/>
    <cellStyle name="Процентный 7 2 43 2 2 2" xfId="50100"/>
    <cellStyle name="Процентный 7 2 43 2 3" xfId="28737"/>
    <cellStyle name="Процентный 7 2 43 2 3 2" xfId="60780"/>
    <cellStyle name="Процентный 7 2 43 2 4" xfId="39420"/>
    <cellStyle name="Процентный 7 2 43 3" xfId="12716"/>
    <cellStyle name="Процентный 7 2 43 3 2" xfId="44760"/>
    <cellStyle name="Процентный 7 2 43 4" xfId="23397"/>
    <cellStyle name="Процентный 7 2 43 4 2" xfId="55440"/>
    <cellStyle name="Процентный 7 2 43 5" xfId="34080"/>
    <cellStyle name="Процентный 7 2 44" xfId="2062"/>
    <cellStyle name="Процентный 7 2 44 2" xfId="7404"/>
    <cellStyle name="Процентный 7 2 44 2 2" xfId="18084"/>
    <cellStyle name="Процентный 7 2 44 2 2 2" xfId="50128"/>
    <cellStyle name="Процентный 7 2 44 2 3" xfId="28765"/>
    <cellStyle name="Процентный 7 2 44 2 3 2" xfId="60808"/>
    <cellStyle name="Процентный 7 2 44 2 4" xfId="39448"/>
    <cellStyle name="Процентный 7 2 44 3" xfId="12744"/>
    <cellStyle name="Процентный 7 2 44 3 2" xfId="44788"/>
    <cellStyle name="Процентный 7 2 44 4" xfId="23425"/>
    <cellStyle name="Процентный 7 2 44 4 2" xfId="55468"/>
    <cellStyle name="Процентный 7 2 44 5" xfId="34108"/>
    <cellStyle name="Процентный 7 2 45" xfId="2090"/>
    <cellStyle name="Процентный 7 2 45 2" xfId="7432"/>
    <cellStyle name="Процентный 7 2 45 2 2" xfId="18112"/>
    <cellStyle name="Процентный 7 2 45 2 2 2" xfId="50156"/>
    <cellStyle name="Процентный 7 2 45 2 3" xfId="28793"/>
    <cellStyle name="Процентный 7 2 45 2 3 2" xfId="60836"/>
    <cellStyle name="Процентный 7 2 45 2 4" xfId="39476"/>
    <cellStyle name="Процентный 7 2 45 3" xfId="12772"/>
    <cellStyle name="Процентный 7 2 45 3 2" xfId="44816"/>
    <cellStyle name="Процентный 7 2 45 4" xfId="23453"/>
    <cellStyle name="Процентный 7 2 45 4 2" xfId="55496"/>
    <cellStyle name="Процентный 7 2 45 5" xfId="34136"/>
    <cellStyle name="Процентный 7 2 46" xfId="2118"/>
    <cellStyle name="Процентный 7 2 46 2" xfId="7460"/>
    <cellStyle name="Процентный 7 2 46 2 2" xfId="18140"/>
    <cellStyle name="Процентный 7 2 46 2 2 2" xfId="50184"/>
    <cellStyle name="Процентный 7 2 46 2 3" xfId="28821"/>
    <cellStyle name="Процентный 7 2 46 2 3 2" xfId="60864"/>
    <cellStyle name="Процентный 7 2 46 2 4" xfId="39504"/>
    <cellStyle name="Процентный 7 2 46 3" xfId="12800"/>
    <cellStyle name="Процентный 7 2 46 3 2" xfId="44844"/>
    <cellStyle name="Процентный 7 2 46 4" xfId="23481"/>
    <cellStyle name="Процентный 7 2 46 4 2" xfId="55524"/>
    <cellStyle name="Процентный 7 2 46 5" xfId="34164"/>
    <cellStyle name="Процентный 7 2 47" xfId="2148"/>
    <cellStyle name="Процентный 7 2 47 2" xfId="7490"/>
    <cellStyle name="Процентный 7 2 47 2 2" xfId="18170"/>
    <cellStyle name="Процентный 7 2 47 2 2 2" xfId="50214"/>
    <cellStyle name="Процентный 7 2 47 2 3" xfId="28851"/>
    <cellStyle name="Процентный 7 2 47 2 3 2" xfId="60894"/>
    <cellStyle name="Процентный 7 2 47 2 4" xfId="39534"/>
    <cellStyle name="Процентный 7 2 47 3" xfId="12830"/>
    <cellStyle name="Процентный 7 2 47 3 2" xfId="44874"/>
    <cellStyle name="Процентный 7 2 47 4" xfId="23511"/>
    <cellStyle name="Процентный 7 2 47 4 2" xfId="55554"/>
    <cellStyle name="Процентный 7 2 47 5" xfId="34194"/>
    <cellStyle name="Процентный 7 2 48" xfId="2178"/>
    <cellStyle name="Процентный 7 2 48 2" xfId="7520"/>
    <cellStyle name="Процентный 7 2 48 2 2" xfId="18200"/>
    <cellStyle name="Процентный 7 2 48 2 2 2" xfId="50244"/>
    <cellStyle name="Процентный 7 2 48 2 3" xfId="28881"/>
    <cellStyle name="Процентный 7 2 48 2 3 2" xfId="60924"/>
    <cellStyle name="Процентный 7 2 48 2 4" xfId="39564"/>
    <cellStyle name="Процентный 7 2 48 3" xfId="12860"/>
    <cellStyle name="Процентный 7 2 48 3 2" xfId="44904"/>
    <cellStyle name="Процентный 7 2 48 4" xfId="23541"/>
    <cellStyle name="Процентный 7 2 48 4 2" xfId="55584"/>
    <cellStyle name="Процентный 7 2 48 5" xfId="34224"/>
    <cellStyle name="Процентный 7 2 49" xfId="2208"/>
    <cellStyle name="Процентный 7 2 49 2" xfId="7550"/>
    <cellStyle name="Процентный 7 2 49 2 2" xfId="18230"/>
    <cellStyle name="Процентный 7 2 49 2 2 2" xfId="50274"/>
    <cellStyle name="Процентный 7 2 49 2 3" xfId="28911"/>
    <cellStyle name="Процентный 7 2 49 2 3 2" xfId="60954"/>
    <cellStyle name="Процентный 7 2 49 2 4" xfId="39594"/>
    <cellStyle name="Процентный 7 2 49 3" xfId="12890"/>
    <cellStyle name="Процентный 7 2 49 3 2" xfId="44934"/>
    <cellStyle name="Процентный 7 2 49 4" xfId="23571"/>
    <cellStyle name="Процентный 7 2 49 4 2" xfId="55614"/>
    <cellStyle name="Процентный 7 2 49 5" xfId="34254"/>
    <cellStyle name="Процентный 7 2 5" xfId="1037"/>
    <cellStyle name="Процентный 7 2 5 2" xfId="6380"/>
    <cellStyle name="Процентный 7 2 5 2 2" xfId="17060"/>
    <cellStyle name="Процентный 7 2 5 2 2 2" xfId="49104"/>
    <cellStyle name="Процентный 7 2 5 2 3" xfId="27741"/>
    <cellStyle name="Процентный 7 2 5 2 3 2" xfId="59784"/>
    <cellStyle name="Процентный 7 2 5 2 4" xfId="38424"/>
    <cellStyle name="Процентный 7 2 5 3" xfId="11720"/>
    <cellStyle name="Процентный 7 2 5 3 2" xfId="43764"/>
    <cellStyle name="Процентный 7 2 5 4" xfId="22401"/>
    <cellStyle name="Процентный 7 2 5 4 2" xfId="54444"/>
    <cellStyle name="Процентный 7 2 5 5" xfId="33084"/>
    <cellStyle name="Процентный 7 2 50" xfId="2238"/>
    <cellStyle name="Процентный 7 2 50 2" xfId="7580"/>
    <cellStyle name="Процентный 7 2 50 2 2" xfId="18260"/>
    <cellStyle name="Процентный 7 2 50 2 2 2" xfId="50304"/>
    <cellStyle name="Процентный 7 2 50 2 3" xfId="28941"/>
    <cellStyle name="Процентный 7 2 50 2 3 2" xfId="60984"/>
    <cellStyle name="Процентный 7 2 50 2 4" xfId="39624"/>
    <cellStyle name="Процентный 7 2 50 3" xfId="12920"/>
    <cellStyle name="Процентный 7 2 50 3 2" xfId="44964"/>
    <cellStyle name="Процентный 7 2 50 4" xfId="23601"/>
    <cellStyle name="Процентный 7 2 50 4 2" xfId="55644"/>
    <cellStyle name="Процентный 7 2 50 5" xfId="34284"/>
    <cellStyle name="Процентный 7 2 51" xfId="2268"/>
    <cellStyle name="Процентный 7 2 51 2" xfId="7610"/>
    <cellStyle name="Процентный 7 2 51 2 2" xfId="18290"/>
    <cellStyle name="Процентный 7 2 51 2 2 2" xfId="50334"/>
    <cellStyle name="Процентный 7 2 51 2 3" xfId="28971"/>
    <cellStyle name="Процентный 7 2 51 2 3 2" xfId="61014"/>
    <cellStyle name="Процентный 7 2 51 2 4" xfId="39654"/>
    <cellStyle name="Процентный 7 2 51 3" xfId="12950"/>
    <cellStyle name="Процентный 7 2 51 3 2" xfId="44994"/>
    <cellStyle name="Процентный 7 2 51 4" xfId="23631"/>
    <cellStyle name="Процентный 7 2 51 4 2" xfId="55674"/>
    <cellStyle name="Процентный 7 2 51 5" xfId="34314"/>
    <cellStyle name="Процентный 7 2 52" xfId="2298"/>
    <cellStyle name="Процентный 7 2 52 2" xfId="7640"/>
    <cellStyle name="Процентный 7 2 52 2 2" xfId="18320"/>
    <cellStyle name="Процентный 7 2 52 2 2 2" xfId="50364"/>
    <cellStyle name="Процентный 7 2 52 2 3" xfId="29001"/>
    <cellStyle name="Процентный 7 2 52 2 3 2" xfId="61044"/>
    <cellStyle name="Процентный 7 2 52 2 4" xfId="39684"/>
    <cellStyle name="Процентный 7 2 52 3" xfId="12980"/>
    <cellStyle name="Процентный 7 2 52 3 2" xfId="45024"/>
    <cellStyle name="Процентный 7 2 52 4" xfId="23661"/>
    <cellStyle name="Процентный 7 2 52 4 2" xfId="55704"/>
    <cellStyle name="Процентный 7 2 52 5" xfId="34344"/>
    <cellStyle name="Процентный 7 2 53" xfId="2328"/>
    <cellStyle name="Процентный 7 2 53 2" xfId="7670"/>
    <cellStyle name="Процентный 7 2 53 2 2" xfId="18350"/>
    <cellStyle name="Процентный 7 2 53 2 2 2" xfId="50394"/>
    <cellStyle name="Процентный 7 2 53 2 3" xfId="29031"/>
    <cellStyle name="Процентный 7 2 53 2 3 2" xfId="61074"/>
    <cellStyle name="Процентный 7 2 53 2 4" xfId="39714"/>
    <cellStyle name="Процентный 7 2 53 3" xfId="13010"/>
    <cellStyle name="Процентный 7 2 53 3 2" xfId="45054"/>
    <cellStyle name="Процентный 7 2 53 4" xfId="23691"/>
    <cellStyle name="Процентный 7 2 53 4 2" xfId="55734"/>
    <cellStyle name="Процентный 7 2 53 5" xfId="34374"/>
    <cellStyle name="Процентный 7 2 54" xfId="2358"/>
    <cellStyle name="Процентный 7 2 54 2" xfId="7700"/>
    <cellStyle name="Процентный 7 2 54 2 2" xfId="18380"/>
    <cellStyle name="Процентный 7 2 54 2 2 2" xfId="50424"/>
    <cellStyle name="Процентный 7 2 54 2 3" xfId="29061"/>
    <cellStyle name="Процентный 7 2 54 2 3 2" xfId="61104"/>
    <cellStyle name="Процентный 7 2 54 2 4" xfId="39744"/>
    <cellStyle name="Процентный 7 2 54 3" xfId="13040"/>
    <cellStyle name="Процентный 7 2 54 3 2" xfId="45084"/>
    <cellStyle name="Процентный 7 2 54 4" xfId="23721"/>
    <cellStyle name="Процентный 7 2 54 4 2" xfId="55764"/>
    <cellStyle name="Процентный 7 2 54 5" xfId="34404"/>
    <cellStyle name="Процентный 7 2 55" xfId="2388"/>
    <cellStyle name="Процентный 7 2 55 2" xfId="7730"/>
    <cellStyle name="Процентный 7 2 55 2 2" xfId="18410"/>
    <cellStyle name="Процентный 7 2 55 2 2 2" xfId="50454"/>
    <cellStyle name="Процентный 7 2 55 2 3" xfId="29091"/>
    <cellStyle name="Процентный 7 2 55 2 3 2" xfId="61134"/>
    <cellStyle name="Процентный 7 2 55 2 4" xfId="39774"/>
    <cellStyle name="Процентный 7 2 55 3" xfId="13070"/>
    <cellStyle name="Процентный 7 2 55 3 2" xfId="45114"/>
    <cellStyle name="Процентный 7 2 55 4" xfId="23751"/>
    <cellStyle name="Процентный 7 2 55 4 2" xfId="55794"/>
    <cellStyle name="Процентный 7 2 55 5" xfId="34434"/>
    <cellStyle name="Процентный 7 2 56" xfId="2418"/>
    <cellStyle name="Процентный 7 2 56 2" xfId="7760"/>
    <cellStyle name="Процентный 7 2 56 2 2" xfId="18440"/>
    <cellStyle name="Процентный 7 2 56 2 2 2" xfId="50484"/>
    <cellStyle name="Процентный 7 2 56 2 3" xfId="29121"/>
    <cellStyle name="Процентный 7 2 56 2 3 2" xfId="61164"/>
    <cellStyle name="Процентный 7 2 56 2 4" xfId="39804"/>
    <cellStyle name="Процентный 7 2 56 3" xfId="13100"/>
    <cellStyle name="Процентный 7 2 56 3 2" xfId="45144"/>
    <cellStyle name="Процентный 7 2 56 4" xfId="23781"/>
    <cellStyle name="Процентный 7 2 56 4 2" xfId="55824"/>
    <cellStyle name="Процентный 7 2 56 5" xfId="34464"/>
    <cellStyle name="Процентный 7 2 57" xfId="2448"/>
    <cellStyle name="Процентный 7 2 57 2" xfId="7790"/>
    <cellStyle name="Процентный 7 2 57 2 2" xfId="18470"/>
    <cellStyle name="Процентный 7 2 57 2 2 2" xfId="50514"/>
    <cellStyle name="Процентный 7 2 57 2 3" xfId="29151"/>
    <cellStyle name="Процентный 7 2 57 2 3 2" xfId="61194"/>
    <cellStyle name="Процентный 7 2 57 2 4" xfId="39834"/>
    <cellStyle name="Процентный 7 2 57 3" xfId="13130"/>
    <cellStyle name="Процентный 7 2 57 3 2" xfId="45174"/>
    <cellStyle name="Процентный 7 2 57 4" xfId="23811"/>
    <cellStyle name="Процентный 7 2 57 4 2" xfId="55854"/>
    <cellStyle name="Процентный 7 2 57 5" xfId="34494"/>
    <cellStyle name="Процентный 7 2 58" xfId="2478"/>
    <cellStyle name="Процентный 7 2 58 2" xfId="7820"/>
    <cellStyle name="Процентный 7 2 58 2 2" xfId="18500"/>
    <cellStyle name="Процентный 7 2 58 2 2 2" xfId="50544"/>
    <cellStyle name="Процентный 7 2 58 2 3" xfId="29181"/>
    <cellStyle name="Процентный 7 2 58 2 3 2" xfId="61224"/>
    <cellStyle name="Процентный 7 2 58 2 4" xfId="39864"/>
    <cellStyle name="Процентный 7 2 58 3" xfId="13160"/>
    <cellStyle name="Процентный 7 2 58 3 2" xfId="45204"/>
    <cellStyle name="Процентный 7 2 58 4" xfId="23841"/>
    <cellStyle name="Процентный 7 2 58 4 2" xfId="55884"/>
    <cellStyle name="Процентный 7 2 58 5" xfId="34524"/>
    <cellStyle name="Процентный 7 2 59" xfId="2510"/>
    <cellStyle name="Процентный 7 2 59 2" xfId="7852"/>
    <cellStyle name="Процентный 7 2 59 2 2" xfId="18532"/>
    <cellStyle name="Процентный 7 2 59 2 2 2" xfId="50576"/>
    <cellStyle name="Процентный 7 2 59 2 3" xfId="29213"/>
    <cellStyle name="Процентный 7 2 59 2 3 2" xfId="61256"/>
    <cellStyle name="Процентный 7 2 59 2 4" xfId="39896"/>
    <cellStyle name="Процентный 7 2 59 3" xfId="13192"/>
    <cellStyle name="Процентный 7 2 59 3 2" xfId="45236"/>
    <cellStyle name="Процентный 7 2 59 4" xfId="23873"/>
    <cellStyle name="Процентный 7 2 59 4 2" xfId="55916"/>
    <cellStyle name="Процентный 7 2 59 5" xfId="34556"/>
    <cellStyle name="Процентный 7 2 6" xfId="1063"/>
    <cellStyle name="Процентный 7 2 6 2" xfId="6406"/>
    <cellStyle name="Процентный 7 2 6 2 2" xfId="17086"/>
    <cellStyle name="Процентный 7 2 6 2 2 2" xfId="49130"/>
    <cellStyle name="Процентный 7 2 6 2 3" xfId="27767"/>
    <cellStyle name="Процентный 7 2 6 2 3 2" xfId="59810"/>
    <cellStyle name="Процентный 7 2 6 2 4" xfId="38450"/>
    <cellStyle name="Процентный 7 2 6 3" xfId="11746"/>
    <cellStyle name="Процентный 7 2 6 3 2" xfId="43790"/>
    <cellStyle name="Процентный 7 2 6 4" xfId="22427"/>
    <cellStyle name="Процентный 7 2 6 4 2" xfId="54470"/>
    <cellStyle name="Процентный 7 2 6 5" xfId="33110"/>
    <cellStyle name="Процентный 7 2 60" xfId="2544"/>
    <cellStyle name="Процентный 7 2 60 2" xfId="7886"/>
    <cellStyle name="Процентный 7 2 60 2 2" xfId="18566"/>
    <cellStyle name="Процентный 7 2 60 2 2 2" xfId="50610"/>
    <cellStyle name="Процентный 7 2 60 2 3" xfId="29247"/>
    <cellStyle name="Процентный 7 2 60 2 3 2" xfId="61290"/>
    <cellStyle name="Процентный 7 2 60 2 4" xfId="39930"/>
    <cellStyle name="Процентный 7 2 60 3" xfId="13226"/>
    <cellStyle name="Процентный 7 2 60 3 2" xfId="45270"/>
    <cellStyle name="Процентный 7 2 60 4" xfId="23907"/>
    <cellStyle name="Процентный 7 2 60 4 2" xfId="55950"/>
    <cellStyle name="Процентный 7 2 60 5" xfId="34590"/>
    <cellStyle name="Процентный 7 2 61" xfId="2576"/>
    <cellStyle name="Процентный 7 2 61 2" xfId="7918"/>
    <cellStyle name="Процентный 7 2 61 2 2" xfId="18598"/>
    <cellStyle name="Процентный 7 2 61 2 2 2" xfId="50642"/>
    <cellStyle name="Процентный 7 2 61 2 3" xfId="29279"/>
    <cellStyle name="Процентный 7 2 61 2 3 2" xfId="61322"/>
    <cellStyle name="Процентный 7 2 61 2 4" xfId="39962"/>
    <cellStyle name="Процентный 7 2 61 3" xfId="13258"/>
    <cellStyle name="Процентный 7 2 61 3 2" xfId="45302"/>
    <cellStyle name="Процентный 7 2 61 4" xfId="23939"/>
    <cellStyle name="Процентный 7 2 61 4 2" xfId="55982"/>
    <cellStyle name="Процентный 7 2 61 5" xfId="34622"/>
    <cellStyle name="Процентный 7 2 62" xfId="2608"/>
    <cellStyle name="Процентный 7 2 62 2" xfId="7950"/>
    <cellStyle name="Процентный 7 2 62 2 2" xfId="18630"/>
    <cellStyle name="Процентный 7 2 62 2 2 2" xfId="50674"/>
    <cellStyle name="Процентный 7 2 62 2 3" xfId="29311"/>
    <cellStyle name="Процентный 7 2 62 2 3 2" xfId="61354"/>
    <cellStyle name="Процентный 7 2 62 2 4" xfId="39994"/>
    <cellStyle name="Процентный 7 2 62 3" xfId="13290"/>
    <cellStyle name="Процентный 7 2 62 3 2" xfId="45334"/>
    <cellStyle name="Процентный 7 2 62 4" xfId="23971"/>
    <cellStyle name="Процентный 7 2 62 4 2" xfId="56014"/>
    <cellStyle name="Процентный 7 2 62 5" xfId="34654"/>
    <cellStyle name="Процентный 7 2 63" xfId="2640"/>
    <cellStyle name="Процентный 7 2 63 2" xfId="7982"/>
    <cellStyle name="Процентный 7 2 63 2 2" xfId="18662"/>
    <cellStyle name="Процентный 7 2 63 2 2 2" xfId="50706"/>
    <cellStyle name="Процентный 7 2 63 2 3" xfId="29343"/>
    <cellStyle name="Процентный 7 2 63 2 3 2" xfId="61386"/>
    <cellStyle name="Процентный 7 2 63 2 4" xfId="40026"/>
    <cellStyle name="Процентный 7 2 63 3" xfId="13322"/>
    <cellStyle name="Процентный 7 2 63 3 2" xfId="45366"/>
    <cellStyle name="Процентный 7 2 63 4" xfId="24003"/>
    <cellStyle name="Процентный 7 2 63 4 2" xfId="56046"/>
    <cellStyle name="Процентный 7 2 63 5" xfId="34686"/>
    <cellStyle name="Процентный 7 2 64" xfId="2672"/>
    <cellStyle name="Процентный 7 2 64 2" xfId="8014"/>
    <cellStyle name="Процентный 7 2 64 2 2" xfId="18694"/>
    <cellStyle name="Процентный 7 2 64 2 2 2" xfId="50738"/>
    <cellStyle name="Процентный 7 2 64 2 3" xfId="29375"/>
    <cellStyle name="Процентный 7 2 64 2 3 2" xfId="61418"/>
    <cellStyle name="Процентный 7 2 64 2 4" xfId="40058"/>
    <cellStyle name="Процентный 7 2 64 3" xfId="13354"/>
    <cellStyle name="Процентный 7 2 64 3 2" xfId="45398"/>
    <cellStyle name="Процентный 7 2 64 4" xfId="24035"/>
    <cellStyle name="Процентный 7 2 64 4 2" xfId="56078"/>
    <cellStyle name="Процентный 7 2 64 5" xfId="34718"/>
    <cellStyle name="Процентный 7 2 65" xfId="2704"/>
    <cellStyle name="Процентный 7 2 65 2" xfId="8046"/>
    <cellStyle name="Процентный 7 2 65 2 2" xfId="18726"/>
    <cellStyle name="Процентный 7 2 65 2 2 2" xfId="50770"/>
    <cellStyle name="Процентный 7 2 65 2 3" xfId="29407"/>
    <cellStyle name="Процентный 7 2 65 2 3 2" xfId="61450"/>
    <cellStyle name="Процентный 7 2 65 2 4" xfId="40090"/>
    <cellStyle name="Процентный 7 2 65 3" xfId="13386"/>
    <cellStyle name="Процентный 7 2 65 3 2" xfId="45430"/>
    <cellStyle name="Процентный 7 2 65 4" xfId="24067"/>
    <cellStyle name="Процентный 7 2 65 4 2" xfId="56110"/>
    <cellStyle name="Процентный 7 2 65 5" xfId="34750"/>
    <cellStyle name="Процентный 7 2 66" xfId="2736"/>
    <cellStyle name="Процентный 7 2 66 2" xfId="8078"/>
    <cellStyle name="Процентный 7 2 66 2 2" xfId="18758"/>
    <cellStyle name="Процентный 7 2 66 2 2 2" xfId="50802"/>
    <cellStyle name="Процентный 7 2 66 2 3" xfId="29439"/>
    <cellStyle name="Процентный 7 2 66 2 3 2" xfId="61482"/>
    <cellStyle name="Процентный 7 2 66 2 4" xfId="40122"/>
    <cellStyle name="Процентный 7 2 66 3" xfId="13418"/>
    <cellStyle name="Процентный 7 2 66 3 2" xfId="45462"/>
    <cellStyle name="Процентный 7 2 66 4" xfId="24099"/>
    <cellStyle name="Процентный 7 2 66 4 2" xfId="56142"/>
    <cellStyle name="Процентный 7 2 66 5" xfId="34782"/>
    <cellStyle name="Процентный 7 2 67" xfId="2770"/>
    <cellStyle name="Процентный 7 2 67 2" xfId="8112"/>
    <cellStyle name="Процентный 7 2 67 2 2" xfId="18792"/>
    <cellStyle name="Процентный 7 2 67 2 2 2" xfId="50836"/>
    <cellStyle name="Процентный 7 2 67 2 3" xfId="29473"/>
    <cellStyle name="Процентный 7 2 67 2 3 2" xfId="61516"/>
    <cellStyle name="Процентный 7 2 67 2 4" xfId="40156"/>
    <cellStyle name="Процентный 7 2 67 3" xfId="13452"/>
    <cellStyle name="Процентный 7 2 67 3 2" xfId="45496"/>
    <cellStyle name="Процентный 7 2 67 4" xfId="24133"/>
    <cellStyle name="Процентный 7 2 67 4 2" xfId="56176"/>
    <cellStyle name="Процентный 7 2 67 5" xfId="34816"/>
    <cellStyle name="Процентный 7 2 68" xfId="2802"/>
    <cellStyle name="Процентный 7 2 68 2" xfId="8144"/>
    <cellStyle name="Процентный 7 2 68 2 2" xfId="18824"/>
    <cellStyle name="Процентный 7 2 68 2 2 2" xfId="50868"/>
    <cellStyle name="Процентный 7 2 68 2 3" xfId="29505"/>
    <cellStyle name="Процентный 7 2 68 2 3 2" xfId="61548"/>
    <cellStyle name="Процентный 7 2 68 2 4" xfId="40188"/>
    <cellStyle name="Процентный 7 2 68 3" xfId="13484"/>
    <cellStyle name="Процентный 7 2 68 3 2" xfId="45528"/>
    <cellStyle name="Процентный 7 2 68 4" xfId="24165"/>
    <cellStyle name="Процентный 7 2 68 4 2" xfId="56208"/>
    <cellStyle name="Процентный 7 2 68 5" xfId="34848"/>
    <cellStyle name="Процентный 7 2 69" xfId="2834"/>
    <cellStyle name="Процентный 7 2 69 2" xfId="8176"/>
    <cellStyle name="Процентный 7 2 69 2 2" xfId="18856"/>
    <cellStyle name="Процентный 7 2 69 2 2 2" xfId="50900"/>
    <cellStyle name="Процентный 7 2 69 2 3" xfId="29537"/>
    <cellStyle name="Процентный 7 2 69 2 3 2" xfId="61580"/>
    <cellStyle name="Процентный 7 2 69 2 4" xfId="40220"/>
    <cellStyle name="Процентный 7 2 69 3" xfId="13516"/>
    <cellStyle name="Процентный 7 2 69 3 2" xfId="45560"/>
    <cellStyle name="Процентный 7 2 69 4" xfId="24197"/>
    <cellStyle name="Процентный 7 2 69 4 2" xfId="56240"/>
    <cellStyle name="Процентный 7 2 69 5" xfId="34880"/>
    <cellStyle name="Процентный 7 2 7" xfId="1089"/>
    <cellStyle name="Процентный 7 2 7 2" xfId="6432"/>
    <cellStyle name="Процентный 7 2 7 2 2" xfId="17112"/>
    <cellStyle name="Процентный 7 2 7 2 2 2" xfId="49156"/>
    <cellStyle name="Процентный 7 2 7 2 3" xfId="27793"/>
    <cellStyle name="Процентный 7 2 7 2 3 2" xfId="59836"/>
    <cellStyle name="Процентный 7 2 7 2 4" xfId="38476"/>
    <cellStyle name="Процентный 7 2 7 3" xfId="11772"/>
    <cellStyle name="Процентный 7 2 7 3 2" xfId="43816"/>
    <cellStyle name="Процентный 7 2 7 4" xfId="22453"/>
    <cellStyle name="Процентный 7 2 7 4 2" xfId="54496"/>
    <cellStyle name="Процентный 7 2 7 5" xfId="33136"/>
    <cellStyle name="Процентный 7 2 70" xfId="2866"/>
    <cellStyle name="Процентный 7 2 70 2" xfId="8208"/>
    <cellStyle name="Процентный 7 2 70 2 2" xfId="18888"/>
    <cellStyle name="Процентный 7 2 70 2 2 2" xfId="50932"/>
    <cellStyle name="Процентный 7 2 70 2 3" xfId="29569"/>
    <cellStyle name="Процентный 7 2 70 2 3 2" xfId="61612"/>
    <cellStyle name="Процентный 7 2 70 2 4" xfId="40252"/>
    <cellStyle name="Процентный 7 2 70 3" xfId="13548"/>
    <cellStyle name="Процентный 7 2 70 3 2" xfId="45592"/>
    <cellStyle name="Процентный 7 2 70 4" xfId="24229"/>
    <cellStyle name="Процентный 7 2 70 4 2" xfId="56272"/>
    <cellStyle name="Процентный 7 2 70 5" xfId="34912"/>
    <cellStyle name="Процентный 7 2 71" xfId="2898"/>
    <cellStyle name="Процентный 7 2 71 2" xfId="8240"/>
    <cellStyle name="Процентный 7 2 71 2 2" xfId="18920"/>
    <cellStyle name="Процентный 7 2 71 2 2 2" xfId="50964"/>
    <cellStyle name="Процентный 7 2 71 2 3" xfId="29601"/>
    <cellStyle name="Процентный 7 2 71 2 3 2" xfId="61644"/>
    <cellStyle name="Процентный 7 2 71 2 4" xfId="40284"/>
    <cellStyle name="Процентный 7 2 71 3" xfId="13580"/>
    <cellStyle name="Процентный 7 2 71 3 2" xfId="45624"/>
    <cellStyle name="Процентный 7 2 71 4" xfId="24261"/>
    <cellStyle name="Процентный 7 2 71 4 2" xfId="56304"/>
    <cellStyle name="Процентный 7 2 71 5" xfId="34944"/>
    <cellStyle name="Процентный 7 2 72" xfId="2930"/>
    <cellStyle name="Процентный 7 2 72 2" xfId="8272"/>
    <cellStyle name="Процентный 7 2 72 2 2" xfId="18952"/>
    <cellStyle name="Процентный 7 2 72 2 2 2" xfId="50996"/>
    <cellStyle name="Процентный 7 2 72 2 3" xfId="29633"/>
    <cellStyle name="Процентный 7 2 72 2 3 2" xfId="61676"/>
    <cellStyle name="Процентный 7 2 72 2 4" xfId="40316"/>
    <cellStyle name="Процентный 7 2 72 3" xfId="13612"/>
    <cellStyle name="Процентный 7 2 72 3 2" xfId="45656"/>
    <cellStyle name="Процентный 7 2 72 4" xfId="24293"/>
    <cellStyle name="Процентный 7 2 72 4 2" xfId="56336"/>
    <cellStyle name="Процентный 7 2 72 5" xfId="34976"/>
    <cellStyle name="Процентный 7 2 73" xfId="2962"/>
    <cellStyle name="Процентный 7 2 73 2" xfId="8304"/>
    <cellStyle name="Процентный 7 2 73 2 2" xfId="18984"/>
    <cellStyle name="Процентный 7 2 73 2 2 2" xfId="51028"/>
    <cellStyle name="Процентный 7 2 73 2 3" xfId="29665"/>
    <cellStyle name="Процентный 7 2 73 2 3 2" xfId="61708"/>
    <cellStyle name="Процентный 7 2 73 2 4" xfId="40348"/>
    <cellStyle name="Процентный 7 2 73 3" xfId="13644"/>
    <cellStyle name="Процентный 7 2 73 3 2" xfId="45688"/>
    <cellStyle name="Процентный 7 2 73 4" xfId="24325"/>
    <cellStyle name="Процентный 7 2 73 4 2" xfId="56368"/>
    <cellStyle name="Процентный 7 2 73 5" xfId="35008"/>
    <cellStyle name="Процентный 7 2 74" xfId="2994"/>
    <cellStyle name="Процентный 7 2 74 2" xfId="8336"/>
    <cellStyle name="Процентный 7 2 74 2 2" xfId="19016"/>
    <cellStyle name="Процентный 7 2 74 2 2 2" xfId="51060"/>
    <cellStyle name="Процентный 7 2 74 2 3" xfId="29697"/>
    <cellStyle name="Процентный 7 2 74 2 3 2" xfId="61740"/>
    <cellStyle name="Процентный 7 2 74 2 4" xfId="40380"/>
    <cellStyle name="Процентный 7 2 74 3" xfId="13676"/>
    <cellStyle name="Процентный 7 2 74 3 2" xfId="45720"/>
    <cellStyle name="Процентный 7 2 74 4" xfId="24357"/>
    <cellStyle name="Процентный 7 2 74 4 2" xfId="56400"/>
    <cellStyle name="Процентный 7 2 74 5" xfId="35040"/>
    <cellStyle name="Процентный 7 2 75" xfId="3026"/>
    <cellStyle name="Процентный 7 2 75 2" xfId="8368"/>
    <cellStyle name="Процентный 7 2 75 2 2" xfId="19048"/>
    <cellStyle name="Процентный 7 2 75 2 2 2" xfId="51092"/>
    <cellStyle name="Процентный 7 2 75 2 3" xfId="29729"/>
    <cellStyle name="Процентный 7 2 75 2 3 2" xfId="61772"/>
    <cellStyle name="Процентный 7 2 75 2 4" xfId="40412"/>
    <cellStyle name="Процентный 7 2 75 3" xfId="13708"/>
    <cellStyle name="Процентный 7 2 75 3 2" xfId="45752"/>
    <cellStyle name="Процентный 7 2 75 4" xfId="24389"/>
    <cellStyle name="Процентный 7 2 75 4 2" xfId="56432"/>
    <cellStyle name="Процентный 7 2 75 5" xfId="35072"/>
    <cellStyle name="Процентный 7 2 76" xfId="3058"/>
    <cellStyle name="Процентный 7 2 76 2" xfId="8400"/>
    <cellStyle name="Процентный 7 2 76 2 2" xfId="19080"/>
    <cellStyle name="Процентный 7 2 76 2 2 2" xfId="51124"/>
    <cellStyle name="Процентный 7 2 76 2 3" xfId="29761"/>
    <cellStyle name="Процентный 7 2 76 2 3 2" xfId="61804"/>
    <cellStyle name="Процентный 7 2 76 2 4" xfId="40444"/>
    <cellStyle name="Процентный 7 2 76 3" xfId="13740"/>
    <cellStyle name="Процентный 7 2 76 3 2" xfId="45784"/>
    <cellStyle name="Процентный 7 2 76 4" xfId="24421"/>
    <cellStyle name="Процентный 7 2 76 4 2" xfId="56464"/>
    <cellStyle name="Процентный 7 2 76 5" xfId="35104"/>
    <cellStyle name="Процентный 7 2 77" xfId="3090"/>
    <cellStyle name="Процентный 7 2 77 2" xfId="8432"/>
    <cellStyle name="Процентный 7 2 77 2 2" xfId="19112"/>
    <cellStyle name="Процентный 7 2 77 2 2 2" xfId="51156"/>
    <cellStyle name="Процентный 7 2 77 2 3" xfId="29793"/>
    <cellStyle name="Процентный 7 2 77 2 3 2" xfId="61836"/>
    <cellStyle name="Процентный 7 2 77 2 4" xfId="40476"/>
    <cellStyle name="Процентный 7 2 77 3" xfId="13772"/>
    <cellStyle name="Процентный 7 2 77 3 2" xfId="45816"/>
    <cellStyle name="Процентный 7 2 77 4" xfId="24453"/>
    <cellStyle name="Процентный 7 2 77 4 2" xfId="56496"/>
    <cellStyle name="Процентный 7 2 77 5" xfId="35136"/>
    <cellStyle name="Процентный 7 2 78" xfId="3123"/>
    <cellStyle name="Процентный 7 2 78 2" xfId="8464"/>
    <cellStyle name="Процентный 7 2 78 2 2" xfId="19144"/>
    <cellStyle name="Процентный 7 2 78 2 2 2" xfId="51188"/>
    <cellStyle name="Процентный 7 2 78 2 3" xfId="29825"/>
    <cellStyle name="Процентный 7 2 78 2 3 2" xfId="61868"/>
    <cellStyle name="Процентный 7 2 78 2 4" xfId="40508"/>
    <cellStyle name="Процентный 7 2 78 3" xfId="13804"/>
    <cellStyle name="Процентный 7 2 78 3 2" xfId="45848"/>
    <cellStyle name="Процентный 7 2 78 4" xfId="24485"/>
    <cellStyle name="Процентный 7 2 78 4 2" xfId="56528"/>
    <cellStyle name="Процентный 7 2 78 5" xfId="35168"/>
    <cellStyle name="Процентный 7 2 79" xfId="3155"/>
    <cellStyle name="Процентный 7 2 79 2" xfId="8496"/>
    <cellStyle name="Процентный 7 2 79 2 2" xfId="19176"/>
    <cellStyle name="Процентный 7 2 79 2 2 2" xfId="51220"/>
    <cellStyle name="Процентный 7 2 79 2 3" xfId="29857"/>
    <cellStyle name="Процентный 7 2 79 2 3 2" xfId="61900"/>
    <cellStyle name="Процентный 7 2 79 2 4" xfId="40540"/>
    <cellStyle name="Процентный 7 2 79 3" xfId="13836"/>
    <cellStyle name="Процентный 7 2 79 3 2" xfId="45880"/>
    <cellStyle name="Процентный 7 2 79 4" xfId="24517"/>
    <cellStyle name="Процентный 7 2 79 4 2" xfId="56560"/>
    <cellStyle name="Процентный 7 2 79 5" xfId="35200"/>
    <cellStyle name="Процентный 7 2 8" xfId="1115"/>
    <cellStyle name="Процентный 7 2 8 2" xfId="6458"/>
    <cellStyle name="Процентный 7 2 8 2 2" xfId="17138"/>
    <cellStyle name="Процентный 7 2 8 2 2 2" xfId="49182"/>
    <cellStyle name="Процентный 7 2 8 2 3" xfId="27819"/>
    <cellStyle name="Процентный 7 2 8 2 3 2" xfId="59862"/>
    <cellStyle name="Процентный 7 2 8 2 4" xfId="38502"/>
    <cellStyle name="Процентный 7 2 8 3" xfId="11798"/>
    <cellStyle name="Процентный 7 2 8 3 2" xfId="43842"/>
    <cellStyle name="Процентный 7 2 8 4" xfId="22479"/>
    <cellStyle name="Процентный 7 2 8 4 2" xfId="54522"/>
    <cellStyle name="Процентный 7 2 8 5" xfId="33162"/>
    <cellStyle name="Процентный 7 2 80" xfId="3187"/>
    <cellStyle name="Процентный 7 2 80 2" xfId="8528"/>
    <cellStyle name="Процентный 7 2 80 2 2" xfId="19208"/>
    <cellStyle name="Процентный 7 2 80 2 2 2" xfId="51252"/>
    <cellStyle name="Процентный 7 2 80 2 3" xfId="29889"/>
    <cellStyle name="Процентный 7 2 80 2 3 2" xfId="61932"/>
    <cellStyle name="Процентный 7 2 80 2 4" xfId="40572"/>
    <cellStyle name="Процентный 7 2 80 3" xfId="13868"/>
    <cellStyle name="Процентный 7 2 80 3 2" xfId="45912"/>
    <cellStyle name="Процентный 7 2 80 4" xfId="24549"/>
    <cellStyle name="Процентный 7 2 80 4 2" xfId="56592"/>
    <cellStyle name="Процентный 7 2 80 5" xfId="35232"/>
    <cellStyle name="Процентный 7 2 81" xfId="3219"/>
    <cellStyle name="Процентный 7 2 81 2" xfId="8560"/>
    <cellStyle name="Процентный 7 2 81 2 2" xfId="19240"/>
    <cellStyle name="Процентный 7 2 81 2 2 2" xfId="51284"/>
    <cellStyle name="Процентный 7 2 81 2 3" xfId="29921"/>
    <cellStyle name="Процентный 7 2 81 2 3 2" xfId="61964"/>
    <cellStyle name="Процентный 7 2 81 2 4" xfId="40604"/>
    <cellStyle name="Процентный 7 2 81 3" xfId="13900"/>
    <cellStyle name="Процентный 7 2 81 3 2" xfId="45944"/>
    <cellStyle name="Процентный 7 2 81 4" xfId="24581"/>
    <cellStyle name="Процентный 7 2 81 4 2" xfId="56624"/>
    <cellStyle name="Процентный 7 2 81 5" xfId="35264"/>
    <cellStyle name="Процентный 7 2 82" xfId="3251"/>
    <cellStyle name="Процентный 7 2 82 2" xfId="8592"/>
    <cellStyle name="Процентный 7 2 82 2 2" xfId="19272"/>
    <cellStyle name="Процентный 7 2 82 2 2 2" xfId="51316"/>
    <cellStyle name="Процентный 7 2 82 2 3" xfId="29953"/>
    <cellStyle name="Процентный 7 2 82 2 3 2" xfId="61996"/>
    <cellStyle name="Процентный 7 2 82 2 4" xfId="40636"/>
    <cellStyle name="Процентный 7 2 82 3" xfId="13932"/>
    <cellStyle name="Процентный 7 2 82 3 2" xfId="45976"/>
    <cellStyle name="Процентный 7 2 82 4" xfId="24613"/>
    <cellStyle name="Процентный 7 2 82 4 2" xfId="56656"/>
    <cellStyle name="Процентный 7 2 82 5" xfId="35296"/>
    <cellStyle name="Процентный 7 2 83" xfId="3283"/>
    <cellStyle name="Процентный 7 2 83 2" xfId="8624"/>
    <cellStyle name="Процентный 7 2 83 2 2" xfId="19304"/>
    <cellStyle name="Процентный 7 2 83 2 2 2" xfId="51348"/>
    <cellStyle name="Процентный 7 2 83 2 3" xfId="29985"/>
    <cellStyle name="Процентный 7 2 83 2 3 2" xfId="62028"/>
    <cellStyle name="Процентный 7 2 83 2 4" xfId="40668"/>
    <cellStyle name="Процентный 7 2 83 3" xfId="13964"/>
    <cellStyle name="Процентный 7 2 83 3 2" xfId="46008"/>
    <cellStyle name="Процентный 7 2 83 4" xfId="24645"/>
    <cellStyle name="Процентный 7 2 83 4 2" xfId="56688"/>
    <cellStyle name="Процентный 7 2 83 5" xfId="35328"/>
    <cellStyle name="Процентный 7 2 84" xfId="3315"/>
    <cellStyle name="Процентный 7 2 84 2" xfId="8656"/>
    <cellStyle name="Процентный 7 2 84 2 2" xfId="19336"/>
    <cellStyle name="Процентный 7 2 84 2 2 2" xfId="51380"/>
    <cellStyle name="Процентный 7 2 84 2 3" xfId="30017"/>
    <cellStyle name="Процентный 7 2 84 2 3 2" xfId="62060"/>
    <cellStyle name="Процентный 7 2 84 2 4" xfId="40700"/>
    <cellStyle name="Процентный 7 2 84 3" xfId="13996"/>
    <cellStyle name="Процентный 7 2 84 3 2" xfId="46040"/>
    <cellStyle name="Процентный 7 2 84 4" xfId="24677"/>
    <cellStyle name="Процентный 7 2 84 4 2" xfId="56720"/>
    <cellStyle name="Процентный 7 2 84 5" xfId="35360"/>
    <cellStyle name="Процентный 7 2 85" xfId="3347"/>
    <cellStyle name="Процентный 7 2 85 2" xfId="8688"/>
    <cellStyle name="Процентный 7 2 85 2 2" xfId="19368"/>
    <cellStyle name="Процентный 7 2 85 2 2 2" xfId="51412"/>
    <cellStyle name="Процентный 7 2 85 2 3" xfId="30049"/>
    <cellStyle name="Процентный 7 2 85 2 3 2" xfId="62092"/>
    <cellStyle name="Процентный 7 2 85 2 4" xfId="40732"/>
    <cellStyle name="Процентный 7 2 85 3" xfId="14028"/>
    <cellStyle name="Процентный 7 2 85 3 2" xfId="46072"/>
    <cellStyle name="Процентный 7 2 85 4" xfId="24709"/>
    <cellStyle name="Процентный 7 2 85 4 2" xfId="56752"/>
    <cellStyle name="Процентный 7 2 85 5" xfId="35392"/>
    <cellStyle name="Процентный 7 2 86" xfId="3379"/>
    <cellStyle name="Процентный 7 2 86 2" xfId="8720"/>
    <cellStyle name="Процентный 7 2 86 2 2" xfId="19400"/>
    <cellStyle name="Процентный 7 2 86 2 2 2" xfId="51444"/>
    <cellStyle name="Процентный 7 2 86 2 3" xfId="30081"/>
    <cellStyle name="Процентный 7 2 86 2 3 2" xfId="62124"/>
    <cellStyle name="Процентный 7 2 86 2 4" xfId="40764"/>
    <cellStyle name="Процентный 7 2 86 3" xfId="14060"/>
    <cellStyle name="Процентный 7 2 86 3 2" xfId="46104"/>
    <cellStyle name="Процентный 7 2 86 4" xfId="24741"/>
    <cellStyle name="Процентный 7 2 86 4 2" xfId="56784"/>
    <cellStyle name="Процентный 7 2 86 5" xfId="35424"/>
    <cellStyle name="Процентный 7 2 87" xfId="3411"/>
    <cellStyle name="Процентный 7 2 87 2" xfId="8752"/>
    <cellStyle name="Процентный 7 2 87 2 2" xfId="19432"/>
    <cellStyle name="Процентный 7 2 87 2 2 2" xfId="51476"/>
    <cellStyle name="Процентный 7 2 87 2 3" xfId="30113"/>
    <cellStyle name="Процентный 7 2 87 2 3 2" xfId="62156"/>
    <cellStyle name="Процентный 7 2 87 2 4" xfId="40796"/>
    <cellStyle name="Процентный 7 2 87 3" xfId="14092"/>
    <cellStyle name="Процентный 7 2 87 3 2" xfId="46136"/>
    <cellStyle name="Процентный 7 2 87 4" xfId="24773"/>
    <cellStyle name="Процентный 7 2 87 4 2" xfId="56816"/>
    <cellStyle name="Процентный 7 2 87 5" xfId="35456"/>
    <cellStyle name="Процентный 7 2 88" xfId="3443"/>
    <cellStyle name="Процентный 7 2 88 2" xfId="8784"/>
    <cellStyle name="Процентный 7 2 88 2 2" xfId="19464"/>
    <cellStyle name="Процентный 7 2 88 2 2 2" xfId="51508"/>
    <cellStyle name="Процентный 7 2 88 2 3" xfId="30145"/>
    <cellStyle name="Процентный 7 2 88 2 3 2" xfId="62188"/>
    <cellStyle name="Процентный 7 2 88 2 4" xfId="40828"/>
    <cellStyle name="Процентный 7 2 88 3" xfId="14124"/>
    <cellStyle name="Процентный 7 2 88 3 2" xfId="46168"/>
    <cellStyle name="Процентный 7 2 88 4" xfId="24805"/>
    <cellStyle name="Процентный 7 2 88 4 2" xfId="56848"/>
    <cellStyle name="Процентный 7 2 88 5" xfId="35488"/>
    <cellStyle name="Процентный 7 2 89" xfId="3475"/>
    <cellStyle name="Процентный 7 2 89 2" xfId="8816"/>
    <cellStyle name="Процентный 7 2 89 2 2" xfId="19496"/>
    <cellStyle name="Процентный 7 2 89 2 2 2" xfId="51540"/>
    <cellStyle name="Процентный 7 2 89 2 3" xfId="30177"/>
    <cellStyle name="Процентный 7 2 89 2 3 2" xfId="62220"/>
    <cellStyle name="Процентный 7 2 89 2 4" xfId="40860"/>
    <cellStyle name="Процентный 7 2 89 3" xfId="14156"/>
    <cellStyle name="Процентный 7 2 89 3 2" xfId="46200"/>
    <cellStyle name="Процентный 7 2 89 4" xfId="24837"/>
    <cellStyle name="Процентный 7 2 89 4 2" xfId="56880"/>
    <cellStyle name="Процентный 7 2 89 5" xfId="35520"/>
    <cellStyle name="Процентный 7 2 9" xfId="1141"/>
    <cellStyle name="Процентный 7 2 9 2" xfId="6484"/>
    <cellStyle name="Процентный 7 2 9 2 2" xfId="17164"/>
    <cellStyle name="Процентный 7 2 9 2 2 2" xfId="49208"/>
    <cellStyle name="Процентный 7 2 9 2 3" xfId="27845"/>
    <cellStyle name="Процентный 7 2 9 2 3 2" xfId="59888"/>
    <cellStyle name="Процентный 7 2 9 2 4" xfId="38528"/>
    <cellStyle name="Процентный 7 2 9 3" xfId="11824"/>
    <cellStyle name="Процентный 7 2 9 3 2" xfId="43868"/>
    <cellStyle name="Процентный 7 2 9 4" xfId="22505"/>
    <cellStyle name="Процентный 7 2 9 4 2" xfId="54548"/>
    <cellStyle name="Процентный 7 2 9 5" xfId="33188"/>
    <cellStyle name="Процентный 7 2 90" xfId="3507"/>
    <cellStyle name="Процентный 7 2 90 2" xfId="8848"/>
    <cellStyle name="Процентный 7 2 90 2 2" xfId="19528"/>
    <cellStyle name="Процентный 7 2 90 2 2 2" xfId="51572"/>
    <cellStyle name="Процентный 7 2 90 2 3" xfId="30209"/>
    <cellStyle name="Процентный 7 2 90 2 3 2" xfId="62252"/>
    <cellStyle name="Процентный 7 2 90 2 4" xfId="40892"/>
    <cellStyle name="Процентный 7 2 90 3" xfId="14188"/>
    <cellStyle name="Процентный 7 2 90 3 2" xfId="46232"/>
    <cellStyle name="Процентный 7 2 90 4" xfId="24869"/>
    <cellStyle name="Процентный 7 2 90 4 2" xfId="56912"/>
    <cellStyle name="Процентный 7 2 90 5" xfId="35552"/>
    <cellStyle name="Процентный 7 2 91" xfId="3539"/>
    <cellStyle name="Процентный 7 2 91 2" xfId="8880"/>
    <cellStyle name="Процентный 7 2 91 2 2" xfId="19560"/>
    <cellStyle name="Процентный 7 2 91 2 2 2" xfId="51604"/>
    <cellStyle name="Процентный 7 2 91 2 3" xfId="30241"/>
    <cellStyle name="Процентный 7 2 91 2 3 2" xfId="62284"/>
    <cellStyle name="Процентный 7 2 91 2 4" xfId="40924"/>
    <cellStyle name="Процентный 7 2 91 3" xfId="14220"/>
    <cellStyle name="Процентный 7 2 91 3 2" xfId="46264"/>
    <cellStyle name="Процентный 7 2 91 4" xfId="24901"/>
    <cellStyle name="Процентный 7 2 91 4 2" xfId="56944"/>
    <cellStyle name="Процентный 7 2 91 5" xfId="35584"/>
    <cellStyle name="Процентный 7 2 92" xfId="3571"/>
    <cellStyle name="Процентный 7 2 92 2" xfId="8912"/>
    <cellStyle name="Процентный 7 2 92 2 2" xfId="19592"/>
    <cellStyle name="Процентный 7 2 92 2 2 2" xfId="51636"/>
    <cellStyle name="Процентный 7 2 92 2 3" xfId="30273"/>
    <cellStyle name="Процентный 7 2 92 2 3 2" xfId="62316"/>
    <cellStyle name="Процентный 7 2 92 2 4" xfId="40956"/>
    <cellStyle name="Процентный 7 2 92 3" xfId="14252"/>
    <cellStyle name="Процентный 7 2 92 3 2" xfId="46296"/>
    <cellStyle name="Процентный 7 2 92 4" xfId="24933"/>
    <cellStyle name="Процентный 7 2 92 4 2" xfId="56976"/>
    <cellStyle name="Процентный 7 2 92 5" xfId="35616"/>
    <cellStyle name="Процентный 7 2 93" xfId="3603"/>
    <cellStyle name="Процентный 7 2 93 2" xfId="8944"/>
    <cellStyle name="Процентный 7 2 93 2 2" xfId="19624"/>
    <cellStyle name="Процентный 7 2 93 2 2 2" xfId="51668"/>
    <cellStyle name="Процентный 7 2 93 2 3" xfId="30305"/>
    <cellStyle name="Процентный 7 2 93 2 3 2" xfId="62348"/>
    <cellStyle name="Процентный 7 2 93 2 4" xfId="40988"/>
    <cellStyle name="Процентный 7 2 93 3" xfId="14284"/>
    <cellStyle name="Процентный 7 2 93 3 2" xfId="46328"/>
    <cellStyle name="Процентный 7 2 93 4" xfId="24965"/>
    <cellStyle name="Процентный 7 2 93 4 2" xfId="57008"/>
    <cellStyle name="Процентный 7 2 93 5" xfId="35648"/>
    <cellStyle name="Процентный 7 2 94" xfId="3635"/>
    <cellStyle name="Процентный 7 2 94 2" xfId="8976"/>
    <cellStyle name="Процентный 7 2 94 2 2" xfId="19656"/>
    <cellStyle name="Процентный 7 2 94 2 2 2" xfId="51700"/>
    <cellStyle name="Процентный 7 2 94 2 3" xfId="30337"/>
    <cellStyle name="Процентный 7 2 94 2 3 2" xfId="62380"/>
    <cellStyle name="Процентный 7 2 94 2 4" xfId="41020"/>
    <cellStyle name="Процентный 7 2 94 3" xfId="14316"/>
    <cellStyle name="Процентный 7 2 94 3 2" xfId="46360"/>
    <cellStyle name="Процентный 7 2 94 4" xfId="24997"/>
    <cellStyle name="Процентный 7 2 94 4 2" xfId="57040"/>
    <cellStyle name="Процентный 7 2 94 5" xfId="35680"/>
    <cellStyle name="Процентный 7 2 95" xfId="3667"/>
    <cellStyle name="Процентный 7 2 95 2" xfId="9008"/>
    <cellStyle name="Процентный 7 2 95 2 2" xfId="19688"/>
    <cellStyle name="Процентный 7 2 95 2 2 2" xfId="51732"/>
    <cellStyle name="Процентный 7 2 95 2 3" xfId="30369"/>
    <cellStyle name="Процентный 7 2 95 2 3 2" xfId="62412"/>
    <cellStyle name="Процентный 7 2 95 2 4" xfId="41052"/>
    <cellStyle name="Процентный 7 2 95 3" xfId="14348"/>
    <cellStyle name="Процентный 7 2 95 3 2" xfId="46392"/>
    <cellStyle name="Процентный 7 2 95 4" xfId="25029"/>
    <cellStyle name="Процентный 7 2 95 4 2" xfId="57072"/>
    <cellStyle name="Процентный 7 2 95 5" xfId="35712"/>
    <cellStyle name="Процентный 7 2 96" xfId="3699"/>
    <cellStyle name="Процентный 7 2 96 2" xfId="9040"/>
    <cellStyle name="Процентный 7 2 96 2 2" xfId="19720"/>
    <cellStyle name="Процентный 7 2 96 2 2 2" xfId="51764"/>
    <cellStyle name="Процентный 7 2 96 2 3" xfId="30401"/>
    <cellStyle name="Процентный 7 2 96 2 3 2" xfId="62444"/>
    <cellStyle name="Процентный 7 2 96 2 4" xfId="41084"/>
    <cellStyle name="Процентный 7 2 96 3" xfId="14380"/>
    <cellStyle name="Процентный 7 2 96 3 2" xfId="46424"/>
    <cellStyle name="Процентный 7 2 96 4" xfId="25061"/>
    <cellStyle name="Процентный 7 2 96 4 2" xfId="57104"/>
    <cellStyle name="Процентный 7 2 96 5" xfId="35744"/>
    <cellStyle name="Процентный 7 2 97" xfId="3731"/>
    <cellStyle name="Процентный 7 2 97 2" xfId="9072"/>
    <cellStyle name="Процентный 7 2 97 2 2" xfId="19752"/>
    <cellStyle name="Процентный 7 2 97 2 2 2" xfId="51796"/>
    <cellStyle name="Процентный 7 2 97 2 3" xfId="30433"/>
    <cellStyle name="Процентный 7 2 97 2 3 2" xfId="62476"/>
    <cellStyle name="Процентный 7 2 97 2 4" xfId="41116"/>
    <cellStyle name="Процентный 7 2 97 3" xfId="14412"/>
    <cellStyle name="Процентный 7 2 97 3 2" xfId="46456"/>
    <cellStyle name="Процентный 7 2 97 4" xfId="25093"/>
    <cellStyle name="Процентный 7 2 97 4 2" xfId="57136"/>
    <cellStyle name="Процентный 7 2 97 5" xfId="35776"/>
    <cellStyle name="Процентный 7 2 98" xfId="3763"/>
    <cellStyle name="Процентный 7 2 98 2" xfId="9104"/>
    <cellStyle name="Процентный 7 2 98 2 2" xfId="19784"/>
    <cellStyle name="Процентный 7 2 98 2 2 2" xfId="51828"/>
    <cellStyle name="Процентный 7 2 98 2 3" xfId="30465"/>
    <cellStyle name="Процентный 7 2 98 2 3 2" xfId="62508"/>
    <cellStyle name="Процентный 7 2 98 2 4" xfId="41148"/>
    <cellStyle name="Процентный 7 2 98 3" xfId="14444"/>
    <cellStyle name="Процентный 7 2 98 3 2" xfId="46488"/>
    <cellStyle name="Процентный 7 2 98 4" xfId="25125"/>
    <cellStyle name="Процентный 7 2 98 4 2" xfId="57168"/>
    <cellStyle name="Процентный 7 2 98 5" xfId="35808"/>
    <cellStyle name="Процентный 7 2 99" xfId="3795"/>
    <cellStyle name="Процентный 7 2 99 2" xfId="9136"/>
    <cellStyle name="Процентный 7 2 99 2 2" xfId="19816"/>
    <cellStyle name="Процентный 7 2 99 2 2 2" xfId="51860"/>
    <cellStyle name="Процентный 7 2 99 2 3" xfId="30497"/>
    <cellStyle name="Процентный 7 2 99 2 3 2" xfId="62540"/>
    <cellStyle name="Процентный 7 2 99 2 4" xfId="41180"/>
    <cellStyle name="Процентный 7 2 99 3" xfId="14476"/>
    <cellStyle name="Процентный 7 2 99 3 2" xfId="46520"/>
    <cellStyle name="Процентный 7 2 99 4" xfId="25157"/>
    <cellStyle name="Процентный 7 2 99 4 2" xfId="57200"/>
    <cellStyle name="Процентный 7 2 99 5" xfId="35840"/>
    <cellStyle name="Процентный 7 20" xfId="1207"/>
    <cellStyle name="Процентный 7 20 2" xfId="6550"/>
    <cellStyle name="Процентный 7 20 2 2" xfId="17230"/>
    <cellStyle name="Процентный 7 20 2 2 2" xfId="49274"/>
    <cellStyle name="Процентный 7 20 2 3" xfId="27911"/>
    <cellStyle name="Процентный 7 20 2 3 2" xfId="59954"/>
    <cellStyle name="Процентный 7 20 2 4" xfId="38594"/>
    <cellStyle name="Процентный 7 20 3" xfId="11890"/>
    <cellStyle name="Процентный 7 20 3 2" xfId="43934"/>
    <cellStyle name="Процентный 7 20 4" xfId="22571"/>
    <cellStyle name="Процентный 7 20 4 2" xfId="54614"/>
    <cellStyle name="Процентный 7 20 5" xfId="33254"/>
    <cellStyle name="Процентный 7 21" xfId="1233"/>
    <cellStyle name="Процентный 7 21 2" xfId="6576"/>
    <cellStyle name="Процентный 7 21 2 2" xfId="17256"/>
    <cellStyle name="Процентный 7 21 2 2 2" xfId="49300"/>
    <cellStyle name="Процентный 7 21 2 3" xfId="27937"/>
    <cellStyle name="Процентный 7 21 2 3 2" xfId="59980"/>
    <cellStyle name="Процентный 7 21 2 4" xfId="38620"/>
    <cellStyle name="Процентный 7 21 3" xfId="11916"/>
    <cellStyle name="Процентный 7 21 3 2" xfId="43960"/>
    <cellStyle name="Процентный 7 21 4" xfId="22597"/>
    <cellStyle name="Процентный 7 21 4 2" xfId="54640"/>
    <cellStyle name="Процентный 7 21 5" xfId="33280"/>
    <cellStyle name="Процентный 7 22" xfId="1259"/>
    <cellStyle name="Процентный 7 22 2" xfId="6602"/>
    <cellStyle name="Процентный 7 22 2 2" xfId="17282"/>
    <cellStyle name="Процентный 7 22 2 2 2" xfId="49326"/>
    <cellStyle name="Процентный 7 22 2 3" xfId="27963"/>
    <cellStyle name="Процентный 7 22 2 3 2" xfId="60006"/>
    <cellStyle name="Процентный 7 22 2 4" xfId="38646"/>
    <cellStyle name="Процентный 7 22 3" xfId="11942"/>
    <cellStyle name="Процентный 7 22 3 2" xfId="43986"/>
    <cellStyle name="Процентный 7 22 4" xfId="22623"/>
    <cellStyle name="Процентный 7 22 4 2" xfId="54666"/>
    <cellStyle name="Процентный 7 22 5" xfId="33306"/>
    <cellStyle name="Процентный 7 23" xfId="1285"/>
    <cellStyle name="Процентный 7 23 2" xfId="6628"/>
    <cellStyle name="Процентный 7 23 2 2" xfId="17308"/>
    <cellStyle name="Процентный 7 23 2 2 2" xfId="49352"/>
    <cellStyle name="Процентный 7 23 2 3" xfId="27989"/>
    <cellStyle name="Процентный 7 23 2 3 2" xfId="60032"/>
    <cellStyle name="Процентный 7 23 2 4" xfId="38672"/>
    <cellStyle name="Процентный 7 23 3" xfId="11968"/>
    <cellStyle name="Процентный 7 23 3 2" xfId="44012"/>
    <cellStyle name="Процентный 7 23 4" xfId="22649"/>
    <cellStyle name="Процентный 7 23 4 2" xfId="54692"/>
    <cellStyle name="Процентный 7 23 5" xfId="33332"/>
    <cellStyle name="Процентный 7 24" xfId="1312"/>
    <cellStyle name="Процентный 7 24 2" xfId="6654"/>
    <cellStyle name="Процентный 7 24 2 2" xfId="17334"/>
    <cellStyle name="Процентный 7 24 2 2 2" xfId="49378"/>
    <cellStyle name="Процентный 7 24 2 3" xfId="28015"/>
    <cellStyle name="Процентный 7 24 2 3 2" xfId="60058"/>
    <cellStyle name="Процентный 7 24 2 4" xfId="38698"/>
    <cellStyle name="Процентный 7 24 3" xfId="11994"/>
    <cellStyle name="Процентный 7 24 3 2" xfId="44038"/>
    <cellStyle name="Процентный 7 24 4" xfId="22675"/>
    <cellStyle name="Процентный 7 24 4 2" xfId="54718"/>
    <cellStyle name="Процентный 7 24 5" xfId="33358"/>
    <cellStyle name="Процентный 7 25" xfId="1338"/>
    <cellStyle name="Процентный 7 25 2" xfId="6680"/>
    <cellStyle name="Процентный 7 25 2 2" xfId="17360"/>
    <cellStyle name="Процентный 7 25 2 2 2" xfId="49404"/>
    <cellStyle name="Процентный 7 25 2 3" xfId="28041"/>
    <cellStyle name="Процентный 7 25 2 3 2" xfId="60084"/>
    <cellStyle name="Процентный 7 25 2 4" xfId="38724"/>
    <cellStyle name="Процентный 7 25 3" xfId="12020"/>
    <cellStyle name="Процентный 7 25 3 2" xfId="44064"/>
    <cellStyle name="Процентный 7 25 4" xfId="22701"/>
    <cellStyle name="Процентный 7 25 4 2" xfId="54744"/>
    <cellStyle name="Процентный 7 25 5" xfId="33384"/>
    <cellStyle name="Процентный 7 26" xfId="1364"/>
    <cellStyle name="Процентный 7 26 2" xfId="6706"/>
    <cellStyle name="Процентный 7 26 2 2" xfId="17386"/>
    <cellStyle name="Процентный 7 26 2 2 2" xfId="49430"/>
    <cellStyle name="Процентный 7 26 2 3" xfId="28067"/>
    <cellStyle name="Процентный 7 26 2 3 2" xfId="60110"/>
    <cellStyle name="Процентный 7 26 2 4" xfId="38750"/>
    <cellStyle name="Процентный 7 26 3" xfId="12046"/>
    <cellStyle name="Процентный 7 26 3 2" xfId="44090"/>
    <cellStyle name="Процентный 7 26 4" xfId="22727"/>
    <cellStyle name="Процентный 7 26 4 2" xfId="54770"/>
    <cellStyle name="Процентный 7 26 5" xfId="33410"/>
    <cellStyle name="Процентный 7 27" xfId="1390"/>
    <cellStyle name="Процентный 7 27 2" xfId="6732"/>
    <cellStyle name="Процентный 7 27 2 2" xfId="17412"/>
    <cellStyle name="Процентный 7 27 2 2 2" xfId="49456"/>
    <cellStyle name="Процентный 7 27 2 3" xfId="28093"/>
    <cellStyle name="Процентный 7 27 2 3 2" xfId="60136"/>
    <cellStyle name="Процентный 7 27 2 4" xfId="38776"/>
    <cellStyle name="Процентный 7 27 3" xfId="12072"/>
    <cellStyle name="Процентный 7 27 3 2" xfId="44116"/>
    <cellStyle name="Процентный 7 27 4" xfId="22753"/>
    <cellStyle name="Процентный 7 27 4 2" xfId="54796"/>
    <cellStyle name="Процентный 7 27 5" xfId="33436"/>
    <cellStyle name="Процентный 7 28" xfId="1416"/>
    <cellStyle name="Процентный 7 28 2" xfId="6758"/>
    <cellStyle name="Процентный 7 28 2 2" xfId="17438"/>
    <cellStyle name="Процентный 7 28 2 2 2" xfId="49482"/>
    <cellStyle name="Процентный 7 28 2 3" xfId="28119"/>
    <cellStyle name="Процентный 7 28 2 3 2" xfId="60162"/>
    <cellStyle name="Процентный 7 28 2 4" xfId="38802"/>
    <cellStyle name="Процентный 7 28 3" xfId="12098"/>
    <cellStyle name="Процентный 7 28 3 2" xfId="44142"/>
    <cellStyle name="Процентный 7 28 4" xfId="22779"/>
    <cellStyle name="Процентный 7 28 4 2" xfId="54822"/>
    <cellStyle name="Процентный 7 28 5" xfId="33462"/>
    <cellStyle name="Процентный 7 29" xfId="1442"/>
    <cellStyle name="Процентный 7 29 2" xfId="6784"/>
    <cellStyle name="Процентный 7 29 2 2" xfId="17464"/>
    <cellStyle name="Процентный 7 29 2 2 2" xfId="49508"/>
    <cellStyle name="Процентный 7 29 2 3" xfId="28145"/>
    <cellStyle name="Процентный 7 29 2 3 2" xfId="60188"/>
    <cellStyle name="Процентный 7 29 2 4" xfId="38828"/>
    <cellStyle name="Процентный 7 29 3" xfId="12124"/>
    <cellStyle name="Процентный 7 29 3 2" xfId="44168"/>
    <cellStyle name="Процентный 7 29 4" xfId="22805"/>
    <cellStyle name="Процентный 7 29 4 2" xfId="54848"/>
    <cellStyle name="Процентный 7 29 5" xfId="33488"/>
    <cellStyle name="Процентный 7 3" xfId="425"/>
    <cellStyle name="Процентный 7 3 2" xfId="893"/>
    <cellStyle name="Процентный 7 3 2 2" xfId="6236"/>
    <cellStyle name="Процентный 7 3 2 2 2" xfId="16916"/>
    <cellStyle name="Процентный 7 3 2 2 2 2" xfId="48960"/>
    <cellStyle name="Процентный 7 3 2 2 3" xfId="27597"/>
    <cellStyle name="Процентный 7 3 2 2 3 2" xfId="59640"/>
    <cellStyle name="Процентный 7 3 2 2 4" xfId="38280"/>
    <cellStyle name="Процентный 7 3 2 3" xfId="11576"/>
    <cellStyle name="Процентный 7 3 2 3 2" xfId="43620"/>
    <cellStyle name="Процентный 7 3 2 4" xfId="22257"/>
    <cellStyle name="Процентный 7 3 2 4 2" xfId="54300"/>
    <cellStyle name="Процентный 7 3 2 5" xfId="32940"/>
    <cellStyle name="Процентный 7 3 3" xfId="5769"/>
    <cellStyle name="Процентный 7 3 3 2" xfId="16449"/>
    <cellStyle name="Процентный 7 3 3 2 2" xfId="48493"/>
    <cellStyle name="Процентный 7 3 3 3" xfId="27130"/>
    <cellStyle name="Процентный 7 3 3 3 2" xfId="59173"/>
    <cellStyle name="Процентный 7 3 3 4" xfId="37813"/>
    <cellStyle name="Процентный 7 3 4" xfId="11109"/>
    <cellStyle name="Процентный 7 3 4 2" xfId="43153"/>
    <cellStyle name="Процентный 7 3 5" xfId="21790"/>
    <cellStyle name="Процентный 7 3 5 2" xfId="53833"/>
    <cellStyle name="Процентный 7 3 6" xfId="32473"/>
    <cellStyle name="Процентный 7 30" xfId="1468"/>
    <cellStyle name="Процентный 7 30 2" xfId="6810"/>
    <cellStyle name="Процентный 7 30 2 2" xfId="17490"/>
    <cellStyle name="Процентный 7 30 2 2 2" xfId="49534"/>
    <cellStyle name="Процентный 7 30 2 3" xfId="28171"/>
    <cellStyle name="Процентный 7 30 2 3 2" xfId="60214"/>
    <cellStyle name="Процентный 7 30 2 4" xfId="38854"/>
    <cellStyle name="Процентный 7 30 3" xfId="12150"/>
    <cellStyle name="Процентный 7 30 3 2" xfId="44194"/>
    <cellStyle name="Процентный 7 30 4" xfId="22831"/>
    <cellStyle name="Процентный 7 30 4 2" xfId="54874"/>
    <cellStyle name="Процентный 7 30 5" xfId="33514"/>
    <cellStyle name="Процентный 7 31" xfId="1494"/>
    <cellStyle name="Процентный 7 31 2" xfId="6836"/>
    <cellStyle name="Процентный 7 31 2 2" xfId="17516"/>
    <cellStyle name="Процентный 7 31 2 2 2" xfId="49560"/>
    <cellStyle name="Процентный 7 31 2 3" xfId="28197"/>
    <cellStyle name="Процентный 7 31 2 3 2" xfId="60240"/>
    <cellStyle name="Процентный 7 31 2 4" xfId="38880"/>
    <cellStyle name="Процентный 7 31 3" xfId="12176"/>
    <cellStyle name="Процентный 7 31 3 2" xfId="44220"/>
    <cellStyle name="Процентный 7 31 4" xfId="22857"/>
    <cellStyle name="Процентный 7 31 4 2" xfId="54900"/>
    <cellStyle name="Процентный 7 31 5" xfId="33540"/>
    <cellStyle name="Процентный 7 32" xfId="1520"/>
    <cellStyle name="Процентный 7 32 2" xfId="6862"/>
    <cellStyle name="Процентный 7 32 2 2" xfId="17542"/>
    <cellStyle name="Процентный 7 32 2 2 2" xfId="49586"/>
    <cellStyle name="Процентный 7 32 2 3" xfId="28223"/>
    <cellStyle name="Процентный 7 32 2 3 2" xfId="60266"/>
    <cellStyle name="Процентный 7 32 2 4" xfId="38906"/>
    <cellStyle name="Процентный 7 32 3" xfId="12202"/>
    <cellStyle name="Процентный 7 32 3 2" xfId="44246"/>
    <cellStyle name="Процентный 7 32 4" xfId="22883"/>
    <cellStyle name="Процентный 7 32 4 2" xfId="54926"/>
    <cellStyle name="Процентный 7 32 5" xfId="33566"/>
    <cellStyle name="Процентный 7 33" xfId="1546"/>
    <cellStyle name="Процентный 7 33 2" xfId="6888"/>
    <cellStyle name="Процентный 7 33 2 2" xfId="17568"/>
    <cellStyle name="Процентный 7 33 2 2 2" xfId="49612"/>
    <cellStyle name="Процентный 7 33 2 3" xfId="28249"/>
    <cellStyle name="Процентный 7 33 2 3 2" xfId="60292"/>
    <cellStyle name="Процентный 7 33 2 4" xfId="38932"/>
    <cellStyle name="Процентный 7 33 3" xfId="12228"/>
    <cellStyle name="Процентный 7 33 3 2" xfId="44272"/>
    <cellStyle name="Процентный 7 33 4" xfId="22909"/>
    <cellStyle name="Процентный 7 33 4 2" xfId="54952"/>
    <cellStyle name="Процентный 7 33 5" xfId="33592"/>
    <cellStyle name="Процентный 7 34" xfId="1572"/>
    <cellStyle name="Процентный 7 34 2" xfId="6914"/>
    <cellStyle name="Процентный 7 34 2 2" xfId="17594"/>
    <cellStyle name="Процентный 7 34 2 2 2" xfId="49638"/>
    <cellStyle name="Процентный 7 34 2 3" xfId="28275"/>
    <cellStyle name="Процентный 7 34 2 3 2" xfId="60318"/>
    <cellStyle name="Процентный 7 34 2 4" xfId="38958"/>
    <cellStyle name="Процентный 7 34 3" xfId="12254"/>
    <cellStyle name="Процентный 7 34 3 2" xfId="44298"/>
    <cellStyle name="Процентный 7 34 4" xfId="22935"/>
    <cellStyle name="Процентный 7 34 4 2" xfId="54978"/>
    <cellStyle name="Процентный 7 34 5" xfId="33618"/>
    <cellStyle name="Процентный 7 35" xfId="1598"/>
    <cellStyle name="Процентный 7 35 2" xfId="6940"/>
    <cellStyle name="Процентный 7 35 2 2" xfId="17620"/>
    <cellStyle name="Процентный 7 35 2 2 2" xfId="49664"/>
    <cellStyle name="Процентный 7 35 2 3" xfId="28301"/>
    <cellStyle name="Процентный 7 35 2 3 2" xfId="60344"/>
    <cellStyle name="Процентный 7 35 2 4" xfId="38984"/>
    <cellStyle name="Процентный 7 35 3" xfId="12280"/>
    <cellStyle name="Процентный 7 35 3 2" xfId="44324"/>
    <cellStyle name="Процентный 7 35 4" xfId="22961"/>
    <cellStyle name="Процентный 7 35 4 2" xfId="55004"/>
    <cellStyle name="Процентный 7 35 5" xfId="33644"/>
    <cellStyle name="Процентный 7 36" xfId="1624"/>
    <cellStyle name="Процентный 7 36 2" xfId="6966"/>
    <cellStyle name="Процентный 7 36 2 2" xfId="17646"/>
    <cellStyle name="Процентный 7 36 2 2 2" xfId="49690"/>
    <cellStyle name="Процентный 7 36 2 3" xfId="28327"/>
    <cellStyle name="Процентный 7 36 2 3 2" xfId="60370"/>
    <cellStyle name="Процентный 7 36 2 4" xfId="39010"/>
    <cellStyle name="Процентный 7 36 3" xfId="12306"/>
    <cellStyle name="Процентный 7 36 3 2" xfId="44350"/>
    <cellStyle name="Процентный 7 36 4" xfId="22987"/>
    <cellStyle name="Процентный 7 36 4 2" xfId="55030"/>
    <cellStyle name="Процентный 7 36 5" xfId="33670"/>
    <cellStyle name="Процентный 7 37" xfId="1650"/>
    <cellStyle name="Процентный 7 37 2" xfId="6992"/>
    <cellStyle name="Процентный 7 37 2 2" xfId="17672"/>
    <cellStyle name="Процентный 7 37 2 2 2" xfId="49716"/>
    <cellStyle name="Процентный 7 37 2 3" xfId="28353"/>
    <cellStyle name="Процентный 7 37 2 3 2" xfId="60396"/>
    <cellStyle name="Процентный 7 37 2 4" xfId="39036"/>
    <cellStyle name="Процентный 7 37 3" xfId="12332"/>
    <cellStyle name="Процентный 7 37 3 2" xfId="44376"/>
    <cellStyle name="Процентный 7 37 4" xfId="23013"/>
    <cellStyle name="Процентный 7 37 4 2" xfId="55056"/>
    <cellStyle name="Процентный 7 37 5" xfId="33696"/>
    <cellStyle name="Процентный 7 38" xfId="1676"/>
    <cellStyle name="Процентный 7 38 2" xfId="7018"/>
    <cellStyle name="Процентный 7 38 2 2" xfId="17698"/>
    <cellStyle name="Процентный 7 38 2 2 2" xfId="49742"/>
    <cellStyle name="Процентный 7 38 2 3" xfId="28379"/>
    <cellStyle name="Процентный 7 38 2 3 2" xfId="60422"/>
    <cellStyle name="Процентный 7 38 2 4" xfId="39062"/>
    <cellStyle name="Процентный 7 38 3" xfId="12358"/>
    <cellStyle name="Процентный 7 38 3 2" xfId="44402"/>
    <cellStyle name="Процентный 7 38 4" xfId="23039"/>
    <cellStyle name="Процентный 7 38 4 2" xfId="55082"/>
    <cellStyle name="Процентный 7 38 5" xfId="33722"/>
    <cellStyle name="Процентный 7 39" xfId="1702"/>
    <cellStyle name="Процентный 7 39 2" xfId="7044"/>
    <cellStyle name="Процентный 7 39 2 2" xfId="17724"/>
    <cellStyle name="Процентный 7 39 2 2 2" xfId="49768"/>
    <cellStyle name="Процентный 7 39 2 3" xfId="28405"/>
    <cellStyle name="Процентный 7 39 2 3 2" xfId="60448"/>
    <cellStyle name="Процентный 7 39 2 4" xfId="39088"/>
    <cellStyle name="Процентный 7 39 3" xfId="12384"/>
    <cellStyle name="Процентный 7 39 3 2" xfId="44428"/>
    <cellStyle name="Процентный 7 39 4" xfId="23065"/>
    <cellStyle name="Процентный 7 39 4 2" xfId="55108"/>
    <cellStyle name="Процентный 7 39 5" xfId="33748"/>
    <cellStyle name="Процентный 7 4" xfId="437"/>
    <cellStyle name="Процентный 7 4 2" xfId="905"/>
    <cellStyle name="Процентный 7 4 2 2" xfId="6248"/>
    <cellStyle name="Процентный 7 4 2 2 2" xfId="16928"/>
    <cellStyle name="Процентный 7 4 2 2 2 2" xfId="48972"/>
    <cellStyle name="Процентный 7 4 2 2 3" xfId="27609"/>
    <cellStyle name="Процентный 7 4 2 2 3 2" xfId="59652"/>
    <cellStyle name="Процентный 7 4 2 2 4" xfId="38292"/>
    <cellStyle name="Процентный 7 4 2 3" xfId="11588"/>
    <cellStyle name="Процентный 7 4 2 3 2" xfId="43632"/>
    <cellStyle name="Процентный 7 4 2 4" xfId="22269"/>
    <cellStyle name="Процентный 7 4 2 4 2" xfId="54312"/>
    <cellStyle name="Процентный 7 4 2 5" xfId="32952"/>
    <cellStyle name="Процентный 7 4 3" xfId="5781"/>
    <cellStyle name="Процентный 7 4 3 2" xfId="16461"/>
    <cellStyle name="Процентный 7 4 3 2 2" xfId="48505"/>
    <cellStyle name="Процентный 7 4 3 3" xfId="27142"/>
    <cellStyle name="Процентный 7 4 3 3 2" xfId="59185"/>
    <cellStyle name="Процентный 7 4 3 4" xfId="37825"/>
    <cellStyle name="Процентный 7 4 4" xfId="11121"/>
    <cellStyle name="Процентный 7 4 4 2" xfId="43165"/>
    <cellStyle name="Процентный 7 4 5" xfId="21802"/>
    <cellStyle name="Процентный 7 4 5 2" xfId="53845"/>
    <cellStyle name="Процентный 7 4 6" xfId="32485"/>
    <cellStyle name="Процентный 7 40" xfId="1728"/>
    <cellStyle name="Процентный 7 40 2" xfId="7070"/>
    <cellStyle name="Процентный 7 40 2 2" xfId="17750"/>
    <cellStyle name="Процентный 7 40 2 2 2" xfId="49794"/>
    <cellStyle name="Процентный 7 40 2 3" xfId="28431"/>
    <cellStyle name="Процентный 7 40 2 3 2" xfId="60474"/>
    <cellStyle name="Процентный 7 40 2 4" xfId="39114"/>
    <cellStyle name="Процентный 7 40 3" xfId="12410"/>
    <cellStyle name="Процентный 7 40 3 2" xfId="44454"/>
    <cellStyle name="Процентный 7 40 4" xfId="23091"/>
    <cellStyle name="Процентный 7 40 4 2" xfId="55134"/>
    <cellStyle name="Процентный 7 40 5" xfId="33774"/>
    <cellStyle name="Процентный 7 41" xfId="1754"/>
    <cellStyle name="Процентный 7 41 2" xfId="7096"/>
    <cellStyle name="Процентный 7 41 2 2" xfId="17776"/>
    <cellStyle name="Процентный 7 41 2 2 2" xfId="49820"/>
    <cellStyle name="Процентный 7 41 2 3" xfId="28457"/>
    <cellStyle name="Процентный 7 41 2 3 2" xfId="60500"/>
    <cellStyle name="Процентный 7 41 2 4" xfId="39140"/>
    <cellStyle name="Процентный 7 41 3" xfId="12436"/>
    <cellStyle name="Процентный 7 41 3 2" xfId="44480"/>
    <cellStyle name="Процентный 7 41 4" xfId="23117"/>
    <cellStyle name="Процентный 7 41 4 2" xfId="55160"/>
    <cellStyle name="Процентный 7 41 5" xfId="33800"/>
    <cellStyle name="Процентный 7 42" xfId="1780"/>
    <cellStyle name="Процентный 7 42 2" xfId="7122"/>
    <cellStyle name="Процентный 7 42 2 2" xfId="17802"/>
    <cellStyle name="Процентный 7 42 2 2 2" xfId="49846"/>
    <cellStyle name="Процентный 7 42 2 3" xfId="28483"/>
    <cellStyle name="Процентный 7 42 2 3 2" xfId="60526"/>
    <cellStyle name="Процентный 7 42 2 4" xfId="39166"/>
    <cellStyle name="Процентный 7 42 3" xfId="12462"/>
    <cellStyle name="Процентный 7 42 3 2" xfId="44506"/>
    <cellStyle name="Процентный 7 42 4" xfId="23143"/>
    <cellStyle name="Процентный 7 42 4 2" xfId="55186"/>
    <cellStyle name="Процентный 7 42 5" xfId="33826"/>
    <cellStyle name="Процентный 7 43" xfId="1806"/>
    <cellStyle name="Процентный 7 43 2" xfId="7148"/>
    <cellStyle name="Процентный 7 43 2 2" xfId="17828"/>
    <cellStyle name="Процентный 7 43 2 2 2" xfId="49872"/>
    <cellStyle name="Процентный 7 43 2 3" xfId="28509"/>
    <cellStyle name="Процентный 7 43 2 3 2" xfId="60552"/>
    <cellStyle name="Процентный 7 43 2 4" xfId="39192"/>
    <cellStyle name="Процентный 7 43 3" xfId="12488"/>
    <cellStyle name="Процентный 7 43 3 2" xfId="44532"/>
    <cellStyle name="Процентный 7 43 4" xfId="23169"/>
    <cellStyle name="Процентный 7 43 4 2" xfId="55212"/>
    <cellStyle name="Процентный 7 43 5" xfId="33852"/>
    <cellStyle name="Процентный 7 44" xfId="1832"/>
    <cellStyle name="Процентный 7 44 2" xfId="7174"/>
    <cellStyle name="Процентный 7 44 2 2" xfId="17854"/>
    <cellStyle name="Процентный 7 44 2 2 2" xfId="49898"/>
    <cellStyle name="Процентный 7 44 2 3" xfId="28535"/>
    <cellStyle name="Процентный 7 44 2 3 2" xfId="60578"/>
    <cellStyle name="Процентный 7 44 2 4" xfId="39218"/>
    <cellStyle name="Процентный 7 44 3" xfId="12514"/>
    <cellStyle name="Процентный 7 44 3 2" xfId="44558"/>
    <cellStyle name="Процентный 7 44 4" xfId="23195"/>
    <cellStyle name="Процентный 7 44 4 2" xfId="55238"/>
    <cellStyle name="Процентный 7 44 5" xfId="33878"/>
    <cellStyle name="Процентный 7 45" xfId="1858"/>
    <cellStyle name="Процентный 7 45 2" xfId="7200"/>
    <cellStyle name="Процентный 7 45 2 2" xfId="17880"/>
    <cellStyle name="Процентный 7 45 2 2 2" xfId="49924"/>
    <cellStyle name="Процентный 7 45 2 3" xfId="28561"/>
    <cellStyle name="Процентный 7 45 2 3 2" xfId="60604"/>
    <cellStyle name="Процентный 7 45 2 4" xfId="39244"/>
    <cellStyle name="Процентный 7 45 3" xfId="12540"/>
    <cellStyle name="Процентный 7 45 3 2" xfId="44584"/>
    <cellStyle name="Процентный 7 45 4" xfId="23221"/>
    <cellStyle name="Процентный 7 45 4 2" xfId="55264"/>
    <cellStyle name="Процентный 7 45 5" xfId="33904"/>
    <cellStyle name="Процентный 7 46" xfId="1884"/>
    <cellStyle name="Процентный 7 46 2" xfId="7226"/>
    <cellStyle name="Процентный 7 46 2 2" xfId="17906"/>
    <cellStyle name="Процентный 7 46 2 2 2" xfId="49950"/>
    <cellStyle name="Процентный 7 46 2 3" xfId="28587"/>
    <cellStyle name="Процентный 7 46 2 3 2" xfId="60630"/>
    <cellStyle name="Процентный 7 46 2 4" xfId="39270"/>
    <cellStyle name="Процентный 7 46 3" xfId="12566"/>
    <cellStyle name="Процентный 7 46 3 2" xfId="44610"/>
    <cellStyle name="Процентный 7 46 4" xfId="23247"/>
    <cellStyle name="Процентный 7 46 4 2" xfId="55290"/>
    <cellStyle name="Процентный 7 46 5" xfId="33930"/>
    <cellStyle name="Процентный 7 47" xfId="1910"/>
    <cellStyle name="Процентный 7 47 2" xfId="7252"/>
    <cellStyle name="Процентный 7 47 2 2" xfId="17932"/>
    <cellStyle name="Процентный 7 47 2 2 2" xfId="49976"/>
    <cellStyle name="Процентный 7 47 2 3" xfId="28613"/>
    <cellStyle name="Процентный 7 47 2 3 2" xfId="60656"/>
    <cellStyle name="Процентный 7 47 2 4" xfId="39296"/>
    <cellStyle name="Процентный 7 47 3" xfId="12592"/>
    <cellStyle name="Процентный 7 47 3 2" xfId="44636"/>
    <cellStyle name="Процентный 7 47 4" xfId="23273"/>
    <cellStyle name="Процентный 7 47 4 2" xfId="55316"/>
    <cellStyle name="Процентный 7 47 5" xfId="33956"/>
    <cellStyle name="Процентный 7 48" xfId="1938"/>
    <cellStyle name="Процентный 7 48 2" xfId="7280"/>
    <cellStyle name="Процентный 7 48 2 2" xfId="17960"/>
    <cellStyle name="Процентный 7 48 2 2 2" xfId="50004"/>
    <cellStyle name="Процентный 7 48 2 3" xfId="28641"/>
    <cellStyle name="Процентный 7 48 2 3 2" xfId="60684"/>
    <cellStyle name="Процентный 7 48 2 4" xfId="39324"/>
    <cellStyle name="Процентный 7 48 3" xfId="12620"/>
    <cellStyle name="Процентный 7 48 3 2" xfId="44664"/>
    <cellStyle name="Процентный 7 48 4" xfId="23301"/>
    <cellStyle name="Процентный 7 48 4 2" xfId="55344"/>
    <cellStyle name="Процентный 7 48 5" xfId="33984"/>
    <cellStyle name="Процентный 7 49" xfId="1966"/>
    <cellStyle name="Процентный 7 49 2" xfId="7308"/>
    <cellStyle name="Процентный 7 49 2 2" xfId="17988"/>
    <cellStyle name="Процентный 7 49 2 2 2" xfId="50032"/>
    <cellStyle name="Процентный 7 49 2 3" xfId="28669"/>
    <cellStyle name="Процентный 7 49 2 3 2" xfId="60712"/>
    <cellStyle name="Процентный 7 49 2 4" xfId="39352"/>
    <cellStyle name="Процентный 7 49 3" xfId="12648"/>
    <cellStyle name="Процентный 7 49 3 2" xfId="44692"/>
    <cellStyle name="Процентный 7 49 4" xfId="23329"/>
    <cellStyle name="Процентный 7 49 4 2" xfId="55372"/>
    <cellStyle name="Процентный 7 49 5" xfId="34012"/>
    <cellStyle name="Процентный 7 5" xfId="449"/>
    <cellStyle name="Процентный 7 5 2" xfId="917"/>
    <cellStyle name="Процентный 7 5 2 2" xfId="6260"/>
    <cellStyle name="Процентный 7 5 2 2 2" xfId="16940"/>
    <cellStyle name="Процентный 7 5 2 2 2 2" xfId="48984"/>
    <cellStyle name="Процентный 7 5 2 2 3" xfId="27621"/>
    <cellStyle name="Процентный 7 5 2 2 3 2" xfId="59664"/>
    <cellStyle name="Процентный 7 5 2 2 4" xfId="38304"/>
    <cellStyle name="Процентный 7 5 2 3" xfId="11600"/>
    <cellStyle name="Процентный 7 5 2 3 2" xfId="43644"/>
    <cellStyle name="Процентный 7 5 2 4" xfId="22281"/>
    <cellStyle name="Процентный 7 5 2 4 2" xfId="54324"/>
    <cellStyle name="Процентный 7 5 2 5" xfId="32964"/>
    <cellStyle name="Процентный 7 5 3" xfId="5793"/>
    <cellStyle name="Процентный 7 5 3 2" xfId="16473"/>
    <cellStyle name="Процентный 7 5 3 2 2" xfId="48517"/>
    <cellStyle name="Процентный 7 5 3 3" xfId="27154"/>
    <cellStyle name="Процентный 7 5 3 3 2" xfId="59197"/>
    <cellStyle name="Процентный 7 5 3 4" xfId="37837"/>
    <cellStyle name="Процентный 7 5 4" xfId="11133"/>
    <cellStyle name="Процентный 7 5 4 2" xfId="43177"/>
    <cellStyle name="Процентный 7 5 5" xfId="21814"/>
    <cellStyle name="Процентный 7 5 5 2" xfId="53857"/>
    <cellStyle name="Процентный 7 5 6" xfId="32497"/>
    <cellStyle name="Процентный 7 50" xfId="1994"/>
    <cellStyle name="Процентный 7 50 2" xfId="7336"/>
    <cellStyle name="Процентный 7 50 2 2" xfId="18016"/>
    <cellStyle name="Процентный 7 50 2 2 2" xfId="50060"/>
    <cellStyle name="Процентный 7 50 2 3" xfId="28697"/>
    <cellStyle name="Процентный 7 50 2 3 2" xfId="60740"/>
    <cellStyle name="Процентный 7 50 2 4" xfId="39380"/>
    <cellStyle name="Процентный 7 50 3" xfId="12676"/>
    <cellStyle name="Процентный 7 50 3 2" xfId="44720"/>
    <cellStyle name="Процентный 7 50 4" xfId="23357"/>
    <cellStyle name="Процентный 7 50 4 2" xfId="55400"/>
    <cellStyle name="Процентный 7 50 5" xfId="34040"/>
    <cellStyle name="Процентный 7 51" xfId="2022"/>
    <cellStyle name="Процентный 7 51 2" xfId="7364"/>
    <cellStyle name="Процентный 7 51 2 2" xfId="18044"/>
    <cellStyle name="Процентный 7 51 2 2 2" xfId="50088"/>
    <cellStyle name="Процентный 7 51 2 3" xfId="28725"/>
    <cellStyle name="Процентный 7 51 2 3 2" xfId="60768"/>
    <cellStyle name="Процентный 7 51 2 4" xfId="39408"/>
    <cellStyle name="Процентный 7 51 3" xfId="12704"/>
    <cellStyle name="Процентный 7 51 3 2" xfId="44748"/>
    <cellStyle name="Процентный 7 51 4" xfId="23385"/>
    <cellStyle name="Процентный 7 51 4 2" xfId="55428"/>
    <cellStyle name="Процентный 7 51 5" xfId="34068"/>
    <cellStyle name="Процентный 7 52" xfId="2050"/>
    <cellStyle name="Процентный 7 52 2" xfId="7392"/>
    <cellStyle name="Процентный 7 52 2 2" xfId="18072"/>
    <cellStyle name="Процентный 7 52 2 2 2" xfId="50116"/>
    <cellStyle name="Процентный 7 52 2 3" xfId="28753"/>
    <cellStyle name="Процентный 7 52 2 3 2" xfId="60796"/>
    <cellStyle name="Процентный 7 52 2 4" xfId="39436"/>
    <cellStyle name="Процентный 7 52 3" xfId="12732"/>
    <cellStyle name="Процентный 7 52 3 2" xfId="44776"/>
    <cellStyle name="Процентный 7 52 4" xfId="23413"/>
    <cellStyle name="Процентный 7 52 4 2" xfId="55456"/>
    <cellStyle name="Процентный 7 52 5" xfId="34096"/>
    <cellStyle name="Процентный 7 53" xfId="2078"/>
    <cellStyle name="Процентный 7 53 2" xfId="7420"/>
    <cellStyle name="Процентный 7 53 2 2" xfId="18100"/>
    <cellStyle name="Процентный 7 53 2 2 2" xfId="50144"/>
    <cellStyle name="Процентный 7 53 2 3" xfId="28781"/>
    <cellStyle name="Процентный 7 53 2 3 2" xfId="60824"/>
    <cellStyle name="Процентный 7 53 2 4" xfId="39464"/>
    <cellStyle name="Процентный 7 53 3" xfId="12760"/>
    <cellStyle name="Процентный 7 53 3 2" xfId="44804"/>
    <cellStyle name="Процентный 7 53 4" xfId="23441"/>
    <cellStyle name="Процентный 7 53 4 2" xfId="55484"/>
    <cellStyle name="Процентный 7 53 5" xfId="34124"/>
    <cellStyle name="Процентный 7 54" xfId="2106"/>
    <cellStyle name="Процентный 7 54 2" xfId="7448"/>
    <cellStyle name="Процентный 7 54 2 2" xfId="18128"/>
    <cellStyle name="Процентный 7 54 2 2 2" xfId="50172"/>
    <cellStyle name="Процентный 7 54 2 3" xfId="28809"/>
    <cellStyle name="Процентный 7 54 2 3 2" xfId="60852"/>
    <cellStyle name="Процентный 7 54 2 4" xfId="39492"/>
    <cellStyle name="Процентный 7 54 3" xfId="12788"/>
    <cellStyle name="Процентный 7 54 3 2" xfId="44832"/>
    <cellStyle name="Процентный 7 54 4" xfId="23469"/>
    <cellStyle name="Процентный 7 54 4 2" xfId="55512"/>
    <cellStyle name="Процентный 7 54 5" xfId="34152"/>
    <cellStyle name="Процентный 7 55" xfId="2136"/>
    <cellStyle name="Процентный 7 55 2" xfId="7478"/>
    <cellStyle name="Процентный 7 55 2 2" xfId="18158"/>
    <cellStyle name="Процентный 7 55 2 2 2" xfId="50202"/>
    <cellStyle name="Процентный 7 55 2 3" xfId="28839"/>
    <cellStyle name="Процентный 7 55 2 3 2" xfId="60882"/>
    <cellStyle name="Процентный 7 55 2 4" xfId="39522"/>
    <cellStyle name="Процентный 7 55 3" xfId="12818"/>
    <cellStyle name="Процентный 7 55 3 2" xfId="44862"/>
    <cellStyle name="Процентный 7 55 4" xfId="23499"/>
    <cellStyle name="Процентный 7 55 4 2" xfId="55542"/>
    <cellStyle name="Процентный 7 55 5" xfId="34182"/>
    <cellStyle name="Процентный 7 56" xfId="2166"/>
    <cellStyle name="Процентный 7 56 2" xfId="7508"/>
    <cellStyle name="Процентный 7 56 2 2" xfId="18188"/>
    <cellStyle name="Процентный 7 56 2 2 2" xfId="50232"/>
    <cellStyle name="Процентный 7 56 2 3" xfId="28869"/>
    <cellStyle name="Процентный 7 56 2 3 2" xfId="60912"/>
    <cellStyle name="Процентный 7 56 2 4" xfId="39552"/>
    <cellStyle name="Процентный 7 56 3" xfId="12848"/>
    <cellStyle name="Процентный 7 56 3 2" xfId="44892"/>
    <cellStyle name="Процентный 7 56 4" xfId="23529"/>
    <cellStyle name="Процентный 7 56 4 2" xfId="55572"/>
    <cellStyle name="Процентный 7 56 5" xfId="34212"/>
    <cellStyle name="Процентный 7 57" xfId="2196"/>
    <cellStyle name="Процентный 7 57 2" xfId="7538"/>
    <cellStyle name="Процентный 7 57 2 2" xfId="18218"/>
    <cellStyle name="Процентный 7 57 2 2 2" xfId="50262"/>
    <cellStyle name="Процентный 7 57 2 3" xfId="28899"/>
    <cellStyle name="Процентный 7 57 2 3 2" xfId="60942"/>
    <cellStyle name="Процентный 7 57 2 4" xfId="39582"/>
    <cellStyle name="Процентный 7 57 3" xfId="12878"/>
    <cellStyle name="Процентный 7 57 3 2" xfId="44922"/>
    <cellStyle name="Процентный 7 57 4" xfId="23559"/>
    <cellStyle name="Процентный 7 57 4 2" xfId="55602"/>
    <cellStyle name="Процентный 7 57 5" xfId="34242"/>
    <cellStyle name="Процентный 7 58" xfId="2226"/>
    <cellStyle name="Процентный 7 58 2" xfId="7568"/>
    <cellStyle name="Процентный 7 58 2 2" xfId="18248"/>
    <cellStyle name="Процентный 7 58 2 2 2" xfId="50292"/>
    <cellStyle name="Процентный 7 58 2 3" xfId="28929"/>
    <cellStyle name="Процентный 7 58 2 3 2" xfId="60972"/>
    <cellStyle name="Процентный 7 58 2 4" xfId="39612"/>
    <cellStyle name="Процентный 7 58 3" xfId="12908"/>
    <cellStyle name="Процентный 7 58 3 2" xfId="44952"/>
    <cellStyle name="Процентный 7 58 4" xfId="23589"/>
    <cellStyle name="Процентный 7 58 4 2" xfId="55632"/>
    <cellStyle name="Процентный 7 58 5" xfId="34272"/>
    <cellStyle name="Процентный 7 59" xfId="2256"/>
    <cellStyle name="Процентный 7 59 2" xfId="7598"/>
    <cellStyle name="Процентный 7 59 2 2" xfId="18278"/>
    <cellStyle name="Процентный 7 59 2 2 2" xfId="50322"/>
    <cellStyle name="Процентный 7 59 2 3" xfId="28959"/>
    <cellStyle name="Процентный 7 59 2 3 2" xfId="61002"/>
    <cellStyle name="Процентный 7 59 2 4" xfId="39642"/>
    <cellStyle name="Процентный 7 59 3" xfId="12938"/>
    <cellStyle name="Процентный 7 59 3 2" xfId="44982"/>
    <cellStyle name="Процентный 7 59 4" xfId="23619"/>
    <cellStyle name="Процентный 7 59 4 2" xfId="55662"/>
    <cellStyle name="Процентный 7 59 5" xfId="34302"/>
    <cellStyle name="Процентный 7 6" xfId="461"/>
    <cellStyle name="Процентный 7 6 2" xfId="929"/>
    <cellStyle name="Процентный 7 6 2 2" xfId="6272"/>
    <cellStyle name="Процентный 7 6 2 2 2" xfId="16952"/>
    <cellStyle name="Процентный 7 6 2 2 2 2" xfId="48996"/>
    <cellStyle name="Процентный 7 6 2 2 3" xfId="27633"/>
    <cellStyle name="Процентный 7 6 2 2 3 2" xfId="59676"/>
    <cellStyle name="Процентный 7 6 2 2 4" xfId="38316"/>
    <cellStyle name="Процентный 7 6 2 3" xfId="11612"/>
    <cellStyle name="Процентный 7 6 2 3 2" xfId="43656"/>
    <cellStyle name="Процентный 7 6 2 4" xfId="22293"/>
    <cellStyle name="Процентный 7 6 2 4 2" xfId="54336"/>
    <cellStyle name="Процентный 7 6 2 5" xfId="32976"/>
    <cellStyle name="Процентный 7 6 3" xfId="5805"/>
    <cellStyle name="Процентный 7 6 3 2" xfId="16485"/>
    <cellStyle name="Процентный 7 6 3 2 2" xfId="48529"/>
    <cellStyle name="Процентный 7 6 3 3" xfId="27166"/>
    <cellStyle name="Процентный 7 6 3 3 2" xfId="59209"/>
    <cellStyle name="Процентный 7 6 3 4" xfId="37849"/>
    <cellStyle name="Процентный 7 6 4" xfId="11145"/>
    <cellStyle name="Процентный 7 6 4 2" xfId="43189"/>
    <cellStyle name="Процентный 7 6 5" xfId="21826"/>
    <cellStyle name="Процентный 7 6 5 2" xfId="53869"/>
    <cellStyle name="Процентный 7 6 6" xfId="32509"/>
    <cellStyle name="Процентный 7 60" xfId="2286"/>
    <cellStyle name="Процентный 7 60 2" xfId="7628"/>
    <cellStyle name="Процентный 7 60 2 2" xfId="18308"/>
    <cellStyle name="Процентный 7 60 2 2 2" xfId="50352"/>
    <cellStyle name="Процентный 7 60 2 3" xfId="28989"/>
    <cellStyle name="Процентный 7 60 2 3 2" xfId="61032"/>
    <cellStyle name="Процентный 7 60 2 4" xfId="39672"/>
    <cellStyle name="Процентный 7 60 3" xfId="12968"/>
    <cellStyle name="Процентный 7 60 3 2" xfId="45012"/>
    <cellStyle name="Процентный 7 60 4" xfId="23649"/>
    <cellStyle name="Процентный 7 60 4 2" xfId="55692"/>
    <cellStyle name="Процентный 7 60 5" xfId="34332"/>
    <cellStyle name="Процентный 7 61" xfId="2316"/>
    <cellStyle name="Процентный 7 61 2" xfId="7658"/>
    <cellStyle name="Процентный 7 61 2 2" xfId="18338"/>
    <cellStyle name="Процентный 7 61 2 2 2" xfId="50382"/>
    <cellStyle name="Процентный 7 61 2 3" xfId="29019"/>
    <cellStyle name="Процентный 7 61 2 3 2" xfId="61062"/>
    <cellStyle name="Процентный 7 61 2 4" xfId="39702"/>
    <cellStyle name="Процентный 7 61 3" xfId="12998"/>
    <cellStyle name="Процентный 7 61 3 2" xfId="45042"/>
    <cellStyle name="Процентный 7 61 4" xfId="23679"/>
    <cellStyle name="Процентный 7 61 4 2" xfId="55722"/>
    <cellStyle name="Процентный 7 61 5" xfId="34362"/>
    <cellStyle name="Процентный 7 62" xfId="2346"/>
    <cellStyle name="Процентный 7 62 2" xfId="7688"/>
    <cellStyle name="Процентный 7 62 2 2" xfId="18368"/>
    <cellStyle name="Процентный 7 62 2 2 2" xfId="50412"/>
    <cellStyle name="Процентный 7 62 2 3" xfId="29049"/>
    <cellStyle name="Процентный 7 62 2 3 2" xfId="61092"/>
    <cellStyle name="Процентный 7 62 2 4" xfId="39732"/>
    <cellStyle name="Процентный 7 62 3" xfId="13028"/>
    <cellStyle name="Процентный 7 62 3 2" xfId="45072"/>
    <cellStyle name="Процентный 7 62 4" xfId="23709"/>
    <cellStyle name="Процентный 7 62 4 2" xfId="55752"/>
    <cellStyle name="Процентный 7 62 5" xfId="34392"/>
    <cellStyle name="Процентный 7 63" xfId="2376"/>
    <cellStyle name="Процентный 7 63 2" xfId="7718"/>
    <cellStyle name="Процентный 7 63 2 2" xfId="18398"/>
    <cellStyle name="Процентный 7 63 2 2 2" xfId="50442"/>
    <cellStyle name="Процентный 7 63 2 3" xfId="29079"/>
    <cellStyle name="Процентный 7 63 2 3 2" xfId="61122"/>
    <cellStyle name="Процентный 7 63 2 4" xfId="39762"/>
    <cellStyle name="Процентный 7 63 3" xfId="13058"/>
    <cellStyle name="Процентный 7 63 3 2" xfId="45102"/>
    <cellStyle name="Процентный 7 63 4" xfId="23739"/>
    <cellStyle name="Процентный 7 63 4 2" xfId="55782"/>
    <cellStyle name="Процентный 7 63 5" xfId="34422"/>
    <cellStyle name="Процентный 7 64" xfId="2406"/>
    <cellStyle name="Процентный 7 64 2" xfId="7748"/>
    <cellStyle name="Процентный 7 64 2 2" xfId="18428"/>
    <cellStyle name="Процентный 7 64 2 2 2" xfId="50472"/>
    <cellStyle name="Процентный 7 64 2 3" xfId="29109"/>
    <cellStyle name="Процентный 7 64 2 3 2" xfId="61152"/>
    <cellStyle name="Процентный 7 64 2 4" xfId="39792"/>
    <cellStyle name="Процентный 7 64 3" xfId="13088"/>
    <cellStyle name="Процентный 7 64 3 2" xfId="45132"/>
    <cellStyle name="Процентный 7 64 4" xfId="23769"/>
    <cellStyle name="Процентный 7 64 4 2" xfId="55812"/>
    <cellStyle name="Процентный 7 64 5" xfId="34452"/>
    <cellStyle name="Процентный 7 65" xfId="2436"/>
    <cellStyle name="Процентный 7 65 2" xfId="7778"/>
    <cellStyle name="Процентный 7 65 2 2" xfId="18458"/>
    <cellStyle name="Процентный 7 65 2 2 2" xfId="50502"/>
    <cellStyle name="Процентный 7 65 2 3" xfId="29139"/>
    <cellStyle name="Процентный 7 65 2 3 2" xfId="61182"/>
    <cellStyle name="Процентный 7 65 2 4" xfId="39822"/>
    <cellStyle name="Процентный 7 65 3" xfId="13118"/>
    <cellStyle name="Процентный 7 65 3 2" xfId="45162"/>
    <cellStyle name="Процентный 7 65 4" xfId="23799"/>
    <cellStyle name="Процентный 7 65 4 2" xfId="55842"/>
    <cellStyle name="Процентный 7 65 5" xfId="34482"/>
    <cellStyle name="Процентный 7 66" xfId="2466"/>
    <cellStyle name="Процентный 7 66 2" xfId="7808"/>
    <cellStyle name="Процентный 7 66 2 2" xfId="18488"/>
    <cellStyle name="Процентный 7 66 2 2 2" xfId="50532"/>
    <cellStyle name="Процентный 7 66 2 3" xfId="29169"/>
    <cellStyle name="Процентный 7 66 2 3 2" xfId="61212"/>
    <cellStyle name="Процентный 7 66 2 4" xfId="39852"/>
    <cellStyle name="Процентный 7 66 3" xfId="13148"/>
    <cellStyle name="Процентный 7 66 3 2" xfId="45192"/>
    <cellStyle name="Процентный 7 66 4" xfId="23829"/>
    <cellStyle name="Процентный 7 66 4 2" xfId="55872"/>
    <cellStyle name="Процентный 7 66 5" xfId="34512"/>
    <cellStyle name="Процентный 7 67" xfId="2498"/>
    <cellStyle name="Процентный 7 67 2" xfId="7840"/>
    <cellStyle name="Процентный 7 67 2 2" xfId="18520"/>
    <cellStyle name="Процентный 7 67 2 2 2" xfId="50564"/>
    <cellStyle name="Процентный 7 67 2 3" xfId="29201"/>
    <cellStyle name="Процентный 7 67 2 3 2" xfId="61244"/>
    <cellStyle name="Процентный 7 67 2 4" xfId="39884"/>
    <cellStyle name="Процентный 7 67 3" xfId="13180"/>
    <cellStyle name="Процентный 7 67 3 2" xfId="45224"/>
    <cellStyle name="Процентный 7 67 4" xfId="23861"/>
    <cellStyle name="Процентный 7 67 4 2" xfId="55904"/>
    <cellStyle name="Процентный 7 67 5" xfId="34544"/>
    <cellStyle name="Процентный 7 68" xfId="2532"/>
    <cellStyle name="Процентный 7 68 2" xfId="7874"/>
    <cellStyle name="Процентный 7 68 2 2" xfId="18554"/>
    <cellStyle name="Процентный 7 68 2 2 2" xfId="50598"/>
    <cellStyle name="Процентный 7 68 2 3" xfId="29235"/>
    <cellStyle name="Процентный 7 68 2 3 2" xfId="61278"/>
    <cellStyle name="Процентный 7 68 2 4" xfId="39918"/>
    <cellStyle name="Процентный 7 68 3" xfId="13214"/>
    <cellStyle name="Процентный 7 68 3 2" xfId="45258"/>
    <cellStyle name="Процентный 7 68 4" xfId="23895"/>
    <cellStyle name="Процентный 7 68 4 2" xfId="55938"/>
    <cellStyle name="Процентный 7 68 5" xfId="34578"/>
    <cellStyle name="Процентный 7 69" xfId="2564"/>
    <cellStyle name="Процентный 7 69 2" xfId="7906"/>
    <cellStyle name="Процентный 7 69 2 2" xfId="18586"/>
    <cellStyle name="Процентный 7 69 2 2 2" xfId="50630"/>
    <cellStyle name="Процентный 7 69 2 3" xfId="29267"/>
    <cellStyle name="Процентный 7 69 2 3 2" xfId="61310"/>
    <cellStyle name="Процентный 7 69 2 4" xfId="39950"/>
    <cellStyle name="Процентный 7 69 3" xfId="13246"/>
    <cellStyle name="Процентный 7 69 3 2" xfId="45290"/>
    <cellStyle name="Процентный 7 69 4" xfId="23927"/>
    <cellStyle name="Процентный 7 69 4 2" xfId="55970"/>
    <cellStyle name="Процентный 7 69 5" xfId="34610"/>
    <cellStyle name="Процентный 7 7" xfId="473"/>
    <cellStyle name="Процентный 7 7 2" xfId="941"/>
    <cellStyle name="Процентный 7 7 2 2" xfId="6284"/>
    <cellStyle name="Процентный 7 7 2 2 2" xfId="16964"/>
    <cellStyle name="Процентный 7 7 2 2 2 2" xfId="49008"/>
    <cellStyle name="Процентный 7 7 2 2 3" xfId="27645"/>
    <cellStyle name="Процентный 7 7 2 2 3 2" xfId="59688"/>
    <cellStyle name="Процентный 7 7 2 2 4" xfId="38328"/>
    <cellStyle name="Процентный 7 7 2 3" xfId="11624"/>
    <cellStyle name="Процентный 7 7 2 3 2" xfId="43668"/>
    <cellStyle name="Процентный 7 7 2 4" xfId="22305"/>
    <cellStyle name="Процентный 7 7 2 4 2" xfId="54348"/>
    <cellStyle name="Процентный 7 7 2 5" xfId="32988"/>
    <cellStyle name="Процентный 7 7 3" xfId="5817"/>
    <cellStyle name="Процентный 7 7 3 2" xfId="16497"/>
    <cellStyle name="Процентный 7 7 3 2 2" xfId="48541"/>
    <cellStyle name="Процентный 7 7 3 3" xfId="27178"/>
    <cellStyle name="Процентный 7 7 3 3 2" xfId="59221"/>
    <cellStyle name="Процентный 7 7 3 4" xfId="37861"/>
    <cellStyle name="Процентный 7 7 4" xfId="11157"/>
    <cellStyle name="Процентный 7 7 4 2" xfId="43201"/>
    <cellStyle name="Процентный 7 7 5" xfId="21838"/>
    <cellStyle name="Процентный 7 7 5 2" xfId="53881"/>
    <cellStyle name="Процентный 7 7 6" xfId="32521"/>
    <cellStyle name="Процентный 7 70" xfId="2596"/>
    <cellStyle name="Процентный 7 70 2" xfId="7938"/>
    <cellStyle name="Процентный 7 70 2 2" xfId="18618"/>
    <cellStyle name="Процентный 7 70 2 2 2" xfId="50662"/>
    <cellStyle name="Процентный 7 70 2 3" xfId="29299"/>
    <cellStyle name="Процентный 7 70 2 3 2" xfId="61342"/>
    <cellStyle name="Процентный 7 70 2 4" xfId="39982"/>
    <cellStyle name="Процентный 7 70 3" xfId="13278"/>
    <cellStyle name="Процентный 7 70 3 2" xfId="45322"/>
    <cellStyle name="Процентный 7 70 4" xfId="23959"/>
    <cellStyle name="Процентный 7 70 4 2" xfId="56002"/>
    <cellStyle name="Процентный 7 70 5" xfId="34642"/>
    <cellStyle name="Процентный 7 71" xfId="2628"/>
    <cellStyle name="Процентный 7 71 2" xfId="7970"/>
    <cellStyle name="Процентный 7 71 2 2" xfId="18650"/>
    <cellStyle name="Процентный 7 71 2 2 2" xfId="50694"/>
    <cellStyle name="Процентный 7 71 2 3" xfId="29331"/>
    <cellStyle name="Процентный 7 71 2 3 2" xfId="61374"/>
    <cellStyle name="Процентный 7 71 2 4" xfId="40014"/>
    <cellStyle name="Процентный 7 71 3" xfId="13310"/>
    <cellStyle name="Процентный 7 71 3 2" xfId="45354"/>
    <cellStyle name="Процентный 7 71 4" xfId="23991"/>
    <cellStyle name="Процентный 7 71 4 2" xfId="56034"/>
    <cellStyle name="Процентный 7 71 5" xfId="34674"/>
    <cellStyle name="Процентный 7 72" xfId="2660"/>
    <cellStyle name="Процентный 7 72 2" xfId="8002"/>
    <cellStyle name="Процентный 7 72 2 2" xfId="18682"/>
    <cellStyle name="Процентный 7 72 2 2 2" xfId="50726"/>
    <cellStyle name="Процентный 7 72 2 3" xfId="29363"/>
    <cellStyle name="Процентный 7 72 2 3 2" xfId="61406"/>
    <cellStyle name="Процентный 7 72 2 4" xfId="40046"/>
    <cellStyle name="Процентный 7 72 3" xfId="13342"/>
    <cellStyle name="Процентный 7 72 3 2" xfId="45386"/>
    <cellStyle name="Процентный 7 72 4" xfId="24023"/>
    <cellStyle name="Процентный 7 72 4 2" xfId="56066"/>
    <cellStyle name="Процентный 7 72 5" xfId="34706"/>
    <cellStyle name="Процентный 7 73" xfId="2692"/>
    <cellStyle name="Процентный 7 73 2" xfId="8034"/>
    <cellStyle name="Процентный 7 73 2 2" xfId="18714"/>
    <cellStyle name="Процентный 7 73 2 2 2" xfId="50758"/>
    <cellStyle name="Процентный 7 73 2 3" xfId="29395"/>
    <cellStyle name="Процентный 7 73 2 3 2" xfId="61438"/>
    <cellStyle name="Процентный 7 73 2 4" xfId="40078"/>
    <cellStyle name="Процентный 7 73 3" xfId="13374"/>
    <cellStyle name="Процентный 7 73 3 2" xfId="45418"/>
    <cellStyle name="Процентный 7 73 4" xfId="24055"/>
    <cellStyle name="Процентный 7 73 4 2" xfId="56098"/>
    <cellStyle name="Процентный 7 73 5" xfId="34738"/>
    <cellStyle name="Процентный 7 74" xfId="2724"/>
    <cellStyle name="Процентный 7 74 2" xfId="8066"/>
    <cellStyle name="Процентный 7 74 2 2" xfId="18746"/>
    <cellStyle name="Процентный 7 74 2 2 2" xfId="50790"/>
    <cellStyle name="Процентный 7 74 2 3" xfId="29427"/>
    <cellStyle name="Процентный 7 74 2 3 2" xfId="61470"/>
    <cellStyle name="Процентный 7 74 2 4" xfId="40110"/>
    <cellStyle name="Процентный 7 74 3" xfId="13406"/>
    <cellStyle name="Процентный 7 74 3 2" xfId="45450"/>
    <cellStyle name="Процентный 7 74 4" xfId="24087"/>
    <cellStyle name="Процентный 7 74 4 2" xfId="56130"/>
    <cellStyle name="Процентный 7 74 5" xfId="34770"/>
    <cellStyle name="Процентный 7 75" xfId="2758"/>
    <cellStyle name="Процентный 7 75 2" xfId="8100"/>
    <cellStyle name="Процентный 7 75 2 2" xfId="18780"/>
    <cellStyle name="Процентный 7 75 2 2 2" xfId="50824"/>
    <cellStyle name="Процентный 7 75 2 3" xfId="29461"/>
    <cellStyle name="Процентный 7 75 2 3 2" xfId="61504"/>
    <cellStyle name="Процентный 7 75 2 4" xfId="40144"/>
    <cellStyle name="Процентный 7 75 3" xfId="13440"/>
    <cellStyle name="Процентный 7 75 3 2" xfId="45484"/>
    <cellStyle name="Процентный 7 75 4" xfId="24121"/>
    <cellStyle name="Процентный 7 75 4 2" xfId="56164"/>
    <cellStyle name="Процентный 7 75 5" xfId="34804"/>
    <cellStyle name="Процентный 7 76" xfId="2790"/>
    <cellStyle name="Процентный 7 76 2" xfId="8132"/>
    <cellStyle name="Процентный 7 76 2 2" xfId="18812"/>
    <cellStyle name="Процентный 7 76 2 2 2" xfId="50856"/>
    <cellStyle name="Процентный 7 76 2 3" xfId="29493"/>
    <cellStyle name="Процентный 7 76 2 3 2" xfId="61536"/>
    <cellStyle name="Процентный 7 76 2 4" xfId="40176"/>
    <cellStyle name="Процентный 7 76 3" xfId="13472"/>
    <cellStyle name="Процентный 7 76 3 2" xfId="45516"/>
    <cellStyle name="Процентный 7 76 4" xfId="24153"/>
    <cellStyle name="Процентный 7 76 4 2" xfId="56196"/>
    <cellStyle name="Процентный 7 76 5" xfId="34836"/>
    <cellStyle name="Процентный 7 77" xfId="2822"/>
    <cellStyle name="Процентный 7 77 2" xfId="8164"/>
    <cellStyle name="Процентный 7 77 2 2" xfId="18844"/>
    <cellStyle name="Процентный 7 77 2 2 2" xfId="50888"/>
    <cellStyle name="Процентный 7 77 2 3" xfId="29525"/>
    <cellStyle name="Процентный 7 77 2 3 2" xfId="61568"/>
    <cellStyle name="Процентный 7 77 2 4" xfId="40208"/>
    <cellStyle name="Процентный 7 77 3" xfId="13504"/>
    <cellStyle name="Процентный 7 77 3 2" xfId="45548"/>
    <cellStyle name="Процентный 7 77 4" xfId="24185"/>
    <cellStyle name="Процентный 7 77 4 2" xfId="56228"/>
    <cellStyle name="Процентный 7 77 5" xfId="34868"/>
    <cellStyle name="Процентный 7 78" xfId="2854"/>
    <cellStyle name="Процентный 7 78 2" xfId="8196"/>
    <cellStyle name="Процентный 7 78 2 2" xfId="18876"/>
    <cellStyle name="Процентный 7 78 2 2 2" xfId="50920"/>
    <cellStyle name="Процентный 7 78 2 3" xfId="29557"/>
    <cellStyle name="Процентный 7 78 2 3 2" xfId="61600"/>
    <cellStyle name="Процентный 7 78 2 4" xfId="40240"/>
    <cellStyle name="Процентный 7 78 3" xfId="13536"/>
    <cellStyle name="Процентный 7 78 3 2" xfId="45580"/>
    <cellStyle name="Процентный 7 78 4" xfId="24217"/>
    <cellStyle name="Процентный 7 78 4 2" xfId="56260"/>
    <cellStyle name="Процентный 7 78 5" xfId="34900"/>
    <cellStyle name="Процентный 7 79" xfId="2886"/>
    <cellStyle name="Процентный 7 79 2" xfId="8228"/>
    <cellStyle name="Процентный 7 79 2 2" xfId="18908"/>
    <cellStyle name="Процентный 7 79 2 2 2" xfId="50952"/>
    <cellStyle name="Процентный 7 79 2 3" xfId="29589"/>
    <cellStyle name="Процентный 7 79 2 3 2" xfId="61632"/>
    <cellStyle name="Процентный 7 79 2 4" xfId="40272"/>
    <cellStyle name="Процентный 7 79 3" xfId="13568"/>
    <cellStyle name="Процентный 7 79 3 2" xfId="45612"/>
    <cellStyle name="Процентный 7 79 4" xfId="24249"/>
    <cellStyle name="Процентный 7 79 4 2" xfId="56292"/>
    <cellStyle name="Процентный 7 79 5" xfId="34932"/>
    <cellStyle name="Процентный 7 8" xfId="485"/>
    <cellStyle name="Процентный 7 8 2" xfId="953"/>
    <cellStyle name="Процентный 7 8 2 2" xfId="6296"/>
    <cellStyle name="Процентный 7 8 2 2 2" xfId="16976"/>
    <cellStyle name="Процентный 7 8 2 2 2 2" xfId="49020"/>
    <cellStyle name="Процентный 7 8 2 2 3" xfId="27657"/>
    <cellStyle name="Процентный 7 8 2 2 3 2" xfId="59700"/>
    <cellStyle name="Процентный 7 8 2 2 4" xfId="38340"/>
    <cellStyle name="Процентный 7 8 2 3" xfId="11636"/>
    <cellStyle name="Процентный 7 8 2 3 2" xfId="43680"/>
    <cellStyle name="Процентный 7 8 2 4" xfId="22317"/>
    <cellStyle name="Процентный 7 8 2 4 2" xfId="54360"/>
    <cellStyle name="Процентный 7 8 2 5" xfId="33000"/>
    <cellStyle name="Процентный 7 8 3" xfId="5829"/>
    <cellStyle name="Процентный 7 8 3 2" xfId="16509"/>
    <cellStyle name="Процентный 7 8 3 2 2" xfId="48553"/>
    <cellStyle name="Процентный 7 8 3 3" xfId="27190"/>
    <cellStyle name="Процентный 7 8 3 3 2" xfId="59233"/>
    <cellStyle name="Процентный 7 8 3 4" xfId="37873"/>
    <cellStyle name="Процентный 7 8 4" xfId="11169"/>
    <cellStyle name="Процентный 7 8 4 2" xfId="43213"/>
    <cellStyle name="Процентный 7 8 5" xfId="21850"/>
    <cellStyle name="Процентный 7 8 5 2" xfId="53893"/>
    <cellStyle name="Процентный 7 8 6" xfId="32533"/>
    <cellStyle name="Процентный 7 80" xfId="2918"/>
    <cellStyle name="Процентный 7 80 2" xfId="8260"/>
    <cellStyle name="Процентный 7 80 2 2" xfId="18940"/>
    <cellStyle name="Процентный 7 80 2 2 2" xfId="50984"/>
    <cellStyle name="Процентный 7 80 2 3" xfId="29621"/>
    <cellStyle name="Процентный 7 80 2 3 2" xfId="61664"/>
    <cellStyle name="Процентный 7 80 2 4" xfId="40304"/>
    <cellStyle name="Процентный 7 80 3" xfId="13600"/>
    <cellStyle name="Процентный 7 80 3 2" xfId="45644"/>
    <cellStyle name="Процентный 7 80 4" xfId="24281"/>
    <cellStyle name="Процентный 7 80 4 2" xfId="56324"/>
    <cellStyle name="Процентный 7 80 5" xfId="34964"/>
    <cellStyle name="Процентный 7 81" xfId="2950"/>
    <cellStyle name="Процентный 7 81 2" xfId="8292"/>
    <cellStyle name="Процентный 7 81 2 2" xfId="18972"/>
    <cellStyle name="Процентный 7 81 2 2 2" xfId="51016"/>
    <cellStyle name="Процентный 7 81 2 3" xfId="29653"/>
    <cellStyle name="Процентный 7 81 2 3 2" xfId="61696"/>
    <cellStyle name="Процентный 7 81 2 4" xfId="40336"/>
    <cellStyle name="Процентный 7 81 3" xfId="13632"/>
    <cellStyle name="Процентный 7 81 3 2" xfId="45676"/>
    <cellStyle name="Процентный 7 81 4" xfId="24313"/>
    <cellStyle name="Процентный 7 81 4 2" xfId="56356"/>
    <cellStyle name="Процентный 7 81 5" xfId="34996"/>
    <cellStyle name="Процентный 7 82" xfId="2982"/>
    <cellStyle name="Процентный 7 82 2" xfId="8324"/>
    <cellStyle name="Процентный 7 82 2 2" xfId="19004"/>
    <cellStyle name="Процентный 7 82 2 2 2" xfId="51048"/>
    <cellStyle name="Процентный 7 82 2 3" xfId="29685"/>
    <cellStyle name="Процентный 7 82 2 3 2" xfId="61728"/>
    <cellStyle name="Процентный 7 82 2 4" xfId="40368"/>
    <cellStyle name="Процентный 7 82 3" xfId="13664"/>
    <cellStyle name="Процентный 7 82 3 2" xfId="45708"/>
    <cellStyle name="Процентный 7 82 4" xfId="24345"/>
    <cellStyle name="Процентный 7 82 4 2" xfId="56388"/>
    <cellStyle name="Процентный 7 82 5" xfId="35028"/>
    <cellStyle name="Процентный 7 83" xfId="3014"/>
    <cellStyle name="Процентный 7 83 2" xfId="8356"/>
    <cellStyle name="Процентный 7 83 2 2" xfId="19036"/>
    <cellStyle name="Процентный 7 83 2 2 2" xfId="51080"/>
    <cellStyle name="Процентный 7 83 2 3" xfId="29717"/>
    <cellStyle name="Процентный 7 83 2 3 2" xfId="61760"/>
    <cellStyle name="Процентный 7 83 2 4" xfId="40400"/>
    <cellStyle name="Процентный 7 83 3" xfId="13696"/>
    <cellStyle name="Процентный 7 83 3 2" xfId="45740"/>
    <cellStyle name="Процентный 7 83 4" xfId="24377"/>
    <cellStyle name="Процентный 7 83 4 2" xfId="56420"/>
    <cellStyle name="Процентный 7 83 5" xfId="35060"/>
    <cellStyle name="Процентный 7 84" xfId="3046"/>
    <cellStyle name="Процентный 7 84 2" xfId="8388"/>
    <cellStyle name="Процентный 7 84 2 2" xfId="19068"/>
    <cellStyle name="Процентный 7 84 2 2 2" xfId="51112"/>
    <cellStyle name="Процентный 7 84 2 3" xfId="29749"/>
    <cellStyle name="Процентный 7 84 2 3 2" xfId="61792"/>
    <cellStyle name="Процентный 7 84 2 4" xfId="40432"/>
    <cellStyle name="Процентный 7 84 3" xfId="13728"/>
    <cellStyle name="Процентный 7 84 3 2" xfId="45772"/>
    <cellStyle name="Процентный 7 84 4" xfId="24409"/>
    <cellStyle name="Процентный 7 84 4 2" xfId="56452"/>
    <cellStyle name="Процентный 7 84 5" xfId="35092"/>
    <cellStyle name="Процентный 7 85" xfId="3078"/>
    <cellStyle name="Процентный 7 85 2" xfId="8420"/>
    <cellStyle name="Процентный 7 85 2 2" xfId="19100"/>
    <cellStyle name="Процентный 7 85 2 2 2" xfId="51144"/>
    <cellStyle name="Процентный 7 85 2 3" xfId="29781"/>
    <cellStyle name="Процентный 7 85 2 3 2" xfId="61824"/>
    <cellStyle name="Процентный 7 85 2 4" xfId="40464"/>
    <cellStyle name="Процентный 7 85 3" xfId="13760"/>
    <cellStyle name="Процентный 7 85 3 2" xfId="45804"/>
    <cellStyle name="Процентный 7 85 4" xfId="24441"/>
    <cellStyle name="Процентный 7 85 4 2" xfId="56484"/>
    <cellStyle name="Процентный 7 85 5" xfId="35124"/>
    <cellStyle name="Процентный 7 86" xfId="3111"/>
    <cellStyle name="Процентный 7 86 2" xfId="8452"/>
    <cellStyle name="Процентный 7 86 2 2" xfId="19132"/>
    <cellStyle name="Процентный 7 86 2 2 2" xfId="51176"/>
    <cellStyle name="Процентный 7 86 2 3" xfId="29813"/>
    <cellStyle name="Процентный 7 86 2 3 2" xfId="61856"/>
    <cellStyle name="Процентный 7 86 2 4" xfId="40496"/>
    <cellStyle name="Процентный 7 86 3" xfId="13792"/>
    <cellStyle name="Процентный 7 86 3 2" xfId="45836"/>
    <cellStyle name="Процентный 7 86 4" xfId="24473"/>
    <cellStyle name="Процентный 7 86 4 2" xfId="56516"/>
    <cellStyle name="Процентный 7 86 5" xfId="35156"/>
    <cellStyle name="Процентный 7 87" xfId="3143"/>
    <cellStyle name="Процентный 7 87 2" xfId="8484"/>
    <cellStyle name="Процентный 7 87 2 2" xfId="19164"/>
    <cellStyle name="Процентный 7 87 2 2 2" xfId="51208"/>
    <cellStyle name="Процентный 7 87 2 3" xfId="29845"/>
    <cellStyle name="Процентный 7 87 2 3 2" xfId="61888"/>
    <cellStyle name="Процентный 7 87 2 4" xfId="40528"/>
    <cellStyle name="Процентный 7 87 3" xfId="13824"/>
    <cellStyle name="Процентный 7 87 3 2" xfId="45868"/>
    <cellStyle name="Процентный 7 87 4" xfId="24505"/>
    <cellStyle name="Процентный 7 87 4 2" xfId="56548"/>
    <cellStyle name="Процентный 7 87 5" xfId="35188"/>
    <cellStyle name="Процентный 7 88" xfId="3175"/>
    <cellStyle name="Процентный 7 88 2" xfId="8516"/>
    <cellStyle name="Процентный 7 88 2 2" xfId="19196"/>
    <cellStyle name="Процентный 7 88 2 2 2" xfId="51240"/>
    <cellStyle name="Процентный 7 88 2 3" xfId="29877"/>
    <cellStyle name="Процентный 7 88 2 3 2" xfId="61920"/>
    <cellStyle name="Процентный 7 88 2 4" xfId="40560"/>
    <cellStyle name="Процентный 7 88 3" xfId="13856"/>
    <cellStyle name="Процентный 7 88 3 2" xfId="45900"/>
    <cellStyle name="Процентный 7 88 4" xfId="24537"/>
    <cellStyle name="Процентный 7 88 4 2" xfId="56580"/>
    <cellStyle name="Процентный 7 88 5" xfId="35220"/>
    <cellStyle name="Процентный 7 89" xfId="3207"/>
    <cellStyle name="Процентный 7 89 2" xfId="8548"/>
    <cellStyle name="Процентный 7 89 2 2" xfId="19228"/>
    <cellStyle name="Процентный 7 89 2 2 2" xfId="51272"/>
    <cellStyle name="Процентный 7 89 2 3" xfId="29909"/>
    <cellStyle name="Процентный 7 89 2 3 2" xfId="61952"/>
    <cellStyle name="Процентный 7 89 2 4" xfId="40592"/>
    <cellStyle name="Процентный 7 89 3" xfId="13888"/>
    <cellStyle name="Процентный 7 89 3 2" xfId="45932"/>
    <cellStyle name="Процентный 7 89 4" xfId="24569"/>
    <cellStyle name="Процентный 7 89 4 2" xfId="56612"/>
    <cellStyle name="Процентный 7 89 5" xfId="35252"/>
    <cellStyle name="Процентный 7 9" xfId="497"/>
    <cellStyle name="Процентный 7 9 2" xfId="965"/>
    <cellStyle name="Процентный 7 9 2 2" xfId="6308"/>
    <cellStyle name="Процентный 7 9 2 2 2" xfId="16988"/>
    <cellStyle name="Процентный 7 9 2 2 2 2" xfId="49032"/>
    <cellStyle name="Процентный 7 9 2 2 3" xfId="27669"/>
    <cellStyle name="Процентный 7 9 2 2 3 2" xfId="59712"/>
    <cellStyle name="Процентный 7 9 2 2 4" xfId="38352"/>
    <cellStyle name="Процентный 7 9 2 3" xfId="11648"/>
    <cellStyle name="Процентный 7 9 2 3 2" xfId="43692"/>
    <cellStyle name="Процентный 7 9 2 4" xfId="22329"/>
    <cellStyle name="Процентный 7 9 2 4 2" xfId="54372"/>
    <cellStyle name="Процентный 7 9 2 5" xfId="33012"/>
    <cellStyle name="Процентный 7 9 3" xfId="5841"/>
    <cellStyle name="Процентный 7 9 3 2" xfId="16521"/>
    <cellStyle name="Процентный 7 9 3 2 2" xfId="48565"/>
    <cellStyle name="Процентный 7 9 3 3" xfId="27202"/>
    <cellStyle name="Процентный 7 9 3 3 2" xfId="59245"/>
    <cellStyle name="Процентный 7 9 3 4" xfId="37885"/>
    <cellStyle name="Процентный 7 9 4" xfId="11181"/>
    <cellStyle name="Процентный 7 9 4 2" xfId="43225"/>
    <cellStyle name="Процентный 7 9 5" xfId="21862"/>
    <cellStyle name="Процентный 7 9 5 2" xfId="53905"/>
    <cellStyle name="Процентный 7 9 6" xfId="32545"/>
    <cellStyle name="Процентный 7 90" xfId="3239"/>
    <cellStyle name="Процентный 7 90 2" xfId="8580"/>
    <cellStyle name="Процентный 7 90 2 2" xfId="19260"/>
    <cellStyle name="Процентный 7 90 2 2 2" xfId="51304"/>
    <cellStyle name="Процентный 7 90 2 3" xfId="29941"/>
    <cellStyle name="Процентный 7 90 2 3 2" xfId="61984"/>
    <cellStyle name="Процентный 7 90 2 4" xfId="40624"/>
    <cellStyle name="Процентный 7 90 3" xfId="13920"/>
    <cellStyle name="Процентный 7 90 3 2" xfId="45964"/>
    <cellStyle name="Процентный 7 90 4" xfId="24601"/>
    <cellStyle name="Процентный 7 90 4 2" xfId="56644"/>
    <cellStyle name="Процентный 7 90 5" xfId="35284"/>
    <cellStyle name="Процентный 7 91" xfId="3271"/>
    <cellStyle name="Процентный 7 91 2" xfId="8612"/>
    <cellStyle name="Процентный 7 91 2 2" xfId="19292"/>
    <cellStyle name="Процентный 7 91 2 2 2" xfId="51336"/>
    <cellStyle name="Процентный 7 91 2 3" xfId="29973"/>
    <cellStyle name="Процентный 7 91 2 3 2" xfId="62016"/>
    <cellStyle name="Процентный 7 91 2 4" xfId="40656"/>
    <cellStyle name="Процентный 7 91 3" xfId="13952"/>
    <cellStyle name="Процентный 7 91 3 2" xfId="45996"/>
    <cellStyle name="Процентный 7 91 4" xfId="24633"/>
    <cellStyle name="Процентный 7 91 4 2" xfId="56676"/>
    <cellStyle name="Процентный 7 91 5" xfId="35316"/>
    <cellStyle name="Процентный 7 92" xfId="3303"/>
    <cellStyle name="Процентный 7 92 2" xfId="8644"/>
    <cellStyle name="Процентный 7 92 2 2" xfId="19324"/>
    <cellStyle name="Процентный 7 92 2 2 2" xfId="51368"/>
    <cellStyle name="Процентный 7 92 2 3" xfId="30005"/>
    <cellStyle name="Процентный 7 92 2 3 2" xfId="62048"/>
    <cellStyle name="Процентный 7 92 2 4" xfId="40688"/>
    <cellStyle name="Процентный 7 92 3" xfId="13984"/>
    <cellStyle name="Процентный 7 92 3 2" xfId="46028"/>
    <cellStyle name="Процентный 7 92 4" xfId="24665"/>
    <cellStyle name="Процентный 7 92 4 2" xfId="56708"/>
    <cellStyle name="Процентный 7 92 5" xfId="35348"/>
    <cellStyle name="Процентный 7 93" xfId="3335"/>
    <cellStyle name="Процентный 7 93 2" xfId="8676"/>
    <cellStyle name="Процентный 7 93 2 2" xfId="19356"/>
    <cellStyle name="Процентный 7 93 2 2 2" xfId="51400"/>
    <cellStyle name="Процентный 7 93 2 3" xfId="30037"/>
    <cellStyle name="Процентный 7 93 2 3 2" xfId="62080"/>
    <cellStyle name="Процентный 7 93 2 4" xfId="40720"/>
    <cellStyle name="Процентный 7 93 3" xfId="14016"/>
    <cellStyle name="Процентный 7 93 3 2" xfId="46060"/>
    <cellStyle name="Процентный 7 93 4" xfId="24697"/>
    <cellStyle name="Процентный 7 93 4 2" xfId="56740"/>
    <cellStyle name="Процентный 7 93 5" xfId="35380"/>
    <cellStyle name="Процентный 7 94" xfId="3367"/>
    <cellStyle name="Процентный 7 94 2" xfId="8708"/>
    <cellStyle name="Процентный 7 94 2 2" xfId="19388"/>
    <cellStyle name="Процентный 7 94 2 2 2" xfId="51432"/>
    <cellStyle name="Процентный 7 94 2 3" xfId="30069"/>
    <cellStyle name="Процентный 7 94 2 3 2" xfId="62112"/>
    <cellStyle name="Процентный 7 94 2 4" xfId="40752"/>
    <cellStyle name="Процентный 7 94 3" xfId="14048"/>
    <cellStyle name="Процентный 7 94 3 2" xfId="46092"/>
    <cellStyle name="Процентный 7 94 4" xfId="24729"/>
    <cellStyle name="Процентный 7 94 4 2" xfId="56772"/>
    <cellStyle name="Процентный 7 94 5" xfId="35412"/>
    <cellStyle name="Процентный 7 95" xfId="3399"/>
    <cellStyle name="Процентный 7 95 2" xfId="8740"/>
    <cellStyle name="Процентный 7 95 2 2" xfId="19420"/>
    <cellStyle name="Процентный 7 95 2 2 2" xfId="51464"/>
    <cellStyle name="Процентный 7 95 2 3" xfId="30101"/>
    <cellStyle name="Процентный 7 95 2 3 2" xfId="62144"/>
    <cellStyle name="Процентный 7 95 2 4" xfId="40784"/>
    <cellStyle name="Процентный 7 95 3" xfId="14080"/>
    <cellStyle name="Процентный 7 95 3 2" xfId="46124"/>
    <cellStyle name="Процентный 7 95 4" xfId="24761"/>
    <cellStyle name="Процентный 7 95 4 2" xfId="56804"/>
    <cellStyle name="Процентный 7 95 5" xfId="35444"/>
    <cellStyle name="Процентный 7 96" xfId="3431"/>
    <cellStyle name="Процентный 7 96 2" xfId="8772"/>
    <cellStyle name="Процентный 7 96 2 2" xfId="19452"/>
    <cellStyle name="Процентный 7 96 2 2 2" xfId="51496"/>
    <cellStyle name="Процентный 7 96 2 3" xfId="30133"/>
    <cellStyle name="Процентный 7 96 2 3 2" xfId="62176"/>
    <cellStyle name="Процентный 7 96 2 4" xfId="40816"/>
    <cellStyle name="Процентный 7 96 3" xfId="14112"/>
    <cellStyle name="Процентный 7 96 3 2" xfId="46156"/>
    <cellStyle name="Процентный 7 96 4" xfId="24793"/>
    <cellStyle name="Процентный 7 96 4 2" xfId="56836"/>
    <cellStyle name="Процентный 7 96 5" xfId="35476"/>
    <cellStyle name="Процентный 7 97" xfId="3463"/>
    <cellStyle name="Процентный 7 97 2" xfId="8804"/>
    <cellStyle name="Процентный 7 97 2 2" xfId="19484"/>
    <cellStyle name="Процентный 7 97 2 2 2" xfId="51528"/>
    <cellStyle name="Процентный 7 97 2 3" xfId="30165"/>
    <cellStyle name="Процентный 7 97 2 3 2" xfId="62208"/>
    <cellStyle name="Процентный 7 97 2 4" xfId="40848"/>
    <cellStyle name="Процентный 7 97 3" xfId="14144"/>
    <cellStyle name="Процентный 7 97 3 2" xfId="46188"/>
    <cellStyle name="Процентный 7 97 4" xfId="24825"/>
    <cellStyle name="Процентный 7 97 4 2" xfId="56868"/>
    <cellStyle name="Процентный 7 97 5" xfId="35508"/>
    <cellStyle name="Процентный 7 98" xfId="3495"/>
    <cellStyle name="Процентный 7 98 2" xfId="8836"/>
    <cellStyle name="Процентный 7 98 2 2" xfId="19516"/>
    <cellStyle name="Процентный 7 98 2 2 2" xfId="51560"/>
    <cellStyle name="Процентный 7 98 2 3" xfId="30197"/>
    <cellStyle name="Процентный 7 98 2 3 2" xfId="62240"/>
    <cellStyle name="Процентный 7 98 2 4" xfId="40880"/>
    <cellStyle name="Процентный 7 98 3" xfId="14176"/>
    <cellStyle name="Процентный 7 98 3 2" xfId="46220"/>
    <cellStyle name="Процентный 7 98 4" xfId="24857"/>
    <cellStyle name="Процентный 7 98 4 2" xfId="56900"/>
    <cellStyle name="Процентный 7 98 5" xfId="35540"/>
    <cellStyle name="Процентный 7 99" xfId="3527"/>
    <cellStyle name="Процентный 7 99 2" xfId="8868"/>
    <cellStyle name="Процентный 7 99 2 2" xfId="19548"/>
    <cellStyle name="Процентный 7 99 2 2 2" xfId="51592"/>
    <cellStyle name="Процентный 7 99 2 3" xfId="30229"/>
    <cellStyle name="Процентный 7 99 2 3 2" xfId="62272"/>
    <cellStyle name="Процентный 7 99 2 4" xfId="40912"/>
    <cellStyle name="Процентный 7 99 3" xfId="14208"/>
    <cellStyle name="Процентный 7 99 3 2" xfId="46252"/>
    <cellStyle name="Процентный 7 99 4" xfId="24889"/>
    <cellStyle name="Процентный 7 99 4 2" xfId="56932"/>
    <cellStyle name="Процентный 7 99 5" xfId="35572"/>
    <cellStyle name="Процентный 8" xfId="1039"/>
    <cellStyle name="Процентный 8 10" xfId="1273"/>
    <cellStyle name="Процентный 8 10 2" xfId="6616"/>
    <cellStyle name="Процентный 8 10 2 2" xfId="17296"/>
    <cellStyle name="Процентный 8 10 2 2 2" xfId="49340"/>
    <cellStyle name="Процентный 8 10 2 3" xfId="27977"/>
    <cellStyle name="Процентный 8 10 2 3 2" xfId="60020"/>
    <cellStyle name="Процентный 8 10 2 4" xfId="38660"/>
    <cellStyle name="Процентный 8 10 3" xfId="11956"/>
    <cellStyle name="Процентный 8 10 3 2" xfId="44000"/>
    <cellStyle name="Процентный 8 10 4" xfId="22637"/>
    <cellStyle name="Процентный 8 10 4 2" xfId="54680"/>
    <cellStyle name="Процентный 8 10 5" xfId="33320"/>
    <cellStyle name="Процентный 8 100" xfId="3957"/>
    <cellStyle name="Процентный 8 100 2" xfId="9298"/>
    <cellStyle name="Процентный 8 100 2 2" xfId="19978"/>
    <cellStyle name="Процентный 8 100 2 2 2" xfId="52022"/>
    <cellStyle name="Процентный 8 100 2 3" xfId="30659"/>
    <cellStyle name="Процентный 8 100 2 3 2" xfId="62702"/>
    <cellStyle name="Процентный 8 100 2 4" xfId="41342"/>
    <cellStyle name="Процентный 8 100 3" xfId="14638"/>
    <cellStyle name="Процентный 8 100 3 2" xfId="46682"/>
    <cellStyle name="Процентный 8 100 4" xfId="25319"/>
    <cellStyle name="Процентный 8 100 4 2" xfId="57362"/>
    <cellStyle name="Процентный 8 100 5" xfId="36002"/>
    <cellStyle name="Процентный 8 101" xfId="3989"/>
    <cellStyle name="Процентный 8 101 2" xfId="9330"/>
    <cellStyle name="Процентный 8 101 2 2" xfId="20010"/>
    <cellStyle name="Процентный 8 101 2 2 2" xfId="52054"/>
    <cellStyle name="Процентный 8 101 2 3" xfId="30691"/>
    <cellStyle name="Процентный 8 101 2 3 2" xfId="62734"/>
    <cellStyle name="Процентный 8 101 2 4" xfId="41374"/>
    <cellStyle name="Процентный 8 101 3" xfId="14670"/>
    <cellStyle name="Процентный 8 101 3 2" xfId="46714"/>
    <cellStyle name="Процентный 8 101 4" xfId="25351"/>
    <cellStyle name="Процентный 8 101 4 2" xfId="57394"/>
    <cellStyle name="Процентный 8 101 5" xfId="36034"/>
    <cellStyle name="Процентный 8 102" xfId="4021"/>
    <cellStyle name="Процентный 8 102 2" xfId="9362"/>
    <cellStyle name="Процентный 8 102 2 2" xfId="20042"/>
    <cellStyle name="Процентный 8 102 2 2 2" xfId="52086"/>
    <cellStyle name="Процентный 8 102 2 3" xfId="30723"/>
    <cellStyle name="Процентный 8 102 2 3 2" xfId="62766"/>
    <cellStyle name="Процентный 8 102 2 4" xfId="41406"/>
    <cellStyle name="Процентный 8 102 3" xfId="14702"/>
    <cellStyle name="Процентный 8 102 3 2" xfId="46746"/>
    <cellStyle name="Процентный 8 102 4" xfId="25383"/>
    <cellStyle name="Процентный 8 102 4 2" xfId="57426"/>
    <cellStyle name="Процентный 8 102 5" xfId="36066"/>
    <cellStyle name="Процентный 8 103" xfId="4053"/>
    <cellStyle name="Процентный 8 103 2" xfId="9394"/>
    <cellStyle name="Процентный 8 103 2 2" xfId="20074"/>
    <cellStyle name="Процентный 8 103 2 2 2" xfId="52118"/>
    <cellStyle name="Процентный 8 103 2 3" xfId="30755"/>
    <cellStyle name="Процентный 8 103 2 3 2" xfId="62798"/>
    <cellStyle name="Процентный 8 103 2 4" xfId="41438"/>
    <cellStyle name="Процентный 8 103 3" xfId="14734"/>
    <cellStyle name="Процентный 8 103 3 2" xfId="46778"/>
    <cellStyle name="Процентный 8 103 4" xfId="25415"/>
    <cellStyle name="Процентный 8 103 4 2" xfId="57458"/>
    <cellStyle name="Процентный 8 103 5" xfId="36098"/>
    <cellStyle name="Процентный 8 104" xfId="4085"/>
    <cellStyle name="Процентный 8 104 2" xfId="9426"/>
    <cellStyle name="Процентный 8 104 2 2" xfId="20106"/>
    <cellStyle name="Процентный 8 104 2 2 2" xfId="52150"/>
    <cellStyle name="Процентный 8 104 2 3" xfId="30787"/>
    <cellStyle name="Процентный 8 104 2 3 2" xfId="62830"/>
    <cellStyle name="Процентный 8 104 2 4" xfId="41470"/>
    <cellStyle name="Процентный 8 104 3" xfId="14766"/>
    <cellStyle name="Процентный 8 104 3 2" xfId="46810"/>
    <cellStyle name="Процентный 8 104 4" xfId="25447"/>
    <cellStyle name="Процентный 8 104 4 2" xfId="57490"/>
    <cellStyle name="Процентный 8 104 5" xfId="36130"/>
    <cellStyle name="Процентный 8 105" xfId="4117"/>
    <cellStyle name="Процентный 8 105 2" xfId="9458"/>
    <cellStyle name="Процентный 8 105 2 2" xfId="20138"/>
    <cellStyle name="Процентный 8 105 2 2 2" xfId="52182"/>
    <cellStyle name="Процентный 8 105 2 3" xfId="30819"/>
    <cellStyle name="Процентный 8 105 2 3 2" xfId="62862"/>
    <cellStyle name="Процентный 8 105 2 4" xfId="41502"/>
    <cellStyle name="Процентный 8 105 3" xfId="14798"/>
    <cellStyle name="Процентный 8 105 3 2" xfId="46842"/>
    <cellStyle name="Процентный 8 105 4" xfId="25479"/>
    <cellStyle name="Процентный 8 105 4 2" xfId="57522"/>
    <cellStyle name="Процентный 8 105 5" xfId="36162"/>
    <cellStyle name="Процентный 8 106" xfId="4149"/>
    <cellStyle name="Процентный 8 106 2" xfId="9490"/>
    <cellStyle name="Процентный 8 106 2 2" xfId="20170"/>
    <cellStyle name="Процентный 8 106 2 2 2" xfId="52214"/>
    <cellStyle name="Процентный 8 106 2 3" xfId="30851"/>
    <cellStyle name="Процентный 8 106 2 3 2" xfId="62894"/>
    <cellStyle name="Процентный 8 106 2 4" xfId="41534"/>
    <cellStyle name="Процентный 8 106 3" xfId="14830"/>
    <cellStyle name="Процентный 8 106 3 2" xfId="46874"/>
    <cellStyle name="Процентный 8 106 4" xfId="25511"/>
    <cellStyle name="Процентный 8 106 4 2" xfId="57554"/>
    <cellStyle name="Процентный 8 106 5" xfId="36194"/>
    <cellStyle name="Процентный 8 107" xfId="4181"/>
    <cellStyle name="Процентный 8 107 2" xfId="9522"/>
    <cellStyle name="Процентный 8 107 2 2" xfId="20202"/>
    <cellStyle name="Процентный 8 107 2 2 2" xfId="52246"/>
    <cellStyle name="Процентный 8 107 2 3" xfId="30883"/>
    <cellStyle name="Процентный 8 107 2 3 2" xfId="62926"/>
    <cellStyle name="Процентный 8 107 2 4" xfId="41566"/>
    <cellStyle name="Процентный 8 107 3" xfId="14862"/>
    <cellStyle name="Процентный 8 107 3 2" xfId="46906"/>
    <cellStyle name="Процентный 8 107 4" xfId="25543"/>
    <cellStyle name="Процентный 8 107 4 2" xfId="57586"/>
    <cellStyle name="Процентный 8 107 5" xfId="36226"/>
    <cellStyle name="Процентный 8 108" xfId="4213"/>
    <cellStyle name="Процентный 8 108 2" xfId="9554"/>
    <cellStyle name="Процентный 8 108 2 2" xfId="20234"/>
    <cellStyle name="Процентный 8 108 2 2 2" xfId="52278"/>
    <cellStyle name="Процентный 8 108 2 3" xfId="30915"/>
    <cellStyle name="Процентный 8 108 2 3 2" xfId="62958"/>
    <cellStyle name="Процентный 8 108 2 4" xfId="41598"/>
    <cellStyle name="Процентный 8 108 3" xfId="14894"/>
    <cellStyle name="Процентный 8 108 3 2" xfId="46938"/>
    <cellStyle name="Процентный 8 108 4" xfId="25575"/>
    <cellStyle name="Процентный 8 108 4 2" xfId="57618"/>
    <cellStyle name="Процентный 8 108 5" xfId="36258"/>
    <cellStyle name="Процентный 8 109" xfId="4245"/>
    <cellStyle name="Процентный 8 109 2" xfId="9586"/>
    <cellStyle name="Процентный 8 109 2 2" xfId="20266"/>
    <cellStyle name="Процентный 8 109 2 2 2" xfId="52310"/>
    <cellStyle name="Процентный 8 109 2 3" xfId="30947"/>
    <cellStyle name="Процентный 8 109 2 3 2" xfId="62990"/>
    <cellStyle name="Процентный 8 109 2 4" xfId="41630"/>
    <cellStyle name="Процентный 8 109 3" xfId="14926"/>
    <cellStyle name="Процентный 8 109 3 2" xfId="46970"/>
    <cellStyle name="Процентный 8 109 4" xfId="25607"/>
    <cellStyle name="Процентный 8 109 4 2" xfId="57650"/>
    <cellStyle name="Процентный 8 109 5" xfId="36290"/>
    <cellStyle name="Процентный 8 11" xfId="1299"/>
    <cellStyle name="Процентный 8 11 2" xfId="6642"/>
    <cellStyle name="Процентный 8 11 2 2" xfId="17322"/>
    <cellStyle name="Процентный 8 11 2 2 2" xfId="49366"/>
    <cellStyle name="Процентный 8 11 2 3" xfId="28003"/>
    <cellStyle name="Процентный 8 11 2 3 2" xfId="60046"/>
    <cellStyle name="Процентный 8 11 2 4" xfId="38686"/>
    <cellStyle name="Процентный 8 11 3" xfId="11982"/>
    <cellStyle name="Процентный 8 11 3 2" xfId="44026"/>
    <cellStyle name="Процентный 8 11 4" xfId="22663"/>
    <cellStyle name="Процентный 8 11 4 2" xfId="54706"/>
    <cellStyle name="Процентный 8 11 5" xfId="33346"/>
    <cellStyle name="Процентный 8 110" xfId="4277"/>
    <cellStyle name="Процентный 8 110 2" xfId="9618"/>
    <cellStyle name="Процентный 8 110 2 2" xfId="20298"/>
    <cellStyle name="Процентный 8 110 2 2 2" xfId="52342"/>
    <cellStyle name="Процентный 8 110 2 3" xfId="30979"/>
    <cellStyle name="Процентный 8 110 2 3 2" xfId="63022"/>
    <cellStyle name="Процентный 8 110 2 4" xfId="41662"/>
    <cellStyle name="Процентный 8 110 3" xfId="14958"/>
    <cellStyle name="Процентный 8 110 3 2" xfId="47002"/>
    <cellStyle name="Процентный 8 110 4" xfId="25639"/>
    <cellStyle name="Процентный 8 110 4 2" xfId="57682"/>
    <cellStyle name="Процентный 8 110 5" xfId="36322"/>
    <cellStyle name="Процентный 8 111" xfId="4309"/>
    <cellStyle name="Процентный 8 111 2" xfId="9650"/>
    <cellStyle name="Процентный 8 111 2 2" xfId="20330"/>
    <cellStyle name="Процентный 8 111 2 2 2" xfId="52374"/>
    <cellStyle name="Процентный 8 111 2 3" xfId="31011"/>
    <cellStyle name="Процентный 8 111 2 3 2" xfId="63054"/>
    <cellStyle name="Процентный 8 111 2 4" xfId="41694"/>
    <cellStyle name="Процентный 8 111 3" xfId="14990"/>
    <cellStyle name="Процентный 8 111 3 2" xfId="47034"/>
    <cellStyle name="Процентный 8 111 4" xfId="25671"/>
    <cellStyle name="Процентный 8 111 4 2" xfId="57714"/>
    <cellStyle name="Процентный 8 111 5" xfId="36354"/>
    <cellStyle name="Процентный 8 112" xfId="4341"/>
    <cellStyle name="Процентный 8 112 2" xfId="9682"/>
    <cellStyle name="Процентный 8 112 2 2" xfId="20362"/>
    <cellStyle name="Процентный 8 112 2 2 2" xfId="52406"/>
    <cellStyle name="Процентный 8 112 2 3" xfId="31043"/>
    <cellStyle name="Процентный 8 112 2 3 2" xfId="63086"/>
    <cellStyle name="Процентный 8 112 2 4" xfId="41726"/>
    <cellStyle name="Процентный 8 112 3" xfId="15022"/>
    <cellStyle name="Процентный 8 112 3 2" xfId="47066"/>
    <cellStyle name="Процентный 8 112 4" xfId="25703"/>
    <cellStyle name="Процентный 8 112 4 2" xfId="57746"/>
    <cellStyle name="Процентный 8 112 5" xfId="36386"/>
    <cellStyle name="Процентный 8 113" xfId="4373"/>
    <cellStyle name="Процентный 8 113 2" xfId="9714"/>
    <cellStyle name="Процентный 8 113 2 2" xfId="20394"/>
    <cellStyle name="Процентный 8 113 2 2 2" xfId="52438"/>
    <cellStyle name="Процентный 8 113 2 3" xfId="31075"/>
    <cellStyle name="Процентный 8 113 2 3 2" xfId="63118"/>
    <cellStyle name="Процентный 8 113 2 4" xfId="41758"/>
    <cellStyle name="Процентный 8 113 3" xfId="15054"/>
    <cellStyle name="Процентный 8 113 3 2" xfId="47098"/>
    <cellStyle name="Процентный 8 113 4" xfId="25735"/>
    <cellStyle name="Процентный 8 113 4 2" xfId="57778"/>
    <cellStyle name="Процентный 8 113 5" xfId="36418"/>
    <cellStyle name="Процентный 8 114" xfId="4405"/>
    <cellStyle name="Процентный 8 114 2" xfId="9746"/>
    <cellStyle name="Процентный 8 114 2 2" xfId="20426"/>
    <cellStyle name="Процентный 8 114 2 2 2" xfId="52470"/>
    <cellStyle name="Процентный 8 114 2 3" xfId="31107"/>
    <cellStyle name="Процентный 8 114 2 3 2" xfId="63150"/>
    <cellStyle name="Процентный 8 114 2 4" xfId="41790"/>
    <cellStyle name="Процентный 8 114 3" xfId="15086"/>
    <cellStyle name="Процентный 8 114 3 2" xfId="47130"/>
    <cellStyle name="Процентный 8 114 4" xfId="25767"/>
    <cellStyle name="Процентный 8 114 4 2" xfId="57810"/>
    <cellStyle name="Процентный 8 114 5" xfId="36450"/>
    <cellStyle name="Процентный 8 115" xfId="4437"/>
    <cellStyle name="Процентный 8 115 2" xfId="9778"/>
    <cellStyle name="Процентный 8 115 2 2" xfId="20458"/>
    <cellStyle name="Процентный 8 115 2 2 2" xfId="52502"/>
    <cellStyle name="Процентный 8 115 2 3" xfId="31139"/>
    <cellStyle name="Процентный 8 115 2 3 2" xfId="63182"/>
    <cellStyle name="Процентный 8 115 2 4" xfId="41822"/>
    <cellStyle name="Процентный 8 115 3" xfId="15118"/>
    <cellStyle name="Процентный 8 115 3 2" xfId="47162"/>
    <cellStyle name="Процентный 8 115 4" xfId="25799"/>
    <cellStyle name="Процентный 8 115 4 2" xfId="57842"/>
    <cellStyle name="Процентный 8 115 5" xfId="36482"/>
    <cellStyle name="Процентный 8 116" xfId="4469"/>
    <cellStyle name="Процентный 8 116 2" xfId="9810"/>
    <cellStyle name="Процентный 8 116 2 2" xfId="20490"/>
    <cellStyle name="Процентный 8 116 2 2 2" xfId="52534"/>
    <cellStyle name="Процентный 8 116 2 3" xfId="31171"/>
    <cellStyle name="Процентный 8 116 2 3 2" xfId="63214"/>
    <cellStyle name="Процентный 8 116 2 4" xfId="41854"/>
    <cellStyle name="Процентный 8 116 3" xfId="15150"/>
    <cellStyle name="Процентный 8 116 3 2" xfId="47194"/>
    <cellStyle name="Процентный 8 116 4" xfId="25831"/>
    <cellStyle name="Процентный 8 116 4 2" xfId="57874"/>
    <cellStyle name="Процентный 8 116 5" xfId="36514"/>
    <cellStyle name="Процентный 8 117" xfId="4501"/>
    <cellStyle name="Процентный 8 117 2" xfId="9842"/>
    <cellStyle name="Процентный 8 117 2 2" xfId="20522"/>
    <cellStyle name="Процентный 8 117 2 2 2" xfId="52566"/>
    <cellStyle name="Процентный 8 117 2 3" xfId="31203"/>
    <cellStyle name="Процентный 8 117 2 3 2" xfId="63246"/>
    <cellStyle name="Процентный 8 117 2 4" xfId="41886"/>
    <cellStyle name="Процентный 8 117 3" xfId="15182"/>
    <cellStyle name="Процентный 8 117 3 2" xfId="47226"/>
    <cellStyle name="Процентный 8 117 4" xfId="25863"/>
    <cellStyle name="Процентный 8 117 4 2" xfId="57906"/>
    <cellStyle name="Процентный 8 117 5" xfId="36546"/>
    <cellStyle name="Процентный 8 118" xfId="4533"/>
    <cellStyle name="Процентный 8 118 2" xfId="9874"/>
    <cellStyle name="Процентный 8 118 2 2" xfId="20554"/>
    <cellStyle name="Процентный 8 118 2 2 2" xfId="52598"/>
    <cellStyle name="Процентный 8 118 2 3" xfId="31235"/>
    <cellStyle name="Процентный 8 118 2 3 2" xfId="63278"/>
    <cellStyle name="Процентный 8 118 2 4" xfId="41918"/>
    <cellStyle name="Процентный 8 118 3" xfId="15214"/>
    <cellStyle name="Процентный 8 118 3 2" xfId="47258"/>
    <cellStyle name="Процентный 8 118 4" xfId="25895"/>
    <cellStyle name="Процентный 8 118 4 2" xfId="57938"/>
    <cellStyle name="Процентный 8 118 5" xfId="36578"/>
    <cellStyle name="Процентный 8 119" xfId="4565"/>
    <cellStyle name="Процентный 8 119 2" xfId="9906"/>
    <cellStyle name="Процентный 8 119 2 2" xfId="20586"/>
    <cellStyle name="Процентный 8 119 2 2 2" xfId="52630"/>
    <cellStyle name="Процентный 8 119 2 3" xfId="31267"/>
    <cellStyle name="Процентный 8 119 2 3 2" xfId="63310"/>
    <cellStyle name="Процентный 8 119 2 4" xfId="41950"/>
    <cellStyle name="Процентный 8 119 3" xfId="15246"/>
    <cellStyle name="Процентный 8 119 3 2" xfId="47290"/>
    <cellStyle name="Процентный 8 119 4" xfId="25927"/>
    <cellStyle name="Процентный 8 119 4 2" xfId="57970"/>
    <cellStyle name="Процентный 8 119 5" xfId="36610"/>
    <cellStyle name="Процентный 8 12" xfId="1326"/>
    <cellStyle name="Процентный 8 12 2" xfId="6668"/>
    <cellStyle name="Процентный 8 12 2 2" xfId="17348"/>
    <cellStyle name="Процентный 8 12 2 2 2" xfId="49392"/>
    <cellStyle name="Процентный 8 12 2 3" xfId="28029"/>
    <cellStyle name="Процентный 8 12 2 3 2" xfId="60072"/>
    <cellStyle name="Процентный 8 12 2 4" xfId="38712"/>
    <cellStyle name="Процентный 8 12 3" xfId="12008"/>
    <cellStyle name="Процентный 8 12 3 2" xfId="44052"/>
    <cellStyle name="Процентный 8 12 4" xfId="22689"/>
    <cellStyle name="Процентный 8 12 4 2" xfId="54732"/>
    <cellStyle name="Процентный 8 12 5" xfId="33372"/>
    <cellStyle name="Процентный 8 120" xfId="4597"/>
    <cellStyle name="Процентный 8 120 2" xfId="9938"/>
    <cellStyle name="Процентный 8 120 2 2" xfId="20618"/>
    <cellStyle name="Процентный 8 120 2 2 2" xfId="52662"/>
    <cellStyle name="Процентный 8 120 2 3" xfId="31299"/>
    <cellStyle name="Процентный 8 120 2 3 2" xfId="63342"/>
    <cellStyle name="Процентный 8 120 2 4" xfId="41982"/>
    <cellStyle name="Процентный 8 120 3" xfId="15278"/>
    <cellStyle name="Процентный 8 120 3 2" xfId="47322"/>
    <cellStyle name="Процентный 8 120 4" xfId="25959"/>
    <cellStyle name="Процентный 8 120 4 2" xfId="58002"/>
    <cellStyle name="Процентный 8 120 5" xfId="36642"/>
    <cellStyle name="Процентный 8 121" xfId="4629"/>
    <cellStyle name="Процентный 8 121 2" xfId="9970"/>
    <cellStyle name="Процентный 8 121 2 2" xfId="20650"/>
    <cellStyle name="Процентный 8 121 2 2 2" xfId="52694"/>
    <cellStyle name="Процентный 8 121 2 3" xfId="31331"/>
    <cellStyle name="Процентный 8 121 2 3 2" xfId="63374"/>
    <cellStyle name="Процентный 8 121 2 4" xfId="42014"/>
    <cellStyle name="Процентный 8 121 3" xfId="15310"/>
    <cellStyle name="Процентный 8 121 3 2" xfId="47354"/>
    <cellStyle name="Процентный 8 121 4" xfId="25991"/>
    <cellStyle name="Процентный 8 121 4 2" xfId="58034"/>
    <cellStyle name="Процентный 8 121 5" xfId="36674"/>
    <cellStyle name="Процентный 8 122" xfId="4661"/>
    <cellStyle name="Процентный 8 122 2" xfId="10002"/>
    <cellStyle name="Процентный 8 122 2 2" xfId="20682"/>
    <cellStyle name="Процентный 8 122 2 2 2" xfId="52726"/>
    <cellStyle name="Процентный 8 122 2 3" xfId="31363"/>
    <cellStyle name="Процентный 8 122 2 3 2" xfId="63406"/>
    <cellStyle name="Процентный 8 122 2 4" xfId="42046"/>
    <cellStyle name="Процентный 8 122 3" xfId="15342"/>
    <cellStyle name="Процентный 8 122 3 2" xfId="47386"/>
    <cellStyle name="Процентный 8 122 4" xfId="26023"/>
    <cellStyle name="Процентный 8 122 4 2" xfId="58066"/>
    <cellStyle name="Процентный 8 122 5" xfId="36706"/>
    <cellStyle name="Процентный 8 123" xfId="4693"/>
    <cellStyle name="Процентный 8 123 2" xfId="10034"/>
    <cellStyle name="Процентный 8 123 2 2" xfId="20714"/>
    <cellStyle name="Процентный 8 123 2 2 2" xfId="52758"/>
    <cellStyle name="Процентный 8 123 2 3" xfId="31395"/>
    <cellStyle name="Процентный 8 123 2 3 2" xfId="63438"/>
    <cellStyle name="Процентный 8 123 2 4" xfId="42078"/>
    <cellStyle name="Процентный 8 123 3" xfId="15374"/>
    <cellStyle name="Процентный 8 123 3 2" xfId="47418"/>
    <cellStyle name="Процентный 8 123 4" xfId="26055"/>
    <cellStyle name="Процентный 8 123 4 2" xfId="58098"/>
    <cellStyle name="Процентный 8 123 5" xfId="36738"/>
    <cellStyle name="Процентный 8 124" xfId="4727"/>
    <cellStyle name="Процентный 8 124 2" xfId="10068"/>
    <cellStyle name="Процентный 8 124 2 2" xfId="20748"/>
    <cellStyle name="Процентный 8 124 2 2 2" xfId="52792"/>
    <cellStyle name="Процентный 8 124 2 3" xfId="31429"/>
    <cellStyle name="Процентный 8 124 2 3 2" xfId="63472"/>
    <cellStyle name="Процентный 8 124 2 4" xfId="42112"/>
    <cellStyle name="Процентный 8 124 3" xfId="15408"/>
    <cellStyle name="Процентный 8 124 3 2" xfId="47452"/>
    <cellStyle name="Процентный 8 124 4" xfId="26089"/>
    <cellStyle name="Процентный 8 124 4 2" xfId="58132"/>
    <cellStyle name="Процентный 8 124 5" xfId="36772"/>
    <cellStyle name="Процентный 8 125" xfId="4759"/>
    <cellStyle name="Процентный 8 125 2" xfId="10100"/>
    <cellStyle name="Процентный 8 125 2 2" xfId="20780"/>
    <cellStyle name="Процентный 8 125 2 2 2" xfId="52824"/>
    <cellStyle name="Процентный 8 125 2 3" xfId="31461"/>
    <cellStyle name="Процентный 8 125 2 3 2" xfId="63504"/>
    <cellStyle name="Процентный 8 125 2 4" xfId="42144"/>
    <cellStyle name="Процентный 8 125 3" xfId="15440"/>
    <cellStyle name="Процентный 8 125 3 2" xfId="47484"/>
    <cellStyle name="Процентный 8 125 4" xfId="26121"/>
    <cellStyle name="Процентный 8 125 4 2" xfId="58164"/>
    <cellStyle name="Процентный 8 125 5" xfId="36804"/>
    <cellStyle name="Процентный 8 126" xfId="4791"/>
    <cellStyle name="Процентный 8 126 2" xfId="10132"/>
    <cellStyle name="Процентный 8 126 2 2" xfId="20812"/>
    <cellStyle name="Процентный 8 126 2 2 2" xfId="52856"/>
    <cellStyle name="Процентный 8 126 2 3" xfId="31493"/>
    <cellStyle name="Процентный 8 126 2 3 2" xfId="63536"/>
    <cellStyle name="Процентный 8 126 2 4" xfId="42176"/>
    <cellStyle name="Процентный 8 126 3" xfId="15472"/>
    <cellStyle name="Процентный 8 126 3 2" xfId="47516"/>
    <cellStyle name="Процентный 8 126 4" xfId="26153"/>
    <cellStyle name="Процентный 8 126 4 2" xfId="58196"/>
    <cellStyle name="Процентный 8 126 5" xfId="36836"/>
    <cellStyle name="Процентный 8 127" xfId="4823"/>
    <cellStyle name="Процентный 8 127 2" xfId="10164"/>
    <cellStyle name="Процентный 8 127 2 2" xfId="20844"/>
    <cellStyle name="Процентный 8 127 2 2 2" xfId="52888"/>
    <cellStyle name="Процентный 8 127 2 3" xfId="31525"/>
    <cellStyle name="Процентный 8 127 2 3 2" xfId="63568"/>
    <cellStyle name="Процентный 8 127 2 4" xfId="42208"/>
    <cellStyle name="Процентный 8 127 3" xfId="15504"/>
    <cellStyle name="Процентный 8 127 3 2" xfId="47548"/>
    <cellStyle name="Процентный 8 127 4" xfId="26185"/>
    <cellStyle name="Процентный 8 127 4 2" xfId="58228"/>
    <cellStyle name="Процентный 8 127 5" xfId="36868"/>
    <cellStyle name="Процентный 8 128" xfId="4855"/>
    <cellStyle name="Процентный 8 128 2" xfId="10196"/>
    <cellStyle name="Процентный 8 128 2 2" xfId="20876"/>
    <cellStyle name="Процентный 8 128 2 2 2" xfId="52920"/>
    <cellStyle name="Процентный 8 128 2 3" xfId="31557"/>
    <cellStyle name="Процентный 8 128 2 3 2" xfId="63600"/>
    <cellStyle name="Процентный 8 128 2 4" xfId="42240"/>
    <cellStyle name="Процентный 8 128 3" xfId="15536"/>
    <cellStyle name="Процентный 8 128 3 2" xfId="47580"/>
    <cellStyle name="Процентный 8 128 4" xfId="26217"/>
    <cellStyle name="Процентный 8 128 4 2" xfId="58260"/>
    <cellStyle name="Процентный 8 128 5" xfId="36900"/>
    <cellStyle name="Процентный 8 129" xfId="4887"/>
    <cellStyle name="Процентный 8 129 2" xfId="10228"/>
    <cellStyle name="Процентный 8 129 2 2" xfId="20908"/>
    <cellStyle name="Процентный 8 129 2 2 2" xfId="52952"/>
    <cellStyle name="Процентный 8 129 2 3" xfId="31589"/>
    <cellStyle name="Процентный 8 129 2 3 2" xfId="63632"/>
    <cellStyle name="Процентный 8 129 2 4" xfId="42272"/>
    <cellStyle name="Процентный 8 129 3" xfId="15568"/>
    <cellStyle name="Процентный 8 129 3 2" xfId="47612"/>
    <cellStyle name="Процентный 8 129 4" xfId="26249"/>
    <cellStyle name="Процентный 8 129 4 2" xfId="58292"/>
    <cellStyle name="Процентный 8 129 5" xfId="36932"/>
    <cellStyle name="Процентный 8 13" xfId="1352"/>
    <cellStyle name="Процентный 8 13 2" xfId="6694"/>
    <cellStyle name="Процентный 8 13 2 2" xfId="17374"/>
    <cellStyle name="Процентный 8 13 2 2 2" xfId="49418"/>
    <cellStyle name="Процентный 8 13 2 3" xfId="28055"/>
    <cellStyle name="Процентный 8 13 2 3 2" xfId="60098"/>
    <cellStyle name="Процентный 8 13 2 4" xfId="38738"/>
    <cellStyle name="Процентный 8 13 3" xfId="12034"/>
    <cellStyle name="Процентный 8 13 3 2" xfId="44078"/>
    <cellStyle name="Процентный 8 13 4" xfId="22715"/>
    <cellStyle name="Процентный 8 13 4 2" xfId="54758"/>
    <cellStyle name="Процентный 8 13 5" xfId="33398"/>
    <cellStyle name="Процентный 8 130" xfId="4919"/>
    <cellStyle name="Процентный 8 130 2" xfId="10260"/>
    <cellStyle name="Процентный 8 130 2 2" xfId="20940"/>
    <cellStyle name="Процентный 8 130 2 2 2" xfId="52984"/>
    <cellStyle name="Процентный 8 130 2 3" xfId="31621"/>
    <cellStyle name="Процентный 8 130 2 3 2" xfId="63664"/>
    <cellStyle name="Процентный 8 130 2 4" xfId="42304"/>
    <cellStyle name="Процентный 8 130 3" xfId="15600"/>
    <cellStyle name="Процентный 8 130 3 2" xfId="47644"/>
    <cellStyle name="Процентный 8 130 4" xfId="26281"/>
    <cellStyle name="Процентный 8 130 4 2" xfId="58324"/>
    <cellStyle name="Процентный 8 130 5" xfId="36964"/>
    <cellStyle name="Процентный 8 131" xfId="4951"/>
    <cellStyle name="Процентный 8 131 2" xfId="10292"/>
    <cellStyle name="Процентный 8 131 2 2" xfId="20972"/>
    <cellStyle name="Процентный 8 131 2 2 2" xfId="53016"/>
    <cellStyle name="Процентный 8 131 2 3" xfId="31653"/>
    <cellStyle name="Процентный 8 131 2 3 2" xfId="63696"/>
    <cellStyle name="Процентный 8 131 2 4" xfId="42336"/>
    <cellStyle name="Процентный 8 131 3" xfId="15632"/>
    <cellStyle name="Процентный 8 131 3 2" xfId="47676"/>
    <cellStyle name="Процентный 8 131 4" xfId="26313"/>
    <cellStyle name="Процентный 8 131 4 2" xfId="58356"/>
    <cellStyle name="Процентный 8 131 5" xfId="36996"/>
    <cellStyle name="Процентный 8 132" xfId="4983"/>
    <cellStyle name="Процентный 8 132 2" xfId="10324"/>
    <cellStyle name="Процентный 8 132 2 2" xfId="21004"/>
    <cellStyle name="Процентный 8 132 2 2 2" xfId="53048"/>
    <cellStyle name="Процентный 8 132 2 3" xfId="31685"/>
    <cellStyle name="Процентный 8 132 2 3 2" xfId="63728"/>
    <cellStyle name="Процентный 8 132 2 4" xfId="42368"/>
    <cellStyle name="Процентный 8 132 3" xfId="15664"/>
    <cellStyle name="Процентный 8 132 3 2" xfId="47708"/>
    <cellStyle name="Процентный 8 132 4" xfId="26345"/>
    <cellStyle name="Процентный 8 132 4 2" xfId="58388"/>
    <cellStyle name="Процентный 8 132 5" xfId="37028"/>
    <cellStyle name="Процентный 8 133" xfId="5015"/>
    <cellStyle name="Процентный 8 133 2" xfId="10356"/>
    <cellStyle name="Процентный 8 133 2 2" xfId="21036"/>
    <cellStyle name="Процентный 8 133 2 2 2" xfId="53080"/>
    <cellStyle name="Процентный 8 133 2 3" xfId="31717"/>
    <cellStyle name="Процентный 8 133 2 3 2" xfId="63760"/>
    <cellStyle name="Процентный 8 133 2 4" xfId="42400"/>
    <cellStyle name="Процентный 8 133 3" xfId="15696"/>
    <cellStyle name="Процентный 8 133 3 2" xfId="47740"/>
    <cellStyle name="Процентный 8 133 4" xfId="26377"/>
    <cellStyle name="Процентный 8 133 4 2" xfId="58420"/>
    <cellStyle name="Процентный 8 133 5" xfId="37060"/>
    <cellStyle name="Процентный 8 134" xfId="5047"/>
    <cellStyle name="Процентный 8 134 2" xfId="10388"/>
    <cellStyle name="Процентный 8 134 2 2" xfId="21068"/>
    <cellStyle name="Процентный 8 134 2 2 2" xfId="53112"/>
    <cellStyle name="Процентный 8 134 2 3" xfId="31749"/>
    <cellStyle name="Процентный 8 134 2 3 2" xfId="63792"/>
    <cellStyle name="Процентный 8 134 2 4" xfId="42432"/>
    <cellStyle name="Процентный 8 134 3" xfId="15728"/>
    <cellStyle name="Процентный 8 134 3 2" xfId="47772"/>
    <cellStyle name="Процентный 8 134 4" xfId="26409"/>
    <cellStyle name="Процентный 8 134 4 2" xfId="58452"/>
    <cellStyle name="Процентный 8 134 5" xfId="37092"/>
    <cellStyle name="Процентный 8 135" xfId="5079"/>
    <cellStyle name="Процентный 8 135 2" xfId="10420"/>
    <cellStyle name="Процентный 8 135 2 2" xfId="21100"/>
    <cellStyle name="Процентный 8 135 2 2 2" xfId="53144"/>
    <cellStyle name="Процентный 8 135 2 3" xfId="31781"/>
    <cellStyle name="Процентный 8 135 2 3 2" xfId="63824"/>
    <cellStyle name="Процентный 8 135 2 4" xfId="42464"/>
    <cellStyle name="Процентный 8 135 3" xfId="15760"/>
    <cellStyle name="Процентный 8 135 3 2" xfId="47804"/>
    <cellStyle name="Процентный 8 135 4" xfId="26441"/>
    <cellStyle name="Процентный 8 135 4 2" xfId="58484"/>
    <cellStyle name="Процентный 8 135 5" xfId="37124"/>
    <cellStyle name="Процентный 8 136" xfId="5111"/>
    <cellStyle name="Процентный 8 136 2" xfId="10452"/>
    <cellStyle name="Процентный 8 136 2 2" xfId="21132"/>
    <cellStyle name="Процентный 8 136 2 2 2" xfId="53176"/>
    <cellStyle name="Процентный 8 136 2 3" xfId="31813"/>
    <cellStyle name="Процентный 8 136 2 3 2" xfId="63856"/>
    <cellStyle name="Процентный 8 136 2 4" xfId="42496"/>
    <cellStyle name="Процентный 8 136 3" xfId="15792"/>
    <cellStyle name="Процентный 8 136 3 2" xfId="47836"/>
    <cellStyle name="Процентный 8 136 4" xfId="26473"/>
    <cellStyle name="Процентный 8 136 4 2" xfId="58516"/>
    <cellStyle name="Процентный 8 136 5" xfId="37156"/>
    <cellStyle name="Процентный 8 137" xfId="5143"/>
    <cellStyle name="Процентный 8 137 2" xfId="10484"/>
    <cellStyle name="Процентный 8 137 2 2" xfId="21164"/>
    <cellStyle name="Процентный 8 137 2 2 2" xfId="53208"/>
    <cellStyle name="Процентный 8 137 2 3" xfId="31845"/>
    <cellStyle name="Процентный 8 137 2 3 2" xfId="63888"/>
    <cellStyle name="Процентный 8 137 2 4" xfId="42528"/>
    <cellStyle name="Процентный 8 137 3" xfId="15824"/>
    <cellStyle name="Процентный 8 137 3 2" xfId="47868"/>
    <cellStyle name="Процентный 8 137 4" xfId="26505"/>
    <cellStyle name="Процентный 8 137 4 2" xfId="58548"/>
    <cellStyle name="Процентный 8 137 5" xfId="37188"/>
    <cellStyle name="Процентный 8 138" xfId="5175"/>
    <cellStyle name="Процентный 8 138 2" xfId="10516"/>
    <cellStyle name="Процентный 8 138 2 2" xfId="21196"/>
    <cellStyle name="Процентный 8 138 2 2 2" xfId="53240"/>
    <cellStyle name="Процентный 8 138 2 3" xfId="31877"/>
    <cellStyle name="Процентный 8 138 2 3 2" xfId="63920"/>
    <cellStyle name="Процентный 8 138 2 4" xfId="42560"/>
    <cellStyle name="Процентный 8 138 3" xfId="15856"/>
    <cellStyle name="Процентный 8 138 3 2" xfId="47900"/>
    <cellStyle name="Процентный 8 138 4" xfId="26537"/>
    <cellStyle name="Процентный 8 138 4 2" xfId="58580"/>
    <cellStyle name="Процентный 8 138 5" xfId="37220"/>
    <cellStyle name="Процентный 8 139" xfId="5207"/>
    <cellStyle name="Процентный 8 139 2" xfId="10548"/>
    <cellStyle name="Процентный 8 139 2 2" xfId="21228"/>
    <cellStyle name="Процентный 8 139 2 2 2" xfId="53272"/>
    <cellStyle name="Процентный 8 139 2 3" xfId="31909"/>
    <cellStyle name="Процентный 8 139 2 3 2" xfId="63952"/>
    <cellStyle name="Процентный 8 139 2 4" xfId="42592"/>
    <cellStyle name="Процентный 8 139 3" xfId="15888"/>
    <cellStyle name="Процентный 8 139 3 2" xfId="47932"/>
    <cellStyle name="Процентный 8 139 4" xfId="26569"/>
    <cellStyle name="Процентный 8 139 4 2" xfId="58612"/>
    <cellStyle name="Процентный 8 139 5" xfId="37252"/>
    <cellStyle name="Процентный 8 14" xfId="1378"/>
    <cellStyle name="Процентный 8 14 2" xfId="6720"/>
    <cellStyle name="Процентный 8 14 2 2" xfId="17400"/>
    <cellStyle name="Процентный 8 14 2 2 2" xfId="49444"/>
    <cellStyle name="Процентный 8 14 2 3" xfId="28081"/>
    <cellStyle name="Процентный 8 14 2 3 2" xfId="60124"/>
    <cellStyle name="Процентный 8 14 2 4" xfId="38764"/>
    <cellStyle name="Процентный 8 14 3" xfId="12060"/>
    <cellStyle name="Процентный 8 14 3 2" xfId="44104"/>
    <cellStyle name="Процентный 8 14 4" xfId="22741"/>
    <cellStyle name="Процентный 8 14 4 2" xfId="54784"/>
    <cellStyle name="Процентный 8 14 5" xfId="33424"/>
    <cellStyle name="Процентный 8 140" xfId="5239"/>
    <cellStyle name="Процентный 8 140 2" xfId="10580"/>
    <cellStyle name="Процентный 8 140 2 2" xfId="21260"/>
    <cellStyle name="Процентный 8 140 2 2 2" xfId="53304"/>
    <cellStyle name="Процентный 8 140 2 3" xfId="31941"/>
    <cellStyle name="Процентный 8 140 2 3 2" xfId="63984"/>
    <cellStyle name="Процентный 8 140 2 4" xfId="42624"/>
    <cellStyle name="Процентный 8 140 3" xfId="15920"/>
    <cellStyle name="Процентный 8 140 3 2" xfId="47964"/>
    <cellStyle name="Процентный 8 140 4" xfId="26601"/>
    <cellStyle name="Процентный 8 140 4 2" xfId="58644"/>
    <cellStyle name="Процентный 8 140 5" xfId="37284"/>
    <cellStyle name="Процентный 8 141" xfId="5271"/>
    <cellStyle name="Процентный 8 141 2" xfId="10612"/>
    <cellStyle name="Процентный 8 141 2 2" xfId="21292"/>
    <cellStyle name="Процентный 8 141 2 2 2" xfId="53336"/>
    <cellStyle name="Процентный 8 141 2 3" xfId="31973"/>
    <cellStyle name="Процентный 8 141 2 3 2" xfId="64016"/>
    <cellStyle name="Процентный 8 141 2 4" xfId="42656"/>
    <cellStyle name="Процентный 8 141 3" xfId="15952"/>
    <cellStyle name="Процентный 8 141 3 2" xfId="47996"/>
    <cellStyle name="Процентный 8 141 4" xfId="26633"/>
    <cellStyle name="Процентный 8 141 4 2" xfId="58676"/>
    <cellStyle name="Процентный 8 141 5" xfId="37316"/>
    <cellStyle name="Процентный 8 142" xfId="5303"/>
    <cellStyle name="Процентный 8 142 2" xfId="10644"/>
    <cellStyle name="Процентный 8 142 2 2" xfId="21324"/>
    <cellStyle name="Процентный 8 142 2 2 2" xfId="53368"/>
    <cellStyle name="Процентный 8 142 2 3" xfId="32005"/>
    <cellStyle name="Процентный 8 142 2 3 2" xfId="64048"/>
    <cellStyle name="Процентный 8 142 2 4" xfId="42688"/>
    <cellStyle name="Процентный 8 142 3" xfId="15984"/>
    <cellStyle name="Процентный 8 142 3 2" xfId="48028"/>
    <cellStyle name="Процентный 8 142 4" xfId="26665"/>
    <cellStyle name="Процентный 8 142 4 2" xfId="58708"/>
    <cellStyle name="Процентный 8 142 5" xfId="37348"/>
    <cellStyle name="Процентный 8 143" xfId="5335"/>
    <cellStyle name="Процентный 8 143 2" xfId="10676"/>
    <cellStyle name="Процентный 8 143 2 2" xfId="21356"/>
    <cellStyle name="Процентный 8 143 2 2 2" xfId="53400"/>
    <cellStyle name="Процентный 8 143 2 3" xfId="32037"/>
    <cellStyle name="Процентный 8 143 2 3 2" xfId="64080"/>
    <cellStyle name="Процентный 8 143 2 4" xfId="42720"/>
    <cellStyle name="Процентный 8 143 3" xfId="16016"/>
    <cellStyle name="Процентный 8 143 3 2" xfId="48060"/>
    <cellStyle name="Процентный 8 143 4" xfId="26697"/>
    <cellStyle name="Процентный 8 143 4 2" xfId="58740"/>
    <cellStyle name="Процентный 8 143 5" xfId="37380"/>
    <cellStyle name="Процентный 8 144" xfId="5367"/>
    <cellStyle name="Процентный 8 144 2" xfId="10708"/>
    <cellStyle name="Процентный 8 144 2 2" xfId="21388"/>
    <cellStyle name="Процентный 8 144 2 2 2" xfId="53432"/>
    <cellStyle name="Процентный 8 144 2 3" xfId="32069"/>
    <cellStyle name="Процентный 8 144 2 3 2" xfId="64112"/>
    <cellStyle name="Процентный 8 144 2 4" xfId="42752"/>
    <cellStyle name="Процентный 8 144 3" xfId="16048"/>
    <cellStyle name="Процентный 8 144 3 2" xfId="48092"/>
    <cellStyle name="Процентный 8 144 4" xfId="26729"/>
    <cellStyle name="Процентный 8 144 4 2" xfId="58772"/>
    <cellStyle name="Процентный 8 144 5" xfId="37412"/>
    <cellStyle name="Процентный 8 145" xfId="6382"/>
    <cellStyle name="Процентный 8 145 2" xfId="17062"/>
    <cellStyle name="Процентный 8 145 2 2" xfId="49106"/>
    <cellStyle name="Процентный 8 145 3" xfId="27743"/>
    <cellStyle name="Процентный 8 145 3 2" xfId="59786"/>
    <cellStyle name="Процентный 8 145 4" xfId="38426"/>
    <cellStyle name="Процентный 8 146" xfId="11722"/>
    <cellStyle name="Процентный 8 146 2" xfId="43766"/>
    <cellStyle name="Процентный 8 147" xfId="22403"/>
    <cellStyle name="Процентный 8 147 2" xfId="54446"/>
    <cellStyle name="Процентный 8 148" xfId="33086"/>
    <cellStyle name="Процентный 8 15" xfId="1404"/>
    <cellStyle name="Процентный 8 15 2" xfId="6746"/>
    <cellStyle name="Процентный 8 15 2 2" xfId="17426"/>
    <cellStyle name="Процентный 8 15 2 2 2" xfId="49470"/>
    <cellStyle name="Процентный 8 15 2 3" xfId="28107"/>
    <cellStyle name="Процентный 8 15 2 3 2" xfId="60150"/>
    <cellStyle name="Процентный 8 15 2 4" xfId="38790"/>
    <cellStyle name="Процентный 8 15 3" xfId="12086"/>
    <cellStyle name="Процентный 8 15 3 2" xfId="44130"/>
    <cellStyle name="Процентный 8 15 4" xfId="22767"/>
    <cellStyle name="Процентный 8 15 4 2" xfId="54810"/>
    <cellStyle name="Процентный 8 15 5" xfId="33450"/>
    <cellStyle name="Процентный 8 16" xfId="1430"/>
    <cellStyle name="Процентный 8 16 2" xfId="6772"/>
    <cellStyle name="Процентный 8 16 2 2" xfId="17452"/>
    <cellStyle name="Процентный 8 16 2 2 2" xfId="49496"/>
    <cellStyle name="Процентный 8 16 2 3" xfId="28133"/>
    <cellStyle name="Процентный 8 16 2 3 2" xfId="60176"/>
    <cellStyle name="Процентный 8 16 2 4" xfId="38816"/>
    <cellStyle name="Процентный 8 16 3" xfId="12112"/>
    <cellStyle name="Процентный 8 16 3 2" xfId="44156"/>
    <cellStyle name="Процентный 8 16 4" xfId="22793"/>
    <cellStyle name="Процентный 8 16 4 2" xfId="54836"/>
    <cellStyle name="Процентный 8 16 5" xfId="33476"/>
    <cellStyle name="Процентный 8 17" xfId="1456"/>
    <cellStyle name="Процентный 8 17 2" xfId="6798"/>
    <cellStyle name="Процентный 8 17 2 2" xfId="17478"/>
    <cellStyle name="Процентный 8 17 2 2 2" xfId="49522"/>
    <cellStyle name="Процентный 8 17 2 3" xfId="28159"/>
    <cellStyle name="Процентный 8 17 2 3 2" xfId="60202"/>
    <cellStyle name="Процентный 8 17 2 4" xfId="38842"/>
    <cellStyle name="Процентный 8 17 3" xfId="12138"/>
    <cellStyle name="Процентный 8 17 3 2" xfId="44182"/>
    <cellStyle name="Процентный 8 17 4" xfId="22819"/>
    <cellStyle name="Процентный 8 17 4 2" xfId="54862"/>
    <cellStyle name="Процентный 8 17 5" xfId="33502"/>
    <cellStyle name="Процентный 8 18" xfId="1482"/>
    <cellStyle name="Процентный 8 18 2" xfId="6824"/>
    <cellStyle name="Процентный 8 18 2 2" xfId="17504"/>
    <cellStyle name="Процентный 8 18 2 2 2" xfId="49548"/>
    <cellStyle name="Процентный 8 18 2 3" xfId="28185"/>
    <cellStyle name="Процентный 8 18 2 3 2" xfId="60228"/>
    <cellStyle name="Процентный 8 18 2 4" xfId="38868"/>
    <cellStyle name="Процентный 8 18 3" xfId="12164"/>
    <cellStyle name="Процентный 8 18 3 2" xfId="44208"/>
    <cellStyle name="Процентный 8 18 4" xfId="22845"/>
    <cellStyle name="Процентный 8 18 4 2" xfId="54888"/>
    <cellStyle name="Процентный 8 18 5" xfId="33528"/>
    <cellStyle name="Процентный 8 19" xfId="1508"/>
    <cellStyle name="Процентный 8 19 2" xfId="6850"/>
    <cellStyle name="Процентный 8 19 2 2" xfId="17530"/>
    <cellStyle name="Процентный 8 19 2 2 2" xfId="49574"/>
    <cellStyle name="Процентный 8 19 2 3" xfId="28211"/>
    <cellStyle name="Процентный 8 19 2 3 2" xfId="60254"/>
    <cellStyle name="Процентный 8 19 2 4" xfId="38894"/>
    <cellStyle name="Процентный 8 19 3" xfId="12190"/>
    <cellStyle name="Процентный 8 19 3 2" xfId="44234"/>
    <cellStyle name="Процентный 8 19 4" xfId="22871"/>
    <cellStyle name="Процентный 8 19 4 2" xfId="54914"/>
    <cellStyle name="Процентный 8 19 5" xfId="33554"/>
    <cellStyle name="Процентный 8 2" xfId="1065"/>
    <cellStyle name="Процентный 8 2 2" xfId="6408"/>
    <cellStyle name="Процентный 8 2 2 2" xfId="17088"/>
    <cellStyle name="Процентный 8 2 2 2 2" xfId="49132"/>
    <cellStyle name="Процентный 8 2 2 3" xfId="27769"/>
    <cellStyle name="Процентный 8 2 2 3 2" xfId="59812"/>
    <cellStyle name="Процентный 8 2 2 4" xfId="38452"/>
    <cellStyle name="Процентный 8 2 3" xfId="11748"/>
    <cellStyle name="Процентный 8 2 3 2" xfId="43792"/>
    <cellStyle name="Процентный 8 2 4" xfId="22429"/>
    <cellStyle name="Процентный 8 2 4 2" xfId="54472"/>
    <cellStyle name="Процентный 8 2 5" xfId="33112"/>
    <cellStyle name="Процентный 8 20" xfId="1534"/>
    <cellStyle name="Процентный 8 20 2" xfId="6876"/>
    <cellStyle name="Процентный 8 20 2 2" xfId="17556"/>
    <cellStyle name="Процентный 8 20 2 2 2" xfId="49600"/>
    <cellStyle name="Процентный 8 20 2 3" xfId="28237"/>
    <cellStyle name="Процентный 8 20 2 3 2" xfId="60280"/>
    <cellStyle name="Процентный 8 20 2 4" xfId="38920"/>
    <cellStyle name="Процентный 8 20 3" xfId="12216"/>
    <cellStyle name="Процентный 8 20 3 2" xfId="44260"/>
    <cellStyle name="Процентный 8 20 4" xfId="22897"/>
    <cellStyle name="Процентный 8 20 4 2" xfId="54940"/>
    <cellStyle name="Процентный 8 20 5" xfId="33580"/>
    <cellStyle name="Процентный 8 21" xfId="1560"/>
    <cellStyle name="Процентный 8 21 2" xfId="6902"/>
    <cellStyle name="Процентный 8 21 2 2" xfId="17582"/>
    <cellStyle name="Процентный 8 21 2 2 2" xfId="49626"/>
    <cellStyle name="Процентный 8 21 2 3" xfId="28263"/>
    <cellStyle name="Процентный 8 21 2 3 2" xfId="60306"/>
    <cellStyle name="Процентный 8 21 2 4" xfId="38946"/>
    <cellStyle name="Процентный 8 21 3" xfId="12242"/>
    <cellStyle name="Процентный 8 21 3 2" xfId="44286"/>
    <cellStyle name="Процентный 8 21 4" xfId="22923"/>
    <cellStyle name="Процентный 8 21 4 2" xfId="54966"/>
    <cellStyle name="Процентный 8 21 5" xfId="33606"/>
    <cellStyle name="Процентный 8 22" xfId="1586"/>
    <cellStyle name="Процентный 8 22 2" xfId="6928"/>
    <cellStyle name="Процентный 8 22 2 2" xfId="17608"/>
    <cellStyle name="Процентный 8 22 2 2 2" xfId="49652"/>
    <cellStyle name="Процентный 8 22 2 3" xfId="28289"/>
    <cellStyle name="Процентный 8 22 2 3 2" xfId="60332"/>
    <cellStyle name="Процентный 8 22 2 4" xfId="38972"/>
    <cellStyle name="Процентный 8 22 3" xfId="12268"/>
    <cellStyle name="Процентный 8 22 3 2" xfId="44312"/>
    <cellStyle name="Процентный 8 22 4" xfId="22949"/>
    <cellStyle name="Процентный 8 22 4 2" xfId="54992"/>
    <cellStyle name="Процентный 8 22 5" xfId="33632"/>
    <cellStyle name="Процентный 8 23" xfId="1612"/>
    <cellStyle name="Процентный 8 23 2" xfId="6954"/>
    <cellStyle name="Процентный 8 23 2 2" xfId="17634"/>
    <cellStyle name="Процентный 8 23 2 2 2" xfId="49678"/>
    <cellStyle name="Процентный 8 23 2 3" xfId="28315"/>
    <cellStyle name="Процентный 8 23 2 3 2" xfId="60358"/>
    <cellStyle name="Процентный 8 23 2 4" xfId="38998"/>
    <cellStyle name="Процентный 8 23 3" xfId="12294"/>
    <cellStyle name="Процентный 8 23 3 2" xfId="44338"/>
    <cellStyle name="Процентный 8 23 4" xfId="22975"/>
    <cellStyle name="Процентный 8 23 4 2" xfId="55018"/>
    <cellStyle name="Процентный 8 23 5" xfId="33658"/>
    <cellStyle name="Процентный 8 24" xfId="1638"/>
    <cellStyle name="Процентный 8 24 2" xfId="6980"/>
    <cellStyle name="Процентный 8 24 2 2" xfId="17660"/>
    <cellStyle name="Процентный 8 24 2 2 2" xfId="49704"/>
    <cellStyle name="Процентный 8 24 2 3" xfId="28341"/>
    <cellStyle name="Процентный 8 24 2 3 2" xfId="60384"/>
    <cellStyle name="Процентный 8 24 2 4" xfId="39024"/>
    <cellStyle name="Процентный 8 24 3" xfId="12320"/>
    <cellStyle name="Процентный 8 24 3 2" xfId="44364"/>
    <cellStyle name="Процентный 8 24 4" xfId="23001"/>
    <cellStyle name="Процентный 8 24 4 2" xfId="55044"/>
    <cellStyle name="Процентный 8 24 5" xfId="33684"/>
    <cellStyle name="Процентный 8 25" xfId="1664"/>
    <cellStyle name="Процентный 8 25 2" xfId="7006"/>
    <cellStyle name="Процентный 8 25 2 2" xfId="17686"/>
    <cellStyle name="Процентный 8 25 2 2 2" xfId="49730"/>
    <cellStyle name="Процентный 8 25 2 3" xfId="28367"/>
    <cellStyle name="Процентный 8 25 2 3 2" xfId="60410"/>
    <cellStyle name="Процентный 8 25 2 4" xfId="39050"/>
    <cellStyle name="Процентный 8 25 3" xfId="12346"/>
    <cellStyle name="Процентный 8 25 3 2" xfId="44390"/>
    <cellStyle name="Процентный 8 25 4" xfId="23027"/>
    <cellStyle name="Процентный 8 25 4 2" xfId="55070"/>
    <cellStyle name="Процентный 8 25 5" xfId="33710"/>
    <cellStyle name="Процентный 8 26" xfId="1690"/>
    <cellStyle name="Процентный 8 26 2" xfId="7032"/>
    <cellStyle name="Процентный 8 26 2 2" xfId="17712"/>
    <cellStyle name="Процентный 8 26 2 2 2" xfId="49756"/>
    <cellStyle name="Процентный 8 26 2 3" xfId="28393"/>
    <cellStyle name="Процентный 8 26 2 3 2" xfId="60436"/>
    <cellStyle name="Процентный 8 26 2 4" xfId="39076"/>
    <cellStyle name="Процентный 8 26 3" xfId="12372"/>
    <cellStyle name="Процентный 8 26 3 2" xfId="44416"/>
    <cellStyle name="Процентный 8 26 4" xfId="23053"/>
    <cellStyle name="Процентный 8 26 4 2" xfId="55096"/>
    <cellStyle name="Процентный 8 26 5" xfId="33736"/>
    <cellStyle name="Процентный 8 27" xfId="1716"/>
    <cellStyle name="Процентный 8 27 2" xfId="7058"/>
    <cellStyle name="Процентный 8 27 2 2" xfId="17738"/>
    <cellStyle name="Процентный 8 27 2 2 2" xfId="49782"/>
    <cellStyle name="Процентный 8 27 2 3" xfId="28419"/>
    <cellStyle name="Процентный 8 27 2 3 2" xfId="60462"/>
    <cellStyle name="Процентный 8 27 2 4" xfId="39102"/>
    <cellStyle name="Процентный 8 27 3" xfId="12398"/>
    <cellStyle name="Процентный 8 27 3 2" xfId="44442"/>
    <cellStyle name="Процентный 8 27 4" xfId="23079"/>
    <cellStyle name="Процентный 8 27 4 2" xfId="55122"/>
    <cellStyle name="Процентный 8 27 5" xfId="33762"/>
    <cellStyle name="Процентный 8 28" xfId="1742"/>
    <cellStyle name="Процентный 8 28 2" xfId="7084"/>
    <cellStyle name="Процентный 8 28 2 2" xfId="17764"/>
    <cellStyle name="Процентный 8 28 2 2 2" xfId="49808"/>
    <cellStyle name="Процентный 8 28 2 3" xfId="28445"/>
    <cellStyle name="Процентный 8 28 2 3 2" xfId="60488"/>
    <cellStyle name="Процентный 8 28 2 4" xfId="39128"/>
    <cellStyle name="Процентный 8 28 3" xfId="12424"/>
    <cellStyle name="Процентный 8 28 3 2" xfId="44468"/>
    <cellStyle name="Процентный 8 28 4" xfId="23105"/>
    <cellStyle name="Процентный 8 28 4 2" xfId="55148"/>
    <cellStyle name="Процентный 8 28 5" xfId="33788"/>
    <cellStyle name="Процентный 8 29" xfId="1768"/>
    <cellStyle name="Процентный 8 29 2" xfId="7110"/>
    <cellStyle name="Процентный 8 29 2 2" xfId="17790"/>
    <cellStyle name="Процентный 8 29 2 2 2" xfId="49834"/>
    <cellStyle name="Процентный 8 29 2 3" xfId="28471"/>
    <cellStyle name="Процентный 8 29 2 3 2" xfId="60514"/>
    <cellStyle name="Процентный 8 29 2 4" xfId="39154"/>
    <cellStyle name="Процентный 8 29 3" xfId="12450"/>
    <cellStyle name="Процентный 8 29 3 2" xfId="44494"/>
    <cellStyle name="Процентный 8 29 4" xfId="23131"/>
    <cellStyle name="Процентный 8 29 4 2" xfId="55174"/>
    <cellStyle name="Процентный 8 29 5" xfId="33814"/>
    <cellStyle name="Процентный 8 3" xfId="1091"/>
    <cellStyle name="Процентный 8 3 2" xfId="6434"/>
    <cellStyle name="Процентный 8 3 2 2" xfId="17114"/>
    <cellStyle name="Процентный 8 3 2 2 2" xfId="49158"/>
    <cellStyle name="Процентный 8 3 2 3" xfId="27795"/>
    <cellStyle name="Процентный 8 3 2 3 2" xfId="59838"/>
    <cellStyle name="Процентный 8 3 2 4" xfId="38478"/>
    <cellStyle name="Процентный 8 3 3" xfId="11774"/>
    <cellStyle name="Процентный 8 3 3 2" xfId="43818"/>
    <cellStyle name="Процентный 8 3 4" xfId="22455"/>
    <cellStyle name="Процентный 8 3 4 2" xfId="54498"/>
    <cellStyle name="Процентный 8 3 5" xfId="33138"/>
    <cellStyle name="Процентный 8 30" xfId="1794"/>
    <cellStyle name="Процентный 8 30 2" xfId="7136"/>
    <cellStyle name="Процентный 8 30 2 2" xfId="17816"/>
    <cellStyle name="Процентный 8 30 2 2 2" xfId="49860"/>
    <cellStyle name="Процентный 8 30 2 3" xfId="28497"/>
    <cellStyle name="Процентный 8 30 2 3 2" xfId="60540"/>
    <cellStyle name="Процентный 8 30 2 4" xfId="39180"/>
    <cellStyle name="Процентный 8 30 3" xfId="12476"/>
    <cellStyle name="Процентный 8 30 3 2" xfId="44520"/>
    <cellStyle name="Процентный 8 30 4" xfId="23157"/>
    <cellStyle name="Процентный 8 30 4 2" xfId="55200"/>
    <cellStyle name="Процентный 8 30 5" xfId="33840"/>
    <cellStyle name="Процентный 8 31" xfId="1820"/>
    <cellStyle name="Процентный 8 31 2" xfId="7162"/>
    <cellStyle name="Процентный 8 31 2 2" xfId="17842"/>
    <cellStyle name="Процентный 8 31 2 2 2" xfId="49886"/>
    <cellStyle name="Процентный 8 31 2 3" xfId="28523"/>
    <cellStyle name="Процентный 8 31 2 3 2" xfId="60566"/>
    <cellStyle name="Процентный 8 31 2 4" xfId="39206"/>
    <cellStyle name="Процентный 8 31 3" xfId="12502"/>
    <cellStyle name="Процентный 8 31 3 2" xfId="44546"/>
    <cellStyle name="Процентный 8 31 4" xfId="23183"/>
    <cellStyle name="Процентный 8 31 4 2" xfId="55226"/>
    <cellStyle name="Процентный 8 31 5" xfId="33866"/>
    <cellStyle name="Процентный 8 32" xfId="1846"/>
    <cellStyle name="Процентный 8 32 2" xfId="7188"/>
    <cellStyle name="Процентный 8 32 2 2" xfId="17868"/>
    <cellStyle name="Процентный 8 32 2 2 2" xfId="49912"/>
    <cellStyle name="Процентный 8 32 2 3" xfId="28549"/>
    <cellStyle name="Процентный 8 32 2 3 2" xfId="60592"/>
    <cellStyle name="Процентный 8 32 2 4" xfId="39232"/>
    <cellStyle name="Процентный 8 32 3" xfId="12528"/>
    <cellStyle name="Процентный 8 32 3 2" xfId="44572"/>
    <cellStyle name="Процентный 8 32 4" xfId="23209"/>
    <cellStyle name="Процентный 8 32 4 2" xfId="55252"/>
    <cellStyle name="Процентный 8 32 5" xfId="33892"/>
    <cellStyle name="Процентный 8 33" xfId="1872"/>
    <cellStyle name="Процентный 8 33 2" xfId="7214"/>
    <cellStyle name="Процентный 8 33 2 2" xfId="17894"/>
    <cellStyle name="Процентный 8 33 2 2 2" xfId="49938"/>
    <cellStyle name="Процентный 8 33 2 3" xfId="28575"/>
    <cellStyle name="Процентный 8 33 2 3 2" xfId="60618"/>
    <cellStyle name="Процентный 8 33 2 4" xfId="39258"/>
    <cellStyle name="Процентный 8 33 3" xfId="12554"/>
    <cellStyle name="Процентный 8 33 3 2" xfId="44598"/>
    <cellStyle name="Процентный 8 33 4" xfId="23235"/>
    <cellStyle name="Процентный 8 33 4 2" xfId="55278"/>
    <cellStyle name="Процентный 8 33 5" xfId="33918"/>
    <cellStyle name="Процентный 8 34" xfId="1898"/>
    <cellStyle name="Процентный 8 34 2" xfId="7240"/>
    <cellStyle name="Процентный 8 34 2 2" xfId="17920"/>
    <cellStyle name="Процентный 8 34 2 2 2" xfId="49964"/>
    <cellStyle name="Процентный 8 34 2 3" xfId="28601"/>
    <cellStyle name="Процентный 8 34 2 3 2" xfId="60644"/>
    <cellStyle name="Процентный 8 34 2 4" xfId="39284"/>
    <cellStyle name="Процентный 8 34 3" xfId="12580"/>
    <cellStyle name="Процентный 8 34 3 2" xfId="44624"/>
    <cellStyle name="Процентный 8 34 4" xfId="23261"/>
    <cellStyle name="Процентный 8 34 4 2" xfId="55304"/>
    <cellStyle name="Процентный 8 34 5" xfId="33944"/>
    <cellStyle name="Процентный 8 35" xfId="1924"/>
    <cellStyle name="Процентный 8 35 2" xfId="7266"/>
    <cellStyle name="Процентный 8 35 2 2" xfId="17946"/>
    <cellStyle name="Процентный 8 35 2 2 2" xfId="49990"/>
    <cellStyle name="Процентный 8 35 2 3" xfId="28627"/>
    <cellStyle name="Процентный 8 35 2 3 2" xfId="60670"/>
    <cellStyle name="Процентный 8 35 2 4" xfId="39310"/>
    <cellStyle name="Процентный 8 35 3" xfId="12606"/>
    <cellStyle name="Процентный 8 35 3 2" xfId="44650"/>
    <cellStyle name="Процентный 8 35 4" xfId="23287"/>
    <cellStyle name="Процентный 8 35 4 2" xfId="55330"/>
    <cellStyle name="Процентный 8 35 5" xfId="33970"/>
    <cellStyle name="Процентный 8 36" xfId="1952"/>
    <cellStyle name="Процентный 8 36 2" xfId="7294"/>
    <cellStyle name="Процентный 8 36 2 2" xfId="17974"/>
    <cellStyle name="Процентный 8 36 2 2 2" xfId="50018"/>
    <cellStyle name="Процентный 8 36 2 3" xfId="28655"/>
    <cellStyle name="Процентный 8 36 2 3 2" xfId="60698"/>
    <cellStyle name="Процентный 8 36 2 4" xfId="39338"/>
    <cellStyle name="Процентный 8 36 3" xfId="12634"/>
    <cellStyle name="Процентный 8 36 3 2" xfId="44678"/>
    <cellStyle name="Процентный 8 36 4" xfId="23315"/>
    <cellStyle name="Процентный 8 36 4 2" xfId="55358"/>
    <cellStyle name="Процентный 8 36 5" xfId="33998"/>
    <cellStyle name="Процентный 8 37" xfId="1980"/>
    <cellStyle name="Процентный 8 37 2" xfId="7322"/>
    <cellStyle name="Процентный 8 37 2 2" xfId="18002"/>
    <cellStyle name="Процентный 8 37 2 2 2" xfId="50046"/>
    <cellStyle name="Процентный 8 37 2 3" xfId="28683"/>
    <cellStyle name="Процентный 8 37 2 3 2" xfId="60726"/>
    <cellStyle name="Процентный 8 37 2 4" xfId="39366"/>
    <cellStyle name="Процентный 8 37 3" xfId="12662"/>
    <cellStyle name="Процентный 8 37 3 2" xfId="44706"/>
    <cellStyle name="Процентный 8 37 4" xfId="23343"/>
    <cellStyle name="Процентный 8 37 4 2" xfId="55386"/>
    <cellStyle name="Процентный 8 37 5" xfId="34026"/>
    <cellStyle name="Процентный 8 38" xfId="2008"/>
    <cellStyle name="Процентный 8 38 2" xfId="7350"/>
    <cellStyle name="Процентный 8 38 2 2" xfId="18030"/>
    <cellStyle name="Процентный 8 38 2 2 2" xfId="50074"/>
    <cellStyle name="Процентный 8 38 2 3" xfId="28711"/>
    <cellStyle name="Процентный 8 38 2 3 2" xfId="60754"/>
    <cellStyle name="Процентный 8 38 2 4" xfId="39394"/>
    <cellStyle name="Процентный 8 38 3" xfId="12690"/>
    <cellStyle name="Процентный 8 38 3 2" xfId="44734"/>
    <cellStyle name="Процентный 8 38 4" xfId="23371"/>
    <cellStyle name="Процентный 8 38 4 2" xfId="55414"/>
    <cellStyle name="Процентный 8 38 5" xfId="34054"/>
    <cellStyle name="Процентный 8 39" xfId="2036"/>
    <cellStyle name="Процентный 8 39 2" xfId="7378"/>
    <cellStyle name="Процентный 8 39 2 2" xfId="18058"/>
    <cellStyle name="Процентный 8 39 2 2 2" xfId="50102"/>
    <cellStyle name="Процентный 8 39 2 3" xfId="28739"/>
    <cellStyle name="Процентный 8 39 2 3 2" xfId="60782"/>
    <cellStyle name="Процентный 8 39 2 4" xfId="39422"/>
    <cellStyle name="Процентный 8 39 3" xfId="12718"/>
    <cellStyle name="Процентный 8 39 3 2" xfId="44762"/>
    <cellStyle name="Процентный 8 39 4" xfId="23399"/>
    <cellStyle name="Процентный 8 39 4 2" xfId="55442"/>
    <cellStyle name="Процентный 8 39 5" xfId="34082"/>
    <cellStyle name="Процентный 8 4" xfId="1117"/>
    <cellStyle name="Процентный 8 4 2" xfId="6460"/>
    <cellStyle name="Процентный 8 4 2 2" xfId="17140"/>
    <cellStyle name="Процентный 8 4 2 2 2" xfId="49184"/>
    <cellStyle name="Процентный 8 4 2 3" xfId="27821"/>
    <cellStyle name="Процентный 8 4 2 3 2" xfId="59864"/>
    <cellStyle name="Процентный 8 4 2 4" xfId="38504"/>
    <cellStyle name="Процентный 8 4 3" xfId="11800"/>
    <cellStyle name="Процентный 8 4 3 2" xfId="43844"/>
    <cellStyle name="Процентный 8 4 4" xfId="22481"/>
    <cellStyle name="Процентный 8 4 4 2" xfId="54524"/>
    <cellStyle name="Процентный 8 4 5" xfId="33164"/>
    <cellStyle name="Процентный 8 40" xfId="2064"/>
    <cellStyle name="Процентный 8 40 2" xfId="7406"/>
    <cellStyle name="Процентный 8 40 2 2" xfId="18086"/>
    <cellStyle name="Процентный 8 40 2 2 2" xfId="50130"/>
    <cellStyle name="Процентный 8 40 2 3" xfId="28767"/>
    <cellStyle name="Процентный 8 40 2 3 2" xfId="60810"/>
    <cellStyle name="Процентный 8 40 2 4" xfId="39450"/>
    <cellStyle name="Процентный 8 40 3" xfId="12746"/>
    <cellStyle name="Процентный 8 40 3 2" xfId="44790"/>
    <cellStyle name="Процентный 8 40 4" xfId="23427"/>
    <cellStyle name="Процентный 8 40 4 2" xfId="55470"/>
    <cellStyle name="Процентный 8 40 5" xfId="34110"/>
    <cellStyle name="Процентный 8 41" xfId="2092"/>
    <cellStyle name="Процентный 8 41 2" xfId="7434"/>
    <cellStyle name="Процентный 8 41 2 2" xfId="18114"/>
    <cellStyle name="Процентный 8 41 2 2 2" xfId="50158"/>
    <cellStyle name="Процентный 8 41 2 3" xfId="28795"/>
    <cellStyle name="Процентный 8 41 2 3 2" xfId="60838"/>
    <cellStyle name="Процентный 8 41 2 4" xfId="39478"/>
    <cellStyle name="Процентный 8 41 3" xfId="12774"/>
    <cellStyle name="Процентный 8 41 3 2" xfId="44818"/>
    <cellStyle name="Процентный 8 41 4" xfId="23455"/>
    <cellStyle name="Процентный 8 41 4 2" xfId="55498"/>
    <cellStyle name="Процентный 8 41 5" xfId="34138"/>
    <cellStyle name="Процентный 8 42" xfId="2120"/>
    <cellStyle name="Процентный 8 42 2" xfId="7462"/>
    <cellStyle name="Процентный 8 42 2 2" xfId="18142"/>
    <cellStyle name="Процентный 8 42 2 2 2" xfId="50186"/>
    <cellStyle name="Процентный 8 42 2 3" xfId="28823"/>
    <cellStyle name="Процентный 8 42 2 3 2" xfId="60866"/>
    <cellStyle name="Процентный 8 42 2 4" xfId="39506"/>
    <cellStyle name="Процентный 8 42 3" xfId="12802"/>
    <cellStyle name="Процентный 8 42 3 2" xfId="44846"/>
    <cellStyle name="Процентный 8 42 4" xfId="23483"/>
    <cellStyle name="Процентный 8 42 4 2" xfId="55526"/>
    <cellStyle name="Процентный 8 42 5" xfId="34166"/>
    <cellStyle name="Процентный 8 43" xfId="2150"/>
    <cellStyle name="Процентный 8 43 2" xfId="7492"/>
    <cellStyle name="Процентный 8 43 2 2" xfId="18172"/>
    <cellStyle name="Процентный 8 43 2 2 2" xfId="50216"/>
    <cellStyle name="Процентный 8 43 2 3" xfId="28853"/>
    <cellStyle name="Процентный 8 43 2 3 2" xfId="60896"/>
    <cellStyle name="Процентный 8 43 2 4" xfId="39536"/>
    <cellStyle name="Процентный 8 43 3" xfId="12832"/>
    <cellStyle name="Процентный 8 43 3 2" xfId="44876"/>
    <cellStyle name="Процентный 8 43 4" xfId="23513"/>
    <cellStyle name="Процентный 8 43 4 2" xfId="55556"/>
    <cellStyle name="Процентный 8 43 5" xfId="34196"/>
    <cellStyle name="Процентный 8 44" xfId="2180"/>
    <cellStyle name="Процентный 8 44 2" xfId="7522"/>
    <cellStyle name="Процентный 8 44 2 2" xfId="18202"/>
    <cellStyle name="Процентный 8 44 2 2 2" xfId="50246"/>
    <cellStyle name="Процентный 8 44 2 3" xfId="28883"/>
    <cellStyle name="Процентный 8 44 2 3 2" xfId="60926"/>
    <cellStyle name="Процентный 8 44 2 4" xfId="39566"/>
    <cellStyle name="Процентный 8 44 3" xfId="12862"/>
    <cellStyle name="Процентный 8 44 3 2" xfId="44906"/>
    <cellStyle name="Процентный 8 44 4" xfId="23543"/>
    <cellStyle name="Процентный 8 44 4 2" xfId="55586"/>
    <cellStyle name="Процентный 8 44 5" xfId="34226"/>
    <cellStyle name="Процентный 8 45" xfId="2210"/>
    <cellStyle name="Процентный 8 45 2" xfId="7552"/>
    <cellStyle name="Процентный 8 45 2 2" xfId="18232"/>
    <cellStyle name="Процентный 8 45 2 2 2" xfId="50276"/>
    <cellStyle name="Процентный 8 45 2 3" xfId="28913"/>
    <cellStyle name="Процентный 8 45 2 3 2" xfId="60956"/>
    <cellStyle name="Процентный 8 45 2 4" xfId="39596"/>
    <cellStyle name="Процентный 8 45 3" xfId="12892"/>
    <cellStyle name="Процентный 8 45 3 2" xfId="44936"/>
    <cellStyle name="Процентный 8 45 4" xfId="23573"/>
    <cellStyle name="Процентный 8 45 4 2" xfId="55616"/>
    <cellStyle name="Процентный 8 45 5" xfId="34256"/>
    <cellStyle name="Процентный 8 46" xfId="2240"/>
    <cellStyle name="Процентный 8 46 2" xfId="7582"/>
    <cellStyle name="Процентный 8 46 2 2" xfId="18262"/>
    <cellStyle name="Процентный 8 46 2 2 2" xfId="50306"/>
    <cellStyle name="Процентный 8 46 2 3" xfId="28943"/>
    <cellStyle name="Процентный 8 46 2 3 2" xfId="60986"/>
    <cellStyle name="Процентный 8 46 2 4" xfId="39626"/>
    <cellStyle name="Процентный 8 46 3" xfId="12922"/>
    <cellStyle name="Процентный 8 46 3 2" xfId="44966"/>
    <cellStyle name="Процентный 8 46 4" xfId="23603"/>
    <cellStyle name="Процентный 8 46 4 2" xfId="55646"/>
    <cellStyle name="Процентный 8 46 5" xfId="34286"/>
    <cellStyle name="Процентный 8 47" xfId="2270"/>
    <cellStyle name="Процентный 8 47 2" xfId="7612"/>
    <cellStyle name="Процентный 8 47 2 2" xfId="18292"/>
    <cellStyle name="Процентный 8 47 2 2 2" xfId="50336"/>
    <cellStyle name="Процентный 8 47 2 3" xfId="28973"/>
    <cellStyle name="Процентный 8 47 2 3 2" xfId="61016"/>
    <cellStyle name="Процентный 8 47 2 4" xfId="39656"/>
    <cellStyle name="Процентный 8 47 3" xfId="12952"/>
    <cellStyle name="Процентный 8 47 3 2" xfId="44996"/>
    <cellStyle name="Процентный 8 47 4" xfId="23633"/>
    <cellStyle name="Процентный 8 47 4 2" xfId="55676"/>
    <cellStyle name="Процентный 8 47 5" xfId="34316"/>
    <cellStyle name="Процентный 8 48" xfId="2300"/>
    <cellStyle name="Процентный 8 48 2" xfId="7642"/>
    <cellStyle name="Процентный 8 48 2 2" xfId="18322"/>
    <cellStyle name="Процентный 8 48 2 2 2" xfId="50366"/>
    <cellStyle name="Процентный 8 48 2 3" xfId="29003"/>
    <cellStyle name="Процентный 8 48 2 3 2" xfId="61046"/>
    <cellStyle name="Процентный 8 48 2 4" xfId="39686"/>
    <cellStyle name="Процентный 8 48 3" xfId="12982"/>
    <cellStyle name="Процентный 8 48 3 2" xfId="45026"/>
    <cellStyle name="Процентный 8 48 4" xfId="23663"/>
    <cellStyle name="Процентный 8 48 4 2" xfId="55706"/>
    <cellStyle name="Процентный 8 48 5" xfId="34346"/>
    <cellStyle name="Процентный 8 49" xfId="2330"/>
    <cellStyle name="Процентный 8 49 2" xfId="7672"/>
    <cellStyle name="Процентный 8 49 2 2" xfId="18352"/>
    <cellStyle name="Процентный 8 49 2 2 2" xfId="50396"/>
    <cellStyle name="Процентный 8 49 2 3" xfId="29033"/>
    <cellStyle name="Процентный 8 49 2 3 2" xfId="61076"/>
    <cellStyle name="Процентный 8 49 2 4" xfId="39716"/>
    <cellStyle name="Процентный 8 49 3" xfId="13012"/>
    <cellStyle name="Процентный 8 49 3 2" xfId="45056"/>
    <cellStyle name="Процентный 8 49 4" xfId="23693"/>
    <cellStyle name="Процентный 8 49 4 2" xfId="55736"/>
    <cellStyle name="Процентный 8 49 5" xfId="34376"/>
    <cellStyle name="Процентный 8 5" xfId="1143"/>
    <cellStyle name="Процентный 8 5 2" xfId="6486"/>
    <cellStyle name="Процентный 8 5 2 2" xfId="17166"/>
    <cellStyle name="Процентный 8 5 2 2 2" xfId="49210"/>
    <cellStyle name="Процентный 8 5 2 3" xfId="27847"/>
    <cellStyle name="Процентный 8 5 2 3 2" xfId="59890"/>
    <cellStyle name="Процентный 8 5 2 4" xfId="38530"/>
    <cellStyle name="Процентный 8 5 3" xfId="11826"/>
    <cellStyle name="Процентный 8 5 3 2" xfId="43870"/>
    <cellStyle name="Процентный 8 5 4" xfId="22507"/>
    <cellStyle name="Процентный 8 5 4 2" xfId="54550"/>
    <cellStyle name="Процентный 8 5 5" xfId="33190"/>
    <cellStyle name="Процентный 8 50" xfId="2360"/>
    <cellStyle name="Процентный 8 50 2" xfId="7702"/>
    <cellStyle name="Процентный 8 50 2 2" xfId="18382"/>
    <cellStyle name="Процентный 8 50 2 2 2" xfId="50426"/>
    <cellStyle name="Процентный 8 50 2 3" xfId="29063"/>
    <cellStyle name="Процентный 8 50 2 3 2" xfId="61106"/>
    <cellStyle name="Процентный 8 50 2 4" xfId="39746"/>
    <cellStyle name="Процентный 8 50 3" xfId="13042"/>
    <cellStyle name="Процентный 8 50 3 2" xfId="45086"/>
    <cellStyle name="Процентный 8 50 4" xfId="23723"/>
    <cellStyle name="Процентный 8 50 4 2" xfId="55766"/>
    <cellStyle name="Процентный 8 50 5" xfId="34406"/>
    <cellStyle name="Процентный 8 51" xfId="2390"/>
    <cellStyle name="Процентный 8 51 2" xfId="7732"/>
    <cellStyle name="Процентный 8 51 2 2" xfId="18412"/>
    <cellStyle name="Процентный 8 51 2 2 2" xfId="50456"/>
    <cellStyle name="Процентный 8 51 2 3" xfId="29093"/>
    <cellStyle name="Процентный 8 51 2 3 2" xfId="61136"/>
    <cellStyle name="Процентный 8 51 2 4" xfId="39776"/>
    <cellStyle name="Процентный 8 51 3" xfId="13072"/>
    <cellStyle name="Процентный 8 51 3 2" xfId="45116"/>
    <cellStyle name="Процентный 8 51 4" xfId="23753"/>
    <cellStyle name="Процентный 8 51 4 2" xfId="55796"/>
    <cellStyle name="Процентный 8 51 5" xfId="34436"/>
    <cellStyle name="Процентный 8 52" xfId="2420"/>
    <cellStyle name="Процентный 8 52 2" xfId="7762"/>
    <cellStyle name="Процентный 8 52 2 2" xfId="18442"/>
    <cellStyle name="Процентный 8 52 2 2 2" xfId="50486"/>
    <cellStyle name="Процентный 8 52 2 3" xfId="29123"/>
    <cellStyle name="Процентный 8 52 2 3 2" xfId="61166"/>
    <cellStyle name="Процентный 8 52 2 4" xfId="39806"/>
    <cellStyle name="Процентный 8 52 3" xfId="13102"/>
    <cellStyle name="Процентный 8 52 3 2" xfId="45146"/>
    <cellStyle name="Процентный 8 52 4" xfId="23783"/>
    <cellStyle name="Процентный 8 52 4 2" xfId="55826"/>
    <cellStyle name="Процентный 8 52 5" xfId="34466"/>
    <cellStyle name="Процентный 8 53" xfId="2450"/>
    <cellStyle name="Процентный 8 53 2" xfId="7792"/>
    <cellStyle name="Процентный 8 53 2 2" xfId="18472"/>
    <cellStyle name="Процентный 8 53 2 2 2" xfId="50516"/>
    <cellStyle name="Процентный 8 53 2 3" xfId="29153"/>
    <cellStyle name="Процентный 8 53 2 3 2" xfId="61196"/>
    <cellStyle name="Процентный 8 53 2 4" xfId="39836"/>
    <cellStyle name="Процентный 8 53 3" xfId="13132"/>
    <cellStyle name="Процентный 8 53 3 2" xfId="45176"/>
    <cellStyle name="Процентный 8 53 4" xfId="23813"/>
    <cellStyle name="Процентный 8 53 4 2" xfId="55856"/>
    <cellStyle name="Процентный 8 53 5" xfId="34496"/>
    <cellStyle name="Процентный 8 54" xfId="2480"/>
    <cellStyle name="Процентный 8 54 2" xfId="7822"/>
    <cellStyle name="Процентный 8 54 2 2" xfId="18502"/>
    <cellStyle name="Процентный 8 54 2 2 2" xfId="50546"/>
    <cellStyle name="Процентный 8 54 2 3" xfId="29183"/>
    <cellStyle name="Процентный 8 54 2 3 2" xfId="61226"/>
    <cellStyle name="Процентный 8 54 2 4" xfId="39866"/>
    <cellStyle name="Процентный 8 54 3" xfId="13162"/>
    <cellStyle name="Процентный 8 54 3 2" xfId="45206"/>
    <cellStyle name="Процентный 8 54 4" xfId="23843"/>
    <cellStyle name="Процентный 8 54 4 2" xfId="55886"/>
    <cellStyle name="Процентный 8 54 5" xfId="34526"/>
    <cellStyle name="Процентный 8 55" xfId="2512"/>
    <cellStyle name="Процентный 8 55 2" xfId="7854"/>
    <cellStyle name="Процентный 8 55 2 2" xfId="18534"/>
    <cellStyle name="Процентный 8 55 2 2 2" xfId="50578"/>
    <cellStyle name="Процентный 8 55 2 3" xfId="29215"/>
    <cellStyle name="Процентный 8 55 2 3 2" xfId="61258"/>
    <cellStyle name="Процентный 8 55 2 4" xfId="39898"/>
    <cellStyle name="Процентный 8 55 3" xfId="13194"/>
    <cellStyle name="Процентный 8 55 3 2" xfId="45238"/>
    <cellStyle name="Процентный 8 55 4" xfId="23875"/>
    <cellStyle name="Процентный 8 55 4 2" xfId="55918"/>
    <cellStyle name="Процентный 8 55 5" xfId="34558"/>
    <cellStyle name="Процентный 8 56" xfId="2546"/>
    <cellStyle name="Процентный 8 56 2" xfId="7888"/>
    <cellStyle name="Процентный 8 56 2 2" xfId="18568"/>
    <cellStyle name="Процентный 8 56 2 2 2" xfId="50612"/>
    <cellStyle name="Процентный 8 56 2 3" xfId="29249"/>
    <cellStyle name="Процентный 8 56 2 3 2" xfId="61292"/>
    <cellStyle name="Процентный 8 56 2 4" xfId="39932"/>
    <cellStyle name="Процентный 8 56 3" xfId="13228"/>
    <cellStyle name="Процентный 8 56 3 2" xfId="45272"/>
    <cellStyle name="Процентный 8 56 4" xfId="23909"/>
    <cellStyle name="Процентный 8 56 4 2" xfId="55952"/>
    <cellStyle name="Процентный 8 56 5" xfId="34592"/>
    <cellStyle name="Процентный 8 57" xfId="2578"/>
    <cellStyle name="Процентный 8 57 2" xfId="7920"/>
    <cellStyle name="Процентный 8 57 2 2" xfId="18600"/>
    <cellStyle name="Процентный 8 57 2 2 2" xfId="50644"/>
    <cellStyle name="Процентный 8 57 2 3" xfId="29281"/>
    <cellStyle name="Процентный 8 57 2 3 2" xfId="61324"/>
    <cellStyle name="Процентный 8 57 2 4" xfId="39964"/>
    <cellStyle name="Процентный 8 57 3" xfId="13260"/>
    <cellStyle name="Процентный 8 57 3 2" xfId="45304"/>
    <cellStyle name="Процентный 8 57 4" xfId="23941"/>
    <cellStyle name="Процентный 8 57 4 2" xfId="55984"/>
    <cellStyle name="Процентный 8 57 5" xfId="34624"/>
    <cellStyle name="Процентный 8 58" xfId="2610"/>
    <cellStyle name="Процентный 8 58 2" xfId="7952"/>
    <cellStyle name="Процентный 8 58 2 2" xfId="18632"/>
    <cellStyle name="Процентный 8 58 2 2 2" xfId="50676"/>
    <cellStyle name="Процентный 8 58 2 3" xfId="29313"/>
    <cellStyle name="Процентный 8 58 2 3 2" xfId="61356"/>
    <cellStyle name="Процентный 8 58 2 4" xfId="39996"/>
    <cellStyle name="Процентный 8 58 3" xfId="13292"/>
    <cellStyle name="Процентный 8 58 3 2" xfId="45336"/>
    <cellStyle name="Процентный 8 58 4" xfId="23973"/>
    <cellStyle name="Процентный 8 58 4 2" xfId="56016"/>
    <cellStyle name="Процентный 8 58 5" xfId="34656"/>
    <cellStyle name="Процентный 8 59" xfId="2642"/>
    <cellStyle name="Процентный 8 59 2" xfId="7984"/>
    <cellStyle name="Процентный 8 59 2 2" xfId="18664"/>
    <cellStyle name="Процентный 8 59 2 2 2" xfId="50708"/>
    <cellStyle name="Процентный 8 59 2 3" xfId="29345"/>
    <cellStyle name="Процентный 8 59 2 3 2" xfId="61388"/>
    <cellStyle name="Процентный 8 59 2 4" xfId="40028"/>
    <cellStyle name="Процентный 8 59 3" xfId="13324"/>
    <cellStyle name="Процентный 8 59 3 2" xfId="45368"/>
    <cellStyle name="Процентный 8 59 4" xfId="24005"/>
    <cellStyle name="Процентный 8 59 4 2" xfId="56048"/>
    <cellStyle name="Процентный 8 59 5" xfId="34688"/>
    <cellStyle name="Процентный 8 6" xfId="1169"/>
    <cellStyle name="Процентный 8 6 2" xfId="6512"/>
    <cellStyle name="Процентный 8 6 2 2" xfId="17192"/>
    <cellStyle name="Процентный 8 6 2 2 2" xfId="49236"/>
    <cellStyle name="Процентный 8 6 2 3" xfId="27873"/>
    <cellStyle name="Процентный 8 6 2 3 2" xfId="59916"/>
    <cellStyle name="Процентный 8 6 2 4" xfId="38556"/>
    <cellStyle name="Процентный 8 6 3" xfId="11852"/>
    <cellStyle name="Процентный 8 6 3 2" xfId="43896"/>
    <cellStyle name="Процентный 8 6 4" xfId="22533"/>
    <cellStyle name="Процентный 8 6 4 2" xfId="54576"/>
    <cellStyle name="Процентный 8 6 5" xfId="33216"/>
    <cellStyle name="Процентный 8 60" xfId="2674"/>
    <cellStyle name="Процентный 8 60 2" xfId="8016"/>
    <cellStyle name="Процентный 8 60 2 2" xfId="18696"/>
    <cellStyle name="Процентный 8 60 2 2 2" xfId="50740"/>
    <cellStyle name="Процентный 8 60 2 3" xfId="29377"/>
    <cellStyle name="Процентный 8 60 2 3 2" xfId="61420"/>
    <cellStyle name="Процентный 8 60 2 4" xfId="40060"/>
    <cellStyle name="Процентный 8 60 3" xfId="13356"/>
    <cellStyle name="Процентный 8 60 3 2" xfId="45400"/>
    <cellStyle name="Процентный 8 60 4" xfId="24037"/>
    <cellStyle name="Процентный 8 60 4 2" xfId="56080"/>
    <cellStyle name="Процентный 8 60 5" xfId="34720"/>
    <cellStyle name="Процентный 8 61" xfId="2706"/>
    <cellStyle name="Процентный 8 61 2" xfId="8048"/>
    <cellStyle name="Процентный 8 61 2 2" xfId="18728"/>
    <cellStyle name="Процентный 8 61 2 2 2" xfId="50772"/>
    <cellStyle name="Процентный 8 61 2 3" xfId="29409"/>
    <cellStyle name="Процентный 8 61 2 3 2" xfId="61452"/>
    <cellStyle name="Процентный 8 61 2 4" xfId="40092"/>
    <cellStyle name="Процентный 8 61 3" xfId="13388"/>
    <cellStyle name="Процентный 8 61 3 2" xfId="45432"/>
    <cellStyle name="Процентный 8 61 4" xfId="24069"/>
    <cellStyle name="Процентный 8 61 4 2" xfId="56112"/>
    <cellStyle name="Процентный 8 61 5" xfId="34752"/>
    <cellStyle name="Процентный 8 62" xfId="2738"/>
    <cellStyle name="Процентный 8 62 2" xfId="8080"/>
    <cellStyle name="Процентный 8 62 2 2" xfId="18760"/>
    <cellStyle name="Процентный 8 62 2 2 2" xfId="50804"/>
    <cellStyle name="Процентный 8 62 2 3" xfId="29441"/>
    <cellStyle name="Процентный 8 62 2 3 2" xfId="61484"/>
    <cellStyle name="Процентный 8 62 2 4" xfId="40124"/>
    <cellStyle name="Процентный 8 62 3" xfId="13420"/>
    <cellStyle name="Процентный 8 62 3 2" xfId="45464"/>
    <cellStyle name="Процентный 8 62 4" xfId="24101"/>
    <cellStyle name="Процентный 8 62 4 2" xfId="56144"/>
    <cellStyle name="Процентный 8 62 5" xfId="34784"/>
    <cellStyle name="Процентный 8 63" xfId="2772"/>
    <cellStyle name="Процентный 8 63 2" xfId="8114"/>
    <cellStyle name="Процентный 8 63 2 2" xfId="18794"/>
    <cellStyle name="Процентный 8 63 2 2 2" xfId="50838"/>
    <cellStyle name="Процентный 8 63 2 3" xfId="29475"/>
    <cellStyle name="Процентный 8 63 2 3 2" xfId="61518"/>
    <cellStyle name="Процентный 8 63 2 4" xfId="40158"/>
    <cellStyle name="Процентный 8 63 3" xfId="13454"/>
    <cellStyle name="Процентный 8 63 3 2" xfId="45498"/>
    <cellStyle name="Процентный 8 63 4" xfId="24135"/>
    <cellStyle name="Процентный 8 63 4 2" xfId="56178"/>
    <cellStyle name="Процентный 8 63 5" xfId="34818"/>
    <cellStyle name="Процентный 8 64" xfId="2804"/>
    <cellStyle name="Процентный 8 64 2" xfId="8146"/>
    <cellStyle name="Процентный 8 64 2 2" xfId="18826"/>
    <cellStyle name="Процентный 8 64 2 2 2" xfId="50870"/>
    <cellStyle name="Процентный 8 64 2 3" xfId="29507"/>
    <cellStyle name="Процентный 8 64 2 3 2" xfId="61550"/>
    <cellStyle name="Процентный 8 64 2 4" xfId="40190"/>
    <cellStyle name="Процентный 8 64 3" xfId="13486"/>
    <cellStyle name="Процентный 8 64 3 2" xfId="45530"/>
    <cellStyle name="Процентный 8 64 4" xfId="24167"/>
    <cellStyle name="Процентный 8 64 4 2" xfId="56210"/>
    <cellStyle name="Процентный 8 64 5" xfId="34850"/>
    <cellStyle name="Процентный 8 65" xfId="2836"/>
    <cellStyle name="Процентный 8 65 2" xfId="8178"/>
    <cellStyle name="Процентный 8 65 2 2" xfId="18858"/>
    <cellStyle name="Процентный 8 65 2 2 2" xfId="50902"/>
    <cellStyle name="Процентный 8 65 2 3" xfId="29539"/>
    <cellStyle name="Процентный 8 65 2 3 2" xfId="61582"/>
    <cellStyle name="Процентный 8 65 2 4" xfId="40222"/>
    <cellStyle name="Процентный 8 65 3" xfId="13518"/>
    <cellStyle name="Процентный 8 65 3 2" xfId="45562"/>
    <cellStyle name="Процентный 8 65 4" xfId="24199"/>
    <cellStyle name="Процентный 8 65 4 2" xfId="56242"/>
    <cellStyle name="Процентный 8 65 5" xfId="34882"/>
    <cellStyle name="Процентный 8 66" xfId="2868"/>
    <cellStyle name="Процентный 8 66 2" xfId="8210"/>
    <cellStyle name="Процентный 8 66 2 2" xfId="18890"/>
    <cellStyle name="Процентный 8 66 2 2 2" xfId="50934"/>
    <cellStyle name="Процентный 8 66 2 3" xfId="29571"/>
    <cellStyle name="Процентный 8 66 2 3 2" xfId="61614"/>
    <cellStyle name="Процентный 8 66 2 4" xfId="40254"/>
    <cellStyle name="Процентный 8 66 3" xfId="13550"/>
    <cellStyle name="Процентный 8 66 3 2" xfId="45594"/>
    <cellStyle name="Процентный 8 66 4" xfId="24231"/>
    <cellStyle name="Процентный 8 66 4 2" xfId="56274"/>
    <cellStyle name="Процентный 8 66 5" xfId="34914"/>
    <cellStyle name="Процентный 8 67" xfId="2900"/>
    <cellStyle name="Процентный 8 67 2" xfId="8242"/>
    <cellStyle name="Процентный 8 67 2 2" xfId="18922"/>
    <cellStyle name="Процентный 8 67 2 2 2" xfId="50966"/>
    <cellStyle name="Процентный 8 67 2 3" xfId="29603"/>
    <cellStyle name="Процентный 8 67 2 3 2" xfId="61646"/>
    <cellStyle name="Процентный 8 67 2 4" xfId="40286"/>
    <cellStyle name="Процентный 8 67 3" xfId="13582"/>
    <cellStyle name="Процентный 8 67 3 2" xfId="45626"/>
    <cellStyle name="Процентный 8 67 4" xfId="24263"/>
    <cellStyle name="Процентный 8 67 4 2" xfId="56306"/>
    <cellStyle name="Процентный 8 67 5" xfId="34946"/>
    <cellStyle name="Процентный 8 68" xfId="2932"/>
    <cellStyle name="Процентный 8 68 2" xfId="8274"/>
    <cellStyle name="Процентный 8 68 2 2" xfId="18954"/>
    <cellStyle name="Процентный 8 68 2 2 2" xfId="50998"/>
    <cellStyle name="Процентный 8 68 2 3" xfId="29635"/>
    <cellStyle name="Процентный 8 68 2 3 2" xfId="61678"/>
    <cellStyle name="Процентный 8 68 2 4" xfId="40318"/>
    <cellStyle name="Процентный 8 68 3" xfId="13614"/>
    <cellStyle name="Процентный 8 68 3 2" xfId="45658"/>
    <cellStyle name="Процентный 8 68 4" xfId="24295"/>
    <cellStyle name="Процентный 8 68 4 2" xfId="56338"/>
    <cellStyle name="Процентный 8 68 5" xfId="34978"/>
    <cellStyle name="Процентный 8 69" xfId="2964"/>
    <cellStyle name="Процентный 8 69 2" xfId="8306"/>
    <cellStyle name="Процентный 8 69 2 2" xfId="18986"/>
    <cellStyle name="Процентный 8 69 2 2 2" xfId="51030"/>
    <cellStyle name="Процентный 8 69 2 3" xfId="29667"/>
    <cellStyle name="Процентный 8 69 2 3 2" xfId="61710"/>
    <cellStyle name="Процентный 8 69 2 4" xfId="40350"/>
    <cellStyle name="Процентный 8 69 3" xfId="13646"/>
    <cellStyle name="Процентный 8 69 3 2" xfId="45690"/>
    <cellStyle name="Процентный 8 69 4" xfId="24327"/>
    <cellStyle name="Процентный 8 69 4 2" xfId="56370"/>
    <cellStyle name="Процентный 8 69 5" xfId="35010"/>
    <cellStyle name="Процентный 8 7" xfId="1195"/>
    <cellStyle name="Процентный 8 7 2" xfId="6538"/>
    <cellStyle name="Процентный 8 7 2 2" xfId="17218"/>
    <cellStyle name="Процентный 8 7 2 2 2" xfId="49262"/>
    <cellStyle name="Процентный 8 7 2 3" xfId="27899"/>
    <cellStyle name="Процентный 8 7 2 3 2" xfId="59942"/>
    <cellStyle name="Процентный 8 7 2 4" xfId="38582"/>
    <cellStyle name="Процентный 8 7 3" xfId="11878"/>
    <cellStyle name="Процентный 8 7 3 2" xfId="43922"/>
    <cellStyle name="Процентный 8 7 4" xfId="22559"/>
    <cellStyle name="Процентный 8 7 4 2" xfId="54602"/>
    <cellStyle name="Процентный 8 7 5" xfId="33242"/>
    <cellStyle name="Процентный 8 70" xfId="2996"/>
    <cellStyle name="Процентный 8 70 2" xfId="8338"/>
    <cellStyle name="Процентный 8 70 2 2" xfId="19018"/>
    <cellStyle name="Процентный 8 70 2 2 2" xfId="51062"/>
    <cellStyle name="Процентный 8 70 2 3" xfId="29699"/>
    <cellStyle name="Процентный 8 70 2 3 2" xfId="61742"/>
    <cellStyle name="Процентный 8 70 2 4" xfId="40382"/>
    <cellStyle name="Процентный 8 70 3" xfId="13678"/>
    <cellStyle name="Процентный 8 70 3 2" xfId="45722"/>
    <cellStyle name="Процентный 8 70 4" xfId="24359"/>
    <cellStyle name="Процентный 8 70 4 2" xfId="56402"/>
    <cellStyle name="Процентный 8 70 5" xfId="35042"/>
    <cellStyle name="Процентный 8 71" xfId="3028"/>
    <cellStyle name="Процентный 8 71 2" xfId="8370"/>
    <cellStyle name="Процентный 8 71 2 2" xfId="19050"/>
    <cellStyle name="Процентный 8 71 2 2 2" xfId="51094"/>
    <cellStyle name="Процентный 8 71 2 3" xfId="29731"/>
    <cellStyle name="Процентный 8 71 2 3 2" xfId="61774"/>
    <cellStyle name="Процентный 8 71 2 4" xfId="40414"/>
    <cellStyle name="Процентный 8 71 3" xfId="13710"/>
    <cellStyle name="Процентный 8 71 3 2" xfId="45754"/>
    <cellStyle name="Процентный 8 71 4" xfId="24391"/>
    <cellStyle name="Процентный 8 71 4 2" xfId="56434"/>
    <cellStyle name="Процентный 8 71 5" xfId="35074"/>
    <cellStyle name="Процентный 8 72" xfId="3060"/>
    <cellStyle name="Процентный 8 72 2" xfId="8402"/>
    <cellStyle name="Процентный 8 72 2 2" xfId="19082"/>
    <cellStyle name="Процентный 8 72 2 2 2" xfId="51126"/>
    <cellStyle name="Процентный 8 72 2 3" xfId="29763"/>
    <cellStyle name="Процентный 8 72 2 3 2" xfId="61806"/>
    <cellStyle name="Процентный 8 72 2 4" xfId="40446"/>
    <cellStyle name="Процентный 8 72 3" xfId="13742"/>
    <cellStyle name="Процентный 8 72 3 2" xfId="45786"/>
    <cellStyle name="Процентный 8 72 4" xfId="24423"/>
    <cellStyle name="Процентный 8 72 4 2" xfId="56466"/>
    <cellStyle name="Процентный 8 72 5" xfId="35106"/>
    <cellStyle name="Процентный 8 73" xfId="3092"/>
    <cellStyle name="Процентный 8 73 2" xfId="8434"/>
    <cellStyle name="Процентный 8 73 2 2" xfId="19114"/>
    <cellStyle name="Процентный 8 73 2 2 2" xfId="51158"/>
    <cellStyle name="Процентный 8 73 2 3" xfId="29795"/>
    <cellStyle name="Процентный 8 73 2 3 2" xfId="61838"/>
    <cellStyle name="Процентный 8 73 2 4" xfId="40478"/>
    <cellStyle name="Процентный 8 73 3" xfId="13774"/>
    <cellStyle name="Процентный 8 73 3 2" xfId="45818"/>
    <cellStyle name="Процентный 8 73 4" xfId="24455"/>
    <cellStyle name="Процентный 8 73 4 2" xfId="56498"/>
    <cellStyle name="Процентный 8 73 5" xfId="35138"/>
    <cellStyle name="Процентный 8 74" xfId="3125"/>
    <cellStyle name="Процентный 8 74 2" xfId="8466"/>
    <cellStyle name="Процентный 8 74 2 2" xfId="19146"/>
    <cellStyle name="Процентный 8 74 2 2 2" xfId="51190"/>
    <cellStyle name="Процентный 8 74 2 3" xfId="29827"/>
    <cellStyle name="Процентный 8 74 2 3 2" xfId="61870"/>
    <cellStyle name="Процентный 8 74 2 4" xfId="40510"/>
    <cellStyle name="Процентный 8 74 3" xfId="13806"/>
    <cellStyle name="Процентный 8 74 3 2" xfId="45850"/>
    <cellStyle name="Процентный 8 74 4" xfId="24487"/>
    <cellStyle name="Процентный 8 74 4 2" xfId="56530"/>
    <cellStyle name="Процентный 8 74 5" xfId="35170"/>
    <cellStyle name="Процентный 8 75" xfId="3157"/>
    <cellStyle name="Процентный 8 75 2" xfId="8498"/>
    <cellStyle name="Процентный 8 75 2 2" xfId="19178"/>
    <cellStyle name="Процентный 8 75 2 2 2" xfId="51222"/>
    <cellStyle name="Процентный 8 75 2 3" xfId="29859"/>
    <cellStyle name="Процентный 8 75 2 3 2" xfId="61902"/>
    <cellStyle name="Процентный 8 75 2 4" xfId="40542"/>
    <cellStyle name="Процентный 8 75 3" xfId="13838"/>
    <cellStyle name="Процентный 8 75 3 2" xfId="45882"/>
    <cellStyle name="Процентный 8 75 4" xfId="24519"/>
    <cellStyle name="Процентный 8 75 4 2" xfId="56562"/>
    <cellStyle name="Процентный 8 75 5" xfId="35202"/>
    <cellStyle name="Процентный 8 76" xfId="3189"/>
    <cellStyle name="Процентный 8 76 2" xfId="8530"/>
    <cellStyle name="Процентный 8 76 2 2" xfId="19210"/>
    <cellStyle name="Процентный 8 76 2 2 2" xfId="51254"/>
    <cellStyle name="Процентный 8 76 2 3" xfId="29891"/>
    <cellStyle name="Процентный 8 76 2 3 2" xfId="61934"/>
    <cellStyle name="Процентный 8 76 2 4" xfId="40574"/>
    <cellStyle name="Процентный 8 76 3" xfId="13870"/>
    <cellStyle name="Процентный 8 76 3 2" xfId="45914"/>
    <cellStyle name="Процентный 8 76 4" xfId="24551"/>
    <cellStyle name="Процентный 8 76 4 2" xfId="56594"/>
    <cellStyle name="Процентный 8 76 5" xfId="35234"/>
    <cellStyle name="Процентный 8 77" xfId="3221"/>
    <cellStyle name="Процентный 8 77 2" xfId="8562"/>
    <cellStyle name="Процентный 8 77 2 2" xfId="19242"/>
    <cellStyle name="Процентный 8 77 2 2 2" xfId="51286"/>
    <cellStyle name="Процентный 8 77 2 3" xfId="29923"/>
    <cellStyle name="Процентный 8 77 2 3 2" xfId="61966"/>
    <cellStyle name="Процентный 8 77 2 4" xfId="40606"/>
    <cellStyle name="Процентный 8 77 3" xfId="13902"/>
    <cellStyle name="Процентный 8 77 3 2" xfId="45946"/>
    <cellStyle name="Процентный 8 77 4" xfId="24583"/>
    <cellStyle name="Процентный 8 77 4 2" xfId="56626"/>
    <cellStyle name="Процентный 8 77 5" xfId="35266"/>
    <cellStyle name="Процентный 8 78" xfId="3253"/>
    <cellStyle name="Процентный 8 78 2" xfId="8594"/>
    <cellStyle name="Процентный 8 78 2 2" xfId="19274"/>
    <cellStyle name="Процентный 8 78 2 2 2" xfId="51318"/>
    <cellStyle name="Процентный 8 78 2 3" xfId="29955"/>
    <cellStyle name="Процентный 8 78 2 3 2" xfId="61998"/>
    <cellStyle name="Процентный 8 78 2 4" xfId="40638"/>
    <cellStyle name="Процентный 8 78 3" xfId="13934"/>
    <cellStyle name="Процентный 8 78 3 2" xfId="45978"/>
    <cellStyle name="Процентный 8 78 4" xfId="24615"/>
    <cellStyle name="Процентный 8 78 4 2" xfId="56658"/>
    <cellStyle name="Процентный 8 78 5" xfId="35298"/>
    <cellStyle name="Процентный 8 79" xfId="3285"/>
    <cellStyle name="Процентный 8 79 2" xfId="8626"/>
    <cellStyle name="Процентный 8 79 2 2" xfId="19306"/>
    <cellStyle name="Процентный 8 79 2 2 2" xfId="51350"/>
    <cellStyle name="Процентный 8 79 2 3" xfId="29987"/>
    <cellStyle name="Процентный 8 79 2 3 2" xfId="62030"/>
    <cellStyle name="Процентный 8 79 2 4" xfId="40670"/>
    <cellStyle name="Процентный 8 79 3" xfId="13966"/>
    <cellStyle name="Процентный 8 79 3 2" xfId="46010"/>
    <cellStyle name="Процентный 8 79 4" xfId="24647"/>
    <cellStyle name="Процентный 8 79 4 2" xfId="56690"/>
    <cellStyle name="Процентный 8 79 5" xfId="35330"/>
    <cellStyle name="Процентный 8 8" xfId="1221"/>
    <cellStyle name="Процентный 8 8 2" xfId="6564"/>
    <cellStyle name="Процентный 8 8 2 2" xfId="17244"/>
    <cellStyle name="Процентный 8 8 2 2 2" xfId="49288"/>
    <cellStyle name="Процентный 8 8 2 3" xfId="27925"/>
    <cellStyle name="Процентный 8 8 2 3 2" xfId="59968"/>
    <cellStyle name="Процентный 8 8 2 4" xfId="38608"/>
    <cellStyle name="Процентный 8 8 3" xfId="11904"/>
    <cellStyle name="Процентный 8 8 3 2" xfId="43948"/>
    <cellStyle name="Процентный 8 8 4" xfId="22585"/>
    <cellStyle name="Процентный 8 8 4 2" xfId="54628"/>
    <cellStyle name="Процентный 8 8 5" xfId="33268"/>
    <cellStyle name="Процентный 8 80" xfId="3317"/>
    <cellStyle name="Процентный 8 80 2" xfId="8658"/>
    <cellStyle name="Процентный 8 80 2 2" xfId="19338"/>
    <cellStyle name="Процентный 8 80 2 2 2" xfId="51382"/>
    <cellStyle name="Процентный 8 80 2 3" xfId="30019"/>
    <cellStyle name="Процентный 8 80 2 3 2" xfId="62062"/>
    <cellStyle name="Процентный 8 80 2 4" xfId="40702"/>
    <cellStyle name="Процентный 8 80 3" xfId="13998"/>
    <cellStyle name="Процентный 8 80 3 2" xfId="46042"/>
    <cellStyle name="Процентный 8 80 4" xfId="24679"/>
    <cellStyle name="Процентный 8 80 4 2" xfId="56722"/>
    <cellStyle name="Процентный 8 80 5" xfId="35362"/>
    <cellStyle name="Процентный 8 81" xfId="3349"/>
    <cellStyle name="Процентный 8 81 2" xfId="8690"/>
    <cellStyle name="Процентный 8 81 2 2" xfId="19370"/>
    <cellStyle name="Процентный 8 81 2 2 2" xfId="51414"/>
    <cellStyle name="Процентный 8 81 2 3" xfId="30051"/>
    <cellStyle name="Процентный 8 81 2 3 2" xfId="62094"/>
    <cellStyle name="Процентный 8 81 2 4" xfId="40734"/>
    <cellStyle name="Процентный 8 81 3" xfId="14030"/>
    <cellStyle name="Процентный 8 81 3 2" xfId="46074"/>
    <cellStyle name="Процентный 8 81 4" xfId="24711"/>
    <cellStyle name="Процентный 8 81 4 2" xfId="56754"/>
    <cellStyle name="Процентный 8 81 5" xfId="35394"/>
    <cellStyle name="Процентный 8 82" xfId="3381"/>
    <cellStyle name="Процентный 8 82 2" xfId="8722"/>
    <cellStyle name="Процентный 8 82 2 2" xfId="19402"/>
    <cellStyle name="Процентный 8 82 2 2 2" xfId="51446"/>
    <cellStyle name="Процентный 8 82 2 3" xfId="30083"/>
    <cellStyle name="Процентный 8 82 2 3 2" xfId="62126"/>
    <cellStyle name="Процентный 8 82 2 4" xfId="40766"/>
    <cellStyle name="Процентный 8 82 3" xfId="14062"/>
    <cellStyle name="Процентный 8 82 3 2" xfId="46106"/>
    <cellStyle name="Процентный 8 82 4" xfId="24743"/>
    <cellStyle name="Процентный 8 82 4 2" xfId="56786"/>
    <cellStyle name="Процентный 8 82 5" xfId="35426"/>
    <cellStyle name="Процентный 8 83" xfId="3413"/>
    <cellStyle name="Процентный 8 83 2" xfId="8754"/>
    <cellStyle name="Процентный 8 83 2 2" xfId="19434"/>
    <cellStyle name="Процентный 8 83 2 2 2" xfId="51478"/>
    <cellStyle name="Процентный 8 83 2 3" xfId="30115"/>
    <cellStyle name="Процентный 8 83 2 3 2" xfId="62158"/>
    <cellStyle name="Процентный 8 83 2 4" xfId="40798"/>
    <cellStyle name="Процентный 8 83 3" xfId="14094"/>
    <cellStyle name="Процентный 8 83 3 2" xfId="46138"/>
    <cellStyle name="Процентный 8 83 4" xfId="24775"/>
    <cellStyle name="Процентный 8 83 4 2" xfId="56818"/>
    <cellStyle name="Процентный 8 83 5" xfId="35458"/>
    <cellStyle name="Процентный 8 84" xfId="3445"/>
    <cellStyle name="Процентный 8 84 2" xfId="8786"/>
    <cellStyle name="Процентный 8 84 2 2" xfId="19466"/>
    <cellStyle name="Процентный 8 84 2 2 2" xfId="51510"/>
    <cellStyle name="Процентный 8 84 2 3" xfId="30147"/>
    <cellStyle name="Процентный 8 84 2 3 2" xfId="62190"/>
    <cellStyle name="Процентный 8 84 2 4" xfId="40830"/>
    <cellStyle name="Процентный 8 84 3" xfId="14126"/>
    <cellStyle name="Процентный 8 84 3 2" xfId="46170"/>
    <cellStyle name="Процентный 8 84 4" xfId="24807"/>
    <cellStyle name="Процентный 8 84 4 2" xfId="56850"/>
    <cellStyle name="Процентный 8 84 5" xfId="35490"/>
    <cellStyle name="Процентный 8 85" xfId="3477"/>
    <cellStyle name="Процентный 8 85 2" xfId="8818"/>
    <cellStyle name="Процентный 8 85 2 2" xfId="19498"/>
    <cellStyle name="Процентный 8 85 2 2 2" xfId="51542"/>
    <cellStyle name="Процентный 8 85 2 3" xfId="30179"/>
    <cellStyle name="Процентный 8 85 2 3 2" xfId="62222"/>
    <cellStyle name="Процентный 8 85 2 4" xfId="40862"/>
    <cellStyle name="Процентный 8 85 3" xfId="14158"/>
    <cellStyle name="Процентный 8 85 3 2" xfId="46202"/>
    <cellStyle name="Процентный 8 85 4" xfId="24839"/>
    <cellStyle name="Процентный 8 85 4 2" xfId="56882"/>
    <cellStyle name="Процентный 8 85 5" xfId="35522"/>
    <cellStyle name="Процентный 8 86" xfId="3509"/>
    <cellStyle name="Процентный 8 86 2" xfId="8850"/>
    <cellStyle name="Процентный 8 86 2 2" xfId="19530"/>
    <cellStyle name="Процентный 8 86 2 2 2" xfId="51574"/>
    <cellStyle name="Процентный 8 86 2 3" xfId="30211"/>
    <cellStyle name="Процентный 8 86 2 3 2" xfId="62254"/>
    <cellStyle name="Процентный 8 86 2 4" xfId="40894"/>
    <cellStyle name="Процентный 8 86 3" xfId="14190"/>
    <cellStyle name="Процентный 8 86 3 2" xfId="46234"/>
    <cellStyle name="Процентный 8 86 4" xfId="24871"/>
    <cellStyle name="Процентный 8 86 4 2" xfId="56914"/>
    <cellStyle name="Процентный 8 86 5" xfId="35554"/>
    <cellStyle name="Процентный 8 87" xfId="3541"/>
    <cellStyle name="Процентный 8 87 2" xfId="8882"/>
    <cellStyle name="Процентный 8 87 2 2" xfId="19562"/>
    <cellStyle name="Процентный 8 87 2 2 2" xfId="51606"/>
    <cellStyle name="Процентный 8 87 2 3" xfId="30243"/>
    <cellStyle name="Процентный 8 87 2 3 2" xfId="62286"/>
    <cellStyle name="Процентный 8 87 2 4" xfId="40926"/>
    <cellStyle name="Процентный 8 87 3" xfId="14222"/>
    <cellStyle name="Процентный 8 87 3 2" xfId="46266"/>
    <cellStyle name="Процентный 8 87 4" xfId="24903"/>
    <cellStyle name="Процентный 8 87 4 2" xfId="56946"/>
    <cellStyle name="Процентный 8 87 5" xfId="35586"/>
    <cellStyle name="Процентный 8 88" xfId="3573"/>
    <cellStyle name="Процентный 8 88 2" xfId="8914"/>
    <cellStyle name="Процентный 8 88 2 2" xfId="19594"/>
    <cellStyle name="Процентный 8 88 2 2 2" xfId="51638"/>
    <cellStyle name="Процентный 8 88 2 3" xfId="30275"/>
    <cellStyle name="Процентный 8 88 2 3 2" xfId="62318"/>
    <cellStyle name="Процентный 8 88 2 4" xfId="40958"/>
    <cellStyle name="Процентный 8 88 3" xfId="14254"/>
    <cellStyle name="Процентный 8 88 3 2" xfId="46298"/>
    <cellStyle name="Процентный 8 88 4" xfId="24935"/>
    <cellStyle name="Процентный 8 88 4 2" xfId="56978"/>
    <cellStyle name="Процентный 8 88 5" xfId="35618"/>
    <cellStyle name="Процентный 8 89" xfId="3605"/>
    <cellStyle name="Процентный 8 89 2" xfId="8946"/>
    <cellStyle name="Процентный 8 89 2 2" xfId="19626"/>
    <cellStyle name="Процентный 8 89 2 2 2" xfId="51670"/>
    <cellStyle name="Процентный 8 89 2 3" xfId="30307"/>
    <cellStyle name="Процентный 8 89 2 3 2" xfId="62350"/>
    <cellStyle name="Процентный 8 89 2 4" xfId="40990"/>
    <cellStyle name="Процентный 8 89 3" xfId="14286"/>
    <cellStyle name="Процентный 8 89 3 2" xfId="46330"/>
    <cellStyle name="Процентный 8 89 4" xfId="24967"/>
    <cellStyle name="Процентный 8 89 4 2" xfId="57010"/>
    <cellStyle name="Процентный 8 89 5" xfId="35650"/>
    <cellStyle name="Процентный 8 9" xfId="1247"/>
    <cellStyle name="Процентный 8 9 2" xfId="6590"/>
    <cellStyle name="Процентный 8 9 2 2" xfId="17270"/>
    <cellStyle name="Процентный 8 9 2 2 2" xfId="49314"/>
    <cellStyle name="Процентный 8 9 2 3" xfId="27951"/>
    <cellStyle name="Процентный 8 9 2 3 2" xfId="59994"/>
    <cellStyle name="Процентный 8 9 2 4" xfId="38634"/>
    <cellStyle name="Процентный 8 9 3" xfId="11930"/>
    <cellStyle name="Процентный 8 9 3 2" xfId="43974"/>
    <cellStyle name="Процентный 8 9 4" xfId="22611"/>
    <cellStyle name="Процентный 8 9 4 2" xfId="54654"/>
    <cellStyle name="Процентный 8 9 5" xfId="33294"/>
    <cellStyle name="Процентный 8 90" xfId="3637"/>
    <cellStyle name="Процентный 8 90 2" xfId="8978"/>
    <cellStyle name="Процентный 8 90 2 2" xfId="19658"/>
    <cellStyle name="Процентный 8 90 2 2 2" xfId="51702"/>
    <cellStyle name="Процентный 8 90 2 3" xfId="30339"/>
    <cellStyle name="Процентный 8 90 2 3 2" xfId="62382"/>
    <cellStyle name="Процентный 8 90 2 4" xfId="41022"/>
    <cellStyle name="Процентный 8 90 3" xfId="14318"/>
    <cellStyle name="Процентный 8 90 3 2" xfId="46362"/>
    <cellStyle name="Процентный 8 90 4" xfId="24999"/>
    <cellStyle name="Процентный 8 90 4 2" xfId="57042"/>
    <cellStyle name="Процентный 8 90 5" xfId="35682"/>
    <cellStyle name="Процентный 8 91" xfId="3669"/>
    <cellStyle name="Процентный 8 91 2" xfId="9010"/>
    <cellStyle name="Процентный 8 91 2 2" xfId="19690"/>
    <cellStyle name="Процентный 8 91 2 2 2" xfId="51734"/>
    <cellStyle name="Процентный 8 91 2 3" xfId="30371"/>
    <cellStyle name="Процентный 8 91 2 3 2" xfId="62414"/>
    <cellStyle name="Процентный 8 91 2 4" xfId="41054"/>
    <cellStyle name="Процентный 8 91 3" xfId="14350"/>
    <cellStyle name="Процентный 8 91 3 2" xfId="46394"/>
    <cellStyle name="Процентный 8 91 4" xfId="25031"/>
    <cellStyle name="Процентный 8 91 4 2" xfId="57074"/>
    <cellStyle name="Процентный 8 91 5" xfId="35714"/>
    <cellStyle name="Процентный 8 92" xfId="3701"/>
    <cellStyle name="Процентный 8 92 2" xfId="9042"/>
    <cellStyle name="Процентный 8 92 2 2" xfId="19722"/>
    <cellStyle name="Процентный 8 92 2 2 2" xfId="51766"/>
    <cellStyle name="Процентный 8 92 2 3" xfId="30403"/>
    <cellStyle name="Процентный 8 92 2 3 2" xfId="62446"/>
    <cellStyle name="Процентный 8 92 2 4" xfId="41086"/>
    <cellStyle name="Процентный 8 92 3" xfId="14382"/>
    <cellStyle name="Процентный 8 92 3 2" xfId="46426"/>
    <cellStyle name="Процентный 8 92 4" xfId="25063"/>
    <cellStyle name="Процентный 8 92 4 2" xfId="57106"/>
    <cellStyle name="Процентный 8 92 5" xfId="35746"/>
    <cellStyle name="Процентный 8 93" xfId="3733"/>
    <cellStyle name="Процентный 8 93 2" xfId="9074"/>
    <cellStyle name="Процентный 8 93 2 2" xfId="19754"/>
    <cellStyle name="Процентный 8 93 2 2 2" xfId="51798"/>
    <cellStyle name="Процентный 8 93 2 3" xfId="30435"/>
    <cellStyle name="Процентный 8 93 2 3 2" xfId="62478"/>
    <cellStyle name="Процентный 8 93 2 4" xfId="41118"/>
    <cellStyle name="Процентный 8 93 3" xfId="14414"/>
    <cellStyle name="Процентный 8 93 3 2" xfId="46458"/>
    <cellStyle name="Процентный 8 93 4" xfId="25095"/>
    <cellStyle name="Процентный 8 93 4 2" xfId="57138"/>
    <cellStyle name="Процентный 8 93 5" xfId="35778"/>
    <cellStyle name="Процентный 8 94" xfId="3765"/>
    <cellStyle name="Процентный 8 94 2" xfId="9106"/>
    <cellStyle name="Процентный 8 94 2 2" xfId="19786"/>
    <cellStyle name="Процентный 8 94 2 2 2" xfId="51830"/>
    <cellStyle name="Процентный 8 94 2 3" xfId="30467"/>
    <cellStyle name="Процентный 8 94 2 3 2" xfId="62510"/>
    <cellStyle name="Процентный 8 94 2 4" xfId="41150"/>
    <cellStyle name="Процентный 8 94 3" xfId="14446"/>
    <cellStyle name="Процентный 8 94 3 2" xfId="46490"/>
    <cellStyle name="Процентный 8 94 4" xfId="25127"/>
    <cellStyle name="Процентный 8 94 4 2" xfId="57170"/>
    <cellStyle name="Процентный 8 94 5" xfId="35810"/>
    <cellStyle name="Процентный 8 95" xfId="3797"/>
    <cellStyle name="Процентный 8 95 2" xfId="9138"/>
    <cellStyle name="Процентный 8 95 2 2" xfId="19818"/>
    <cellStyle name="Процентный 8 95 2 2 2" xfId="51862"/>
    <cellStyle name="Процентный 8 95 2 3" xfId="30499"/>
    <cellStyle name="Процентный 8 95 2 3 2" xfId="62542"/>
    <cellStyle name="Процентный 8 95 2 4" xfId="41182"/>
    <cellStyle name="Процентный 8 95 3" xfId="14478"/>
    <cellStyle name="Процентный 8 95 3 2" xfId="46522"/>
    <cellStyle name="Процентный 8 95 4" xfId="25159"/>
    <cellStyle name="Процентный 8 95 4 2" xfId="57202"/>
    <cellStyle name="Процентный 8 95 5" xfId="35842"/>
    <cellStyle name="Процентный 8 96" xfId="3829"/>
    <cellStyle name="Процентный 8 96 2" xfId="9170"/>
    <cellStyle name="Процентный 8 96 2 2" xfId="19850"/>
    <cellStyle name="Процентный 8 96 2 2 2" xfId="51894"/>
    <cellStyle name="Процентный 8 96 2 3" xfId="30531"/>
    <cellStyle name="Процентный 8 96 2 3 2" xfId="62574"/>
    <cellStyle name="Процентный 8 96 2 4" xfId="41214"/>
    <cellStyle name="Процентный 8 96 3" xfId="14510"/>
    <cellStyle name="Процентный 8 96 3 2" xfId="46554"/>
    <cellStyle name="Процентный 8 96 4" xfId="25191"/>
    <cellStyle name="Процентный 8 96 4 2" xfId="57234"/>
    <cellStyle name="Процентный 8 96 5" xfId="35874"/>
    <cellStyle name="Процентный 8 97" xfId="3861"/>
    <cellStyle name="Процентный 8 97 2" xfId="9202"/>
    <cellStyle name="Процентный 8 97 2 2" xfId="19882"/>
    <cellStyle name="Процентный 8 97 2 2 2" xfId="51926"/>
    <cellStyle name="Процентный 8 97 2 3" xfId="30563"/>
    <cellStyle name="Процентный 8 97 2 3 2" xfId="62606"/>
    <cellStyle name="Процентный 8 97 2 4" xfId="41246"/>
    <cellStyle name="Процентный 8 97 3" xfId="14542"/>
    <cellStyle name="Процентный 8 97 3 2" xfId="46586"/>
    <cellStyle name="Процентный 8 97 4" xfId="25223"/>
    <cellStyle name="Процентный 8 97 4 2" xfId="57266"/>
    <cellStyle name="Процентный 8 97 5" xfId="35906"/>
    <cellStyle name="Процентный 8 98" xfId="3893"/>
    <cellStyle name="Процентный 8 98 2" xfId="9234"/>
    <cellStyle name="Процентный 8 98 2 2" xfId="19914"/>
    <cellStyle name="Процентный 8 98 2 2 2" xfId="51958"/>
    <cellStyle name="Процентный 8 98 2 3" xfId="30595"/>
    <cellStyle name="Процентный 8 98 2 3 2" xfId="62638"/>
    <cellStyle name="Процентный 8 98 2 4" xfId="41278"/>
    <cellStyle name="Процентный 8 98 3" xfId="14574"/>
    <cellStyle name="Процентный 8 98 3 2" xfId="46618"/>
    <cellStyle name="Процентный 8 98 4" xfId="25255"/>
    <cellStyle name="Процентный 8 98 4 2" xfId="57298"/>
    <cellStyle name="Процентный 8 98 5" xfId="35938"/>
    <cellStyle name="Процентный 8 99" xfId="3925"/>
    <cellStyle name="Процентный 8 99 2" xfId="9266"/>
    <cellStyle name="Процентный 8 99 2 2" xfId="19946"/>
    <cellStyle name="Процентный 8 99 2 2 2" xfId="51990"/>
    <cellStyle name="Процентный 8 99 2 3" xfId="30627"/>
    <cellStyle name="Процентный 8 99 2 3 2" xfId="62670"/>
    <cellStyle name="Процентный 8 99 2 4" xfId="41310"/>
    <cellStyle name="Процентный 8 99 3" xfId="14606"/>
    <cellStyle name="Процентный 8 99 3 2" xfId="46650"/>
    <cellStyle name="Процентный 8 99 4" xfId="25287"/>
    <cellStyle name="Процентный 8 99 4 2" xfId="57330"/>
    <cellStyle name="Процентный 8 99 5" xfId="35970"/>
    <cellStyle name="Процентный 9" xfId="1300"/>
    <cellStyle name="Процентный 9 10" xfId="2152"/>
    <cellStyle name="Процентный 9 10 2" xfId="7494"/>
    <cellStyle name="Процентный 9 10 2 2" xfId="18174"/>
    <cellStyle name="Процентный 9 10 2 2 2" xfId="50218"/>
    <cellStyle name="Процентный 9 10 2 3" xfId="28855"/>
    <cellStyle name="Процентный 9 10 2 3 2" xfId="60898"/>
    <cellStyle name="Процентный 9 10 2 4" xfId="39538"/>
    <cellStyle name="Процентный 9 10 3" xfId="12834"/>
    <cellStyle name="Процентный 9 10 3 2" xfId="44878"/>
    <cellStyle name="Процентный 9 10 4" xfId="23515"/>
    <cellStyle name="Процентный 9 10 4 2" xfId="55558"/>
    <cellStyle name="Процентный 9 10 5" xfId="34198"/>
    <cellStyle name="Процентный 9 100" xfId="5017"/>
    <cellStyle name="Процентный 9 100 2" xfId="10358"/>
    <cellStyle name="Процентный 9 100 2 2" xfId="21038"/>
    <cellStyle name="Процентный 9 100 2 2 2" xfId="53082"/>
    <cellStyle name="Процентный 9 100 2 3" xfId="31719"/>
    <cellStyle name="Процентный 9 100 2 3 2" xfId="63762"/>
    <cellStyle name="Процентный 9 100 2 4" xfId="42402"/>
    <cellStyle name="Процентный 9 100 3" xfId="15698"/>
    <cellStyle name="Процентный 9 100 3 2" xfId="47742"/>
    <cellStyle name="Процентный 9 100 4" xfId="26379"/>
    <cellStyle name="Процентный 9 100 4 2" xfId="58422"/>
    <cellStyle name="Процентный 9 100 5" xfId="37062"/>
    <cellStyle name="Процентный 9 101" xfId="5049"/>
    <cellStyle name="Процентный 9 101 2" xfId="10390"/>
    <cellStyle name="Процентный 9 101 2 2" xfId="21070"/>
    <cellStyle name="Процентный 9 101 2 2 2" xfId="53114"/>
    <cellStyle name="Процентный 9 101 2 3" xfId="31751"/>
    <cellStyle name="Процентный 9 101 2 3 2" xfId="63794"/>
    <cellStyle name="Процентный 9 101 2 4" xfId="42434"/>
    <cellStyle name="Процентный 9 101 3" xfId="15730"/>
    <cellStyle name="Процентный 9 101 3 2" xfId="47774"/>
    <cellStyle name="Процентный 9 101 4" xfId="26411"/>
    <cellStyle name="Процентный 9 101 4 2" xfId="58454"/>
    <cellStyle name="Процентный 9 101 5" xfId="37094"/>
    <cellStyle name="Процентный 9 102" xfId="5081"/>
    <cellStyle name="Процентный 9 102 2" xfId="10422"/>
    <cellStyle name="Процентный 9 102 2 2" xfId="21102"/>
    <cellStyle name="Процентный 9 102 2 2 2" xfId="53146"/>
    <cellStyle name="Процентный 9 102 2 3" xfId="31783"/>
    <cellStyle name="Процентный 9 102 2 3 2" xfId="63826"/>
    <cellStyle name="Процентный 9 102 2 4" xfId="42466"/>
    <cellStyle name="Процентный 9 102 3" xfId="15762"/>
    <cellStyle name="Процентный 9 102 3 2" xfId="47806"/>
    <cellStyle name="Процентный 9 102 4" xfId="26443"/>
    <cellStyle name="Процентный 9 102 4 2" xfId="58486"/>
    <cellStyle name="Процентный 9 102 5" xfId="37126"/>
    <cellStyle name="Процентный 9 103" xfId="5113"/>
    <cellStyle name="Процентный 9 103 2" xfId="10454"/>
    <cellStyle name="Процентный 9 103 2 2" xfId="21134"/>
    <cellStyle name="Процентный 9 103 2 2 2" xfId="53178"/>
    <cellStyle name="Процентный 9 103 2 3" xfId="31815"/>
    <cellStyle name="Процентный 9 103 2 3 2" xfId="63858"/>
    <cellStyle name="Процентный 9 103 2 4" xfId="42498"/>
    <cellStyle name="Процентный 9 103 3" xfId="15794"/>
    <cellStyle name="Процентный 9 103 3 2" xfId="47838"/>
    <cellStyle name="Процентный 9 103 4" xfId="26475"/>
    <cellStyle name="Процентный 9 103 4 2" xfId="58518"/>
    <cellStyle name="Процентный 9 103 5" xfId="37158"/>
    <cellStyle name="Процентный 9 104" xfId="5145"/>
    <cellStyle name="Процентный 9 104 2" xfId="10486"/>
    <cellStyle name="Процентный 9 104 2 2" xfId="21166"/>
    <cellStyle name="Процентный 9 104 2 2 2" xfId="53210"/>
    <cellStyle name="Процентный 9 104 2 3" xfId="31847"/>
    <cellStyle name="Процентный 9 104 2 3 2" xfId="63890"/>
    <cellStyle name="Процентный 9 104 2 4" xfId="42530"/>
    <cellStyle name="Процентный 9 104 3" xfId="15826"/>
    <cellStyle name="Процентный 9 104 3 2" xfId="47870"/>
    <cellStyle name="Процентный 9 104 4" xfId="26507"/>
    <cellStyle name="Процентный 9 104 4 2" xfId="58550"/>
    <cellStyle name="Процентный 9 104 5" xfId="37190"/>
    <cellStyle name="Процентный 9 105" xfId="5177"/>
    <cellStyle name="Процентный 9 105 2" xfId="10518"/>
    <cellStyle name="Процентный 9 105 2 2" xfId="21198"/>
    <cellStyle name="Процентный 9 105 2 2 2" xfId="53242"/>
    <cellStyle name="Процентный 9 105 2 3" xfId="31879"/>
    <cellStyle name="Процентный 9 105 2 3 2" xfId="63922"/>
    <cellStyle name="Процентный 9 105 2 4" xfId="42562"/>
    <cellStyle name="Процентный 9 105 3" xfId="15858"/>
    <cellStyle name="Процентный 9 105 3 2" xfId="47902"/>
    <cellStyle name="Процентный 9 105 4" xfId="26539"/>
    <cellStyle name="Процентный 9 105 4 2" xfId="58582"/>
    <cellStyle name="Процентный 9 105 5" xfId="37222"/>
    <cellStyle name="Процентный 9 106" xfId="5209"/>
    <cellStyle name="Процентный 9 106 2" xfId="10550"/>
    <cellStyle name="Процентный 9 106 2 2" xfId="21230"/>
    <cellStyle name="Процентный 9 106 2 2 2" xfId="53274"/>
    <cellStyle name="Процентный 9 106 2 3" xfId="31911"/>
    <cellStyle name="Процентный 9 106 2 3 2" xfId="63954"/>
    <cellStyle name="Процентный 9 106 2 4" xfId="42594"/>
    <cellStyle name="Процентный 9 106 3" xfId="15890"/>
    <cellStyle name="Процентный 9 106 3 2" xfId="47934"/>
    <cellStyle name="Процентный 9 106 4" xfId="26571"/>
    <cellStyle name="Процентный 9 106 4 2" xfId="58614"/>
    <cellStyle name="Процентный 9 106 5" xfId="37254"/>
    <cellStyle name="Процентный 9 107" xfId="5241"/>
    <cellStyle name="Процентный 9 107 2" xfId="10582"/>
    <cellStyle name="Процентный 9 107 2 2" xfId="21262"/>
    <cellStyle name="Процентный 9 107 2 2 2" xfId="53306"/>
    <cellStyle name="Процентный 9 107 2 3" xfId="31943"/>
    <cellStyle name="Процентный 9 107 2 3 2" xfId="63986"/>
    <cellStyle name="Процентный 9 107 2 4" xfId="42626"/>
    <cellStyle name="Процентный 9 107 3" xfId="15922"/>
    <cellStyle name="Процентный 9 107 3 2" xfId="47966"/>
    <cellStyle name="Процентный 9 107 4" xfId="26603"/>
    <cellStyle name="Процентный 9 107 4 2" xfId="58646"/>
    <cellStyle name="Процентный 9 107 5" xfId="37286"/>
    <cellStyle name="Процентный 9 108" xfId="5273"/>
    <cellStyle name="Процентный 9 108 2" xfId="10614"/>
    <cellStyle name="Процентный 9 108 2 2" xfId="21294"/>
    <cellStyle name="Процентный 9 108 2 2 2" xfId="53338"/>
    <cellStyle name="Процентный 9 108 2 3" xfId="31975"/>
    <cellStyle name="Процентный 9 108 2 3 2" xfId="64018"/>
    <cellStyle name="Процентный 9 108 2 4" xfId="42658"/>
    <cellStyle name="Процентный 9 108 3" xfId="15954"/>
    <cellStyle name="Процентный 9 108 3 2" xfId="47998"/>
    <cellStyle name="Процентный 9 108 4" xfId="26635"/>
    <cellStyle name="Процентный 9 108 4 2" xfId="58678"/>
    <cellStyle name="Процентный 9 108 5" xfId="37318"/>
    <cellStyle name="Процентный 9 109" xfId="5305"/>
    <cellStyle name="Процентный 9 109 2" xfId="10646"/>
    <cellStyle name="Процентный 9 109 2 2" xfId="21326"/>
    <cellStyle name="Процентный 9 109 2 2 2" xfId="53370"/>
    <cellStyle name="Процентный 9 109 2 3" xfId="32007"/>
    <cellStyle name="Процентный 9 109 2 3 2" xfId="64050"/>
    <cellStyle name="Процентный 9 109 2 4" xfId="42690"/>
    <cellStyle name="Процентный 9 109 3" xfId="15986"/>
    <cellStyle name="Процентный 9 109 3 2" xfId="48030"/>
    <cellStyle name="Процентный 9 109 4" xfId="26667"/>
    <cellStyle name="Процентный 9 109 4 2" xfId="58710"/>
    <cellStyle name="Процентный 9 109 5" xfId="37350"/>
    <cellStyle name="Процентный 9 11" xfId="2182"/>
    <cellStyle name="Процентный 9 11 2" xfId="7524"/>
    <cellStyle name="Процентный 9 11 2 2" xfId="18204"/>
    <cellStyle name="Процентный 9 11 2 2 2" xfId="50248"/>
    <cellStyle name="Процентный 9 11 2 3" xfId="28885"/>
    <cellStyle name="Процентный 9 11 2 3 2" xfId="60928"/>
    <cellStyle name="Процентный 9 11 2 4" xfId="39568"/>
    <cellStyle name="Процентный 9 11 3" xfId="12864"/>
    <cellStyle name="Процентный 9 11 3 2" xfId="44908"/>
    <cellStyle name="Процентный 9 11 4" xfId="23545"/>
    <cellStyle name="Процентный 9 11 4 2" xfId="55588"/>
    <cellStyle name="Процентный 9 11 5" xfId="34228"/>
    <cellStyle name="Процентный 9 110" xfId="5337"/>
    <cellStyle name="Процентный 9 110 2" xfId="10678"/>
    <cellStyle name="Процентный 9 110 2 2" xfId="21358"/>
    <cellStyle name="Процентный 9 110 2 2 2" xfId="53402"/>
    <cellStyle name="Процентный 9 110 2 3" xfId="32039"/>
    <cellStyle name="Процентный 9 110 2 3 2" xfId="64082"/>
    <cellStyle name="Процентный 9 110 2 4" xfId="42722"/>
    <cellStyle name="Процентный 9 110 3" xfId="16018"/>
    <cellStyle name="Процентный 9 110 3 2" xfId="48062"/>
    <cellStyle name="Процентный 9 110 4" xfId="26699"/>
    <cellStyle name="Процентный 9 110 4 2" xfId="58742"/>
    <cellStyle name="Процентный 9 110 5" xfId="37382"/>
    <cellStyle name="Процентный 9 111" xfId="5369"/>
    <cellStyle name="Процентный 9 111 2" xfId="10710"/>
    <cellStyle name="Процентный 9 111 2 2" xfId="21390"/>
    <cellStyle name="Процентный 9 111 2 2 2" xfId="53434"/>
    <cellStyle name="Процентный 9 111 2 3" xfId="32071"/>
    <cellStyle name="Процентный 9 111 2 3 2" xfId="64114"/>
    <cellStyle name="Процентный 9 111 2 4" xfId="42754"/>
    <cellStyle name="Процентный 9 111 3" xfId="16050"/>
    <cellStyle name="Процентный 9 111 3 2" xfId="48094"/>
    <cellStyle name="Процентный 9 111 4" xfId="26731"/>
    <cellStyle name="Процентный 9 111 4 2" xfId="58774"/>
    <cellStyle name="Процентный 9 111 5" xfId="37414"/>
    <cellStyle name="Процентный 9 12" xfId="2212"/>
    <cellStyle name="Процентный 9 12 2" xfId="7554"/>
    <cellStyle name="Процентный 9 12 2 2" xfId="18234"/>
    <cellStyle name="Процентный 9 12 2 2 2" xfId="50278"/>
    <cellStyle name="Процентный 9 12 2 3" xfId="28915"/>
    <cellStyle name="Процентный 9 12 2 3 2" xfId="60958"/>
    <cellStyle name="Процентный 9 12 2 4" xfId="39598"/>
    <cellStyle name="Процентный 9 12 3" xfId="12894"/>
    <cellStyle name="Процентный 9 12 3 2" xfId="44938"/>
    <cellStyle name="Процентный 9 12 4" xfId="23575"/>
    <cellStyle name="Процентный 9 12 4 2" xfId="55618"/>
    <cellStyle name="Процентный 9 12 5" xfId="34258"/>
    <cellStyle name="Процентный 9 13" xfId="2242"/>
    <cellStyle name="Процентный 9 13 2" xfId="7584"/>
    <cellStyle name="Процентный 9 13 2 2" xfId="18264"/>
    <cellStyle name="Процентный 9 13 2 2 2" xfId="50308"/>
    <cellStyle name="Процентный 9 13 2 3" xfId="28945"/>
    <cellStyle name="Процентный 9 13 2 3 2" xfId="60988"/>
    <cellStyle name="Процентный 9 13 2 4" xfId="39628"/>
    <cellStyle name="Процентный 9 13 3" xfId="12924"/>
    <cellStyle name="Процентный 9 13 3 2" xfId="44968"/>
    <cellStyle name="Процентный 9 13 4" xfId="23605"/>
    <cellStyle name="Процентный 9 13 4 2" xfId="55648"/>
    <cellStyle name="Процентный 9 13 5" xfId="34288"/>
    <cellStyle name="Процентный 9 14" xfId="2272"/>
    <cellStyle name="Процентный 9 14 2" xfId="7614"/>
    <cellStyle name="Процентный 9 14 2 2" xfId="18294"/>
    <cellStyle name="Процентный 9 14 2 2 2" xfId="50338"/>
    <cellStyle name="Процентный 9 14 2 3" xfId="28975"/>
    <cellStyle name="Процентный 9 14 2 3 2" xfId="61018"/>
    <cellStyle name="Процентный 9 14 2 4" xfId="39658"/>
    <cellStyle name="Процентный 9 14 3" xfId="12954"/>
    <cellStyle name="Процентный 9 14 3 2" xfId="44998"/>
    <cellStyle name="Процентный 9 14 4" xfId="23635"/>
    <cellStyle name="Процентный 9 14 4 2" xfId="55678"/>
    <cellStyle name="Процентный 9 14 5" xfId="34318"/>
    <cellStyle name="Процентный 9 15" xfId="2302"/>
    <cellStyle name="Процентный 9 15 2" xfId="7644"/>
    <cellStyle name="Процентный 9 15 2 2" xfId="18324"/>
    <cellStyle name="Процентный 9 15 2 2 2" xfId="50368"/>
    <cellStyle name="Процентный 9 15 2 3" xfId="29005"/>
    <cellStyle name="Процентный 9 15 2 3 2" xfId="61048"/>
    <cellStyle name="Процентный 9 15 2 4" xfId="39688"/>
    <cellStyle name="Процентный 9 15 3" xfId="12984"/>
    <cellStyle name="Процентный 9 15 3 2" xfId="45028"/>
    <cellStyle name="Процентный 9 15 4" xfId="23665"/>
    <cellStyle name="Процентный 9 15 4 2" xfId="55708"/>
    <cellStyle name="Процентный 9 15 5" xfId="34348"/>
    <cellStyle name="Процентный 9 16" xfId="2332"/>
    <cellStyle name="Процентный 9 16 2" xfId="7674"/>
    <cellStyle name="Процентный 9 16 2 2" xfId="18354"/>
    <cellStyle name="Процентный 9 16 2 2 2" xfId="50398"/>
    <cellStyle name="Процентный 9 16 2 3" xfId="29035"/>
    <cellStyle name="Процентный 9 16 2 3 2" xfId="61078"/>
    <cellStyle name="Процентный 9 16 2 4" xfId="39718"/>
    <cellStyle name="Процентный 9 16 3" xfId="13014"/>
    <cellStyle name="Процентный 9 16 3 2" xfId="45058"/>
    <cellStyle name="Процентный 9 16 4" xfId="23695"/>
    <cellStyle name="Процентный 9 16 4 2" xfId="55738"/>
    <cellStyle name="Процентный 9 16 5" xfId="34378"/>
    <cellStyle name="Процентный 9 17" xfId="2362"/>
    <cellStyle name="Процентный 9 17 2" xfId="7704"/>
    <cellStyle name="Процентный 9 17 2 2" xfId="18384"/>
    <cellStyle name="Процентный 9 17 2 2 2" xfId="50428"/>
    <cellStyle name="Процентный 9 17 2 3" xfId="29065"/>
    <cellStyle name="Процентный 9 17 2 3 2" xfId="61108"/>
    <cellStyle name="Процентный 9 17 2 4" xfId="39748"/>
    <cellStyle name="Процентный 9 17 3" xfId="13044"/>
    <cellStyle name="Процентный 9 17 3 2" xfId="45088"/>
    <cellStyle name="Процентный 9 17 4" xfId="23725"/>
    <cellStyle name="Процентный 9 17 4 2" xfId="55768"/>
    <cellStyle name="Процентный 9 17 5" xfId="34408"/>
    <cellStyle name="Процентный 9 18" xfId="2392"/>
    <cellStyle name="Процентный 9 18 2" xfId="7734"/>
    <cellStyle name="Процентный 9 18 2 2" xfId="18414"/>
    <cellStyle name="Процентный 9 18 2 2 2" xfId="50458"/>
    <cellStyle name="Процентный 9 18 2 3" xfId="29095"/>
    <cellStyle name="Процентный 9 18 2 3 2" xfId="61138"/>
    <cellStyle name="Процентный 9 18 2 4" xfId="39778"/>
    <cellStyle name="Процентный 9 18 3" xfId="13074"/>
    <cellStyle name="Процентный 9 18 3 2" xfId="45118"/>
    <cellStyle name="Процентный 9 18 4" xfId="23755"/>
    <cellStyle name="Процентный 9 18 4 2" xfId="55798"/>
    <cellStyle name="Процентный 9 18 5" xfId="34438"/>
    <cellStyle name="Процентный 9 19" xfId="2422"/>
    <cellStyle name="Процентный 9 19 2" xfId="7764"/>
    <cellStyle name="Процентный 9 19 2 2" xfId="18444"/>
    <cellStyle name="Процентный 9 19 2 2 2" xfId="50488"/>
    <cellStyle name="Процентный 9 19 2 3" xfId="29125"/>
    <cellStyle name="Процентный 9 19 2 3 2" xfId="61168"/>
    <cellStyle name="Процентный 9 19 2 4" xfId="39808"/>
    <cellStyle name="Процентный 9 19 3" xfId="13104"/>
    <cellStyle name="Процентный 9 19 3 2" xfId="45148"/>
    <cellStyle name="Процентный 9 19 4" xfId="23785"/>
    <cellStyle name="Процентный 9 19 4 2" xfId="55828"/>
    <cellStyle name="Процентный 9 19 5" xfId="34468"/>
    <cellStyle name="Процентный 9 2" xfId="1926"/>
    <cellStyle name="Процентный 9 2 2" xfId="7268"/>
    <cellStyle name="Процентный 9 2 2 2" xfId="17948"/>
    <cellStyle name="Процентный 9 2 2 2 2" xfId="49992"/>
    <cellStyle name="Процентный 9 2 2 3" xfId="28629"/>
    <cellStyle name="Процентный 9 2 2 3 2" xfId="60672"/>
    <cellStyle name="Процентный 9 2 2 4" xfId="39312"/>
    <cellStyle name="Процентный 9 2 3" xfId="12608"/>
    <cellStyle name="Процентный 9 2 3 2" xfId="44652"/>
    <cellStyle name="Процентный 9 2 4" xfId="23289"/>
    <cellStyle name="Процентный 9 2 4 2" xfId="55332"/>
    <cellStyle name="Процентный 9 2 5" xfId="33972"/>
    <cellStyle name="Процентный 9 20" xfId="2452"/>
    <cellStyle name="Процентный 9 20 2" xfId="7794"/>
    <cellStyle name="Процентный 9 20 2 2" xfId="18474"/>
    <cellStyle name="Процентный 9 20 2 2 2" xfId="50518"/>
    <cellStyle name="Процентный 9 20 2 3" xfId="29155"/>
    <cellStyle name="Процентный 9 20 2 3 2" xfId="61198"/>
    <cellStyle name="Процентный 9 20 2 4" xfId="39838"/>
    <cellStyle name="Процентный 9 20 3" xfId="13134"/>
    <cellStyle name="Процентный 9 20 3 2" xfId="45178"/>
    <cellStyle name="Процентный 9 20 4" xfId="23815"/>
    <cellStyle name="Процентный 9 20 4 2" xfId="55858"/>
    <cellStyle name="Процентный 9 20 5" xfId="34498"/>
    <cellStyle name="Процентный 9 21" xfId="2482"/>
    <cellStyle name="Процентный 9 21 2" xfId="7824"/>
    <cellStyle name="Процентный 9 21 2 2" xfId="18504"/>
    <cellStyle name="Процентный 9 21 2 2 2" xfId="50548"/>
    <cellStyle name="Процентный 9 21 2 3" xfId="29185"/>
    <cellStyle name="Процентный 9 21 2 3 2" xfId="61228"/>
    <cellStyle name="Процентный 9 21 2 4" xfId="39868"/>
    <cellStyle name="Процентный 9 21 3" xfId="13164"/>
    <cellStyle name="Процентный 9 21 3 2" xfId="45208"/>
    <cellStyle name="Процентный 9 21 4" xfId="23845"/>
    <cellStyle name="Процентный 9 21 4 2" xfId="55888"/>
    <cellStyle name="Процентный 9 21 5" xfId="34528"/>
    <cellStyle name="Процентный 9 22" xfId="2514"/>
    <cellStyle name="Процентный 9 22 2" xfId="7856"/>
    <cellStyle name="Процентный 9 22 2 2" xfId="18536"/>
    <cellStyle name="Процентный 9 22 2 2 2" xfId="50580"/>
    <cellStyle name="Процентный 9 22 2 3" xfId="29217"/>
    <cellStyle name="Процентный 9 22 2 3 2" xfId="61260"/>
    <cellStyle name="Процентный 9 22 2 4" xfId="39900"/>
    <cellStyle name="Процентный 9 22 3" xfId="13196"/>
    <cellStyle name="Процентный 9 22 3 2" xfId="45240"/>
    <cellStyle name="Процентный 9 22 4" xfId="23877"/>
    <cellStyle name="Процентный 9 22 4 2" xfId="55920"/>
    <cellStyle name="Процентный 9 22 5" xfId="34560"/>
    <cellStyle name="Процентный 9 23" xfId="2548"/>
    <cellStyle name="Процентный 9 23 2" xfId="7890"/>
    <cellStyle name="Процентный 9 23 2 2" xfId="18570"/>
    <cellStyle name="Процентный 9 23 2 2 2" xfId="50614"/>
    <cellStyle name="Процентный 9 23 2 3" xfId="29251"/>
    <cellStyle name="Процентный 9 23 2 3 2" xfId="61294"/>
    <cellStyle name="Процентный 9 23 2 4" xfId="39934"/>
    <cellStyle name="Процентный 9 23 3" xfId="13230"/>
    <cellStyle name="Процентный 9 23 3 2" xfId="45274"/>
    <cellStyle name="Процентный 9 23 4" xfId="23911"/>
    <cellStyle name="Процентный 9 23 4 2" xfId="55954"/>
    <cellStyle name="Процентный 9 23 5" xfId="34594"/>
    <cellStyle name="Процентный 9 24" xfId="2580"/>
    <cellStyle name="Процентный 9 24 2" xfId="7922"/>
    <cellStyle name="Процентный 9 24 2 2" xfId="18602"/>
    <cellStyle name="Процентный 9 24 2 2 2" xfId="50646"/>
    <cellStyle name="Процентный 9 24 2 3" xfId="29283"/>
    <cellStyle name="Процентный 9 24 2 3 2" xfId="61326"/>
    <cellStyle name="Процентный 9 24 2 4" xfId="39966"/>
    <cellStyle name="Процентный 9 24 3" xfId="13262"/>
    <cellStyle name="Процентный 9 24 3 2" xfId="45306"/>
    <cellStyle name="Процентный 9 24 4" xfId="23943"/>
    <cellStyle name="Процентный 9 24 4 2" xfId="55986"/>
    <cellStyle name="Процентный 9 24 5" xfId="34626"/>
    <cellStyle name="Процентный 9 25" xfId="2612"/>
    <cellStyle name="Процентный 9 25 2" xfId="7954"/>
    <cellStyle name="Процентный 9 25 2 2" xfId="18634"/>
    <cellStyle name="Процентный 9 25 2 2 2" xfId="50678"/>
    <cellStyle name="Процентный 9 25 2 3" xfId="29315"/>
    <cellStyle name="Процентный 9 25 2 3 2" xfId="61358"/>
    <cellStyle name="Процентный 9 25 2 4" xfId="39998"/>
    <cellStyle name="Процентный 9 25 3" xfId="13294"/>
    <cellStyle name="Процентный 9 25 3 2" xfId="45338"/>
    <cellStyle name="Процентный 9 25 4" xfId="23975"/>
    <cellStyle name="Процентный 9 25 4 2" xfId="56018"/>
    <cellStyle name="Процентный 9 25 5" xfId="34658"/>
    <cellStyle name="Процентный 9 26" xfId="2644"/>
    <cellStyle name="Процентный 9 26 2" xfId="7986"/>
    <cellStyle name="Процентный 9 26 2 2" xfId="18666"/>
    <cellStyle name="Процентный 9 26 2 2 2" xfId="50710"/>
    <cellStyle name="Процентный 9 26 2 3" xfId="29347"/>
    <cellStyle name="Процентный 9 26 2 3 2" xfId="61390"/>
    <cellStyle name="Процентный 9 26 2 4" xfId="40030"/>
    <cellStyle name="Процентный 9 26 3" xfId="13326"/>
    <cellStyle name="Процентный 9 26 3 2" xfId="45370"/>
    <cellStyle name="Процентный 9 26 4" xfId="24007"/>
    <cellStyle name="Процентный 9 26 4 2" xfId="56050"/>
    <cellStyle name="Процентный 9 26 5" xfId="34690"/>
    <cellStyle name="Процентный 9 27" xfId="2676"/>
    <cellStyle name="Процентный 9 27 2" xfId="8018"/>
    <cellStyle name="Процентный 9 27 2 2" xfId="18698"/>
    <cellStyle name="Процентный 9 27 2 2 2" xfId="50742"/>
    <cellStyle name="Процентный 9 27 2 3" xfId="29379"/>
    <cellStyle name="Процентный 9 27 2 3 2" xfId="61422"/>
    <cellStyle name="Процентный 9 27 2 4" xfId="40062"/>
    <cellStyle name="Процентный 9 27 3" xfId="13358"/>
    <cellStyle name="Процентный 9 27 3 2" xfId="45402"/>
    <cellStyle name="Процентный 9 27 4" xfId="24039"/>
    <cellStyle name="Процентный 9 27 4 2" xfId="56082"/>
    <cellStyle name="Процентный 9 27 5" xfId="34722"/>
    <cellStyle name="Процентный 9 28" xfId="2708"/>
    <cellStyle name="Процентный 9 28 2" xfId="8050"/>
    <cellStyle name="Процентный 9 28 2 2" xfId="18730"/>
    <cellStyle name="Процентный 9 28 2 2 2" xfId="50774"/>
    <cellStyle name="Процентный 9 28 2 3" xfId="29411"/>
    <cellStyle name="Процентный 9 28 2 3 2" xfId="61454"/>
    <cellStyle name="Процентный 9 28 2 4" xfId="40094"/>
    <cellStyle name="Процентный 9 28 3" xfId="13390"/>
    <cellStyle name="Процентный 9 28 3 2" xfId="45434"/>
    <cellStyle name="Процентный 9 28 4" xfId="24071"/>
    <cellStyle name="Процентный 9 28 4 2" xfId="56114"/>
    <cellStyle name="Процентный 9 28 5" xfId="34754"/>
    <cellStyle name="Процентный 9 29" xfId="2740"/>
    <cellStyle name="Процентный 9 29 2" xfId="8082"/>
    <cellStyle name="Процентный 9 29 2 2" xfId="18762"/>
    <cellStyle name="Процентный 9 29 2 2 2" xfId="50806"/>
    <cellStyle name="Процентный 9 29 2 3" xfId="29443"/>
    <cellStyle name="Процентный 9 29 2 3 2" xfId="61486"/>
    <cellStyle name="Процентный 9 29 2 4" xfId="40126"/>
    <cellStyle name="Процентный 9 29 3" xfId="13422"/>
    <cellStyle name="Процентный 9 29 3 2" xfId="45466"/>
    <cellStyle name="Процентный 9 29 4" xfId="24103"/>
    <cellStyle name="Процентный 9 29 4 2" xfId="56146"/>
    <cellStyle name="Процентный 9 29 5" xfId="34786"/>
    <cellStyle name="Процентный 9 3" xfId="1954"/>
    <cellStyle name="Процентный 9 3 2" xfId="7296"/>
    <cellStyle name="Процентный 9 3 2 2" xfId="17976"/>
    <cellStyle name="Процентный 9 3 2 2 2" xfId="50020"/>
    <cellStyle name="Процентный 9 3 2 3" xfId="28657"/>
    <cellStyle name="Процентный 9 3 2 3 2" xfId="60700"/>
    <cellStyle name="Процентный 9 3 2 4" xfId="39340"/>
    <cellStyle name="Процентный 9 3 3" xfId="12636"/>
    <cellStyle name="Процентный 9 3 3 2" xfId="44680"/>
    <cellStyle name="Процентный 9 3 4" xfId="23317"/>
    <cellStyle name="Процентный 9 3 4 2" xfId="55360"/>
    <cellStyle name="Процентный 9 3 5" xfId="34000"/>
    <cellStyle name="Процентный 9 30" xfId="2774"/>
    <cellStyle name="Процентный 9 30 2" xfId="8116"/>
    <cellStyle name="Процентный 9 30 2 2" xfId="18796"/>
    <cellStyle name="Процентный 9 30 2 2 2" xfId="50840"/>
    <cellStyle name="Процентный 9 30 2 3" xfId="29477"/>
    <cellStyle name="Процентный 9 30 2 3 2" xfId="61520"/>
    <cellStyle name="Процентный 9 30 2 4" xfId="40160"/>
    <cellStyle name="Процентный 9 30 3" xfId="13456"/>
    <cellStyle name="Процентный 9 30 3 2" xfId="45500"/>
    <cellStyle name="Процентный 9 30 4" xfId="24137"/>
    <cellStyle name="Процентный 9 30 4 2" xfId="56180"/>
    <cellStyle name="Процентный 9 30 5" xfId="34820"/>
    <cellStyle name="Процентный 9 31" xfId="2806"/>
    <cellStyle name="Процентный 9 31 2" xfId="8148"/>
    <cellStyle name="Процентный 9 31 2 2" xfId="18828"/>
    <cellStyle name="Процентный 9 31 2 2 2" xfId="50872"/>
    <cellStyle name="Процентный 9 31 2 3" xfId="29509"/>
    <cellStyle name="Процентный 9 31 2 3 2" xfId="61552"/>
    <cellStyle name="Процентный 9 31 2 4" xfId="40192"/>
    <cellStyle name="Процентный 9 31 3" xfId="13488"/>
    <cellStyle name="Процентный 9 31 3 2" xfId="45532"/>
    <cellStyle name="Процентный 9 31 4" xfId="24169"/>
    <cellStyle name="Процентный 9 31 4 2" xfId="56212"/>
    <cellStyle name="Процентный 9 31 5" xfId="34852"/>
    <cellStyle name="Процентный 9 32" xfId="2838"/>
    <cellStyle name="Процентный 9 32 2" xfId="8180"/>
    <cellStyle name="Процентный 9 32 2 2" xfId="18860"/>
    <cellStyle name="Процентный 9 32 2 2 2" xfId="50904"/>
    <cellStyle name="Процентный 9 32 2 3" xfId="29541"/>
    <cellStyle name="Процентный 9 32 2 3 2" xfId="61584"/>
    <cellStyle name="Процентный 9 32 2 4" xfId="40224"/>
    <cellStyle name="Процентный 9 32 3" xfId="13520"/>
    <cellStyle name="Процентный 9 32 3 2" xfId="45564"/>
    <cellStyle name="Процентный 9 32 4" xfId="24201"/>
    <cellStyle name="Процентный 9 32 4 2" xfId="56244"/>
    <cellStyle name="Процентный 9 32 5" xfId="34884"/>
    <cellStyle name="Процентный 9 33" xfId="2870"/>
    <cellStyle name="Процентный 9 33 2" xfId="8212"/>
    <cellStyle name="Процентный 9 33 2 2" xfId="18892"/>
    <cellStyle name="Процентный 9 33 2 2 2" xfId="50936"/>
    <cellStyle name="Процентный 9 33 2 3" xfId="29573"/>
    <cellStyle name="Процентный 9 33 2 3 2" xfId="61616"/>
    <cellStyle name="Процентный 9 33 2 4" xfId="40256"/>
    <cellStyle name="Процентный 9 33 3" xfId="13552"/>
    <cellStyle name="Процентный 9 33 3 2" xfId="45596"/>
    <cellStyle name="Процентный 9 33 4" xfId="24233"/>
    <cellStyle name="Процентный 9 33 4 2" xfId="56276"/>
    <cellStyle name="Процентный 9 33 5" xfId="34916"/>
    <cellStyle name="Процентный 9 34" xfId="2902"/>
    <cellStyle name="Процентный 9 34 2" xfId="8244"/>
    <cellStyle name="Процентный 9 34 2 2" xfId="18924"/>
    <cellStyle name="Процентный 9 34 2 2 2" xfId="50968"/>
    <cellStyle name="Процентный 9 34 2 3" xfId="29605"/>
    <cellStyle name="Процентный 9 34 2 3 2" xfId="61648"/>
    <cellStyle name="Процентный 9 34 2 4" xfId="40288"/>
    <cellStyle name="Процентный 9 34 3" xfId="13584"/>
    <cellStyle name="Процентный 9 34 3 2" xfId="45628"/>
    <cellStyle name="Процентный 9 34 4" xfId="24265"/>
    <cellStyle name="Процентный 9 34 4 2" xfId="56308"/>
    <cellStyle name="Процентный 9 34 5" xfId="34948"/>
    <cellStyle name="Процентный 9 35" xfId="2934"/>
    <cellStyle name="Процентный 9 35 2" xfId="8276"/>
    <cellStyle name="Процентный 9 35 2 2" xfId="18956"/>
    <cellStyle name="Процентный 9 35 2 2 2" xfId="51000"/>
    <cellStyle name="Процентный 9 35 2 3" xfId="29637"/>
    <cellStyle name="Процентный 9 35 2 3 2" xfId="61680"/>
    <cellStyle name="Процентный 9 35 2 4" xfId="40320"/>
    <cellStyle name="Процентный 9 35 3" xfId="13616"/>
    <cellStyle name="Процентный 9 35 3 2" xfId="45660"/>
    <cellStyle name="Процентный 9 35 4" xfId="24297"/>
    <cellStyle name="Процентный 9 35 4 2" xfId="56340"/>
    <cellStyle name="Процентный 9 35 5" xfId="34980"/>
    <cellStyle name="Процентный 9 36" xfId="2966"/>
    <cellStyle name="Процентный 9 36 2" xfId="8308"/>
    <cellStyle name="Процентный 9 36 2 2" xfId="18988"/>
    <cellStyle name="Процентный 9 36 2 2 2" xfId="51032"/>
    <cellStyle name="Процентный 9 36 2 3" xfId="29669"/>
    <cellStyle name="Процентный 9 36 2 3 2" xfId="61712"/>
    <cellStyle name="Процентный 9 36 2 4" xfId="40352"/>
    <cellStyle name="Процентный 9 36 3" xfId="13648"/>
    <cellStyle name="Процентный 9 36 3 2" xfId="45692"/>
    <cellStyle name="Процентный 9 36 4" xfId="24329"/>
    <cellStyle name="Процентный 9 36 4 2" xfId="56372"/>
    <cellStyle name="Процентный 9 36 5" xfId="35012"/>
    <cellStyle name="Процентный 9 37" xfId="2998"/>
    <cellStyle name="Процентный 9 37 2" xfId="8340"/>
    <cellStyle name="Процентный 9 37 2 2" xfId="19020"/>
    <cellStyle name="Процентный 9 37 2 2 2" xfId="51064"/>
    <cellStyle name="Процентный 9 37 2 3" xfId="29701"/>
    <cellStyle name="Процентный 9 37 2 3 2" xfId="61744"/>
    <cellStyle name="Процентный 9 37 2 4" xfId="40384"/>
    <cellStyle name="Процентный 9 37 3" xfId="13680"/>
    <cellStyle name="Процентный 9 37 3 2" xfId="45724"/>
    <cellStyle name="Процентный 9 37 4" xfId="24361"/>
    <cellStyle name="Процентный 9 37 4 2" xfId="56404"/>
    <cellStyle name="Процентный 9 37 5" xfId="35044"/>
    <cellStyle name="Процентный 9 38" xfId="3030"/>
    <cellStyle name="Процентный 9 38 2" xfId="8372"/>
    <cellStyle name="Процентный 9 38 2 2" xfId="19052"/>
    <cellStyle name="Процентный 9 38 2 2 2" xfId="51096"/>
    <cellStyle name="Процентный 9 38 2 3" xfId="29733"/>
    <cellStyle name="Процентный 9 38 2 3 2" xfId="61776"/>
    <cellStyle name="Процентный 9 38 2 4" xfId="40416"/>
    <cellStyle name="Процентный 9 38 3" xfId="13712"/>
    <cellStyle name="Процентный 9 38 3 2" xfId="45756"/>
    <cellStyle name="Процентный 9 38 4" xfId="24393"/>
    <cellStyle name="Процентный 9 38 4 2" xfId="56436"/>
    <cellStyle name="Процентный 9 38 5" xfId="35076"/>
    <cellStyle name="Процентный 9 39" xfId="3062"/>
    <cellStyle name="Процентный 9 39 2" xfId="8404"/>
    <cellStyle name="Процентный 9 39 2 2" xfId="19084"/>
    <cellStyle name="Процентный 9 39 2 2 2" xfId="51128"/>
    <cellStyle name="Процентный 9 39 2 3" xfId="29765"/>
    <cellStyle name="Процентный 9 39 2 3 2" xfId="61808"/>
    <cellStyle name="Процентный 9 39 2 4" xfId="40448"/>
    <cellStyle name="Процентный 9 39 3" xfId="13744"/>
    <cellStyle name="Процентный 9 39 3 2" xfId="45788"/>
    <cellStyle name="Процентный 9 39 4" xfId="24425"/>
    <cellStyle name="Процентный 9 39 4 2" xfId="56468"/>
    <cellStyle name="Процентный 9 39 5" xfId="35108"/>
    <cellStyle name="Процентный 9 4" xfId="1982"/>
    <cellStyle name="Процентный 9 4 2" xfId="7324"/>
    <cellStyle name="Процентный 9 4 2 2" xfId="18004"/>
    <cellStyle name="Процентный 9 4 2 2 2" xfId="50048"/>
    <cellStyle name="Процентный 9 4 2 3" xfId="28685"/>
    <cellStyle name="Процентный 9 4 2 3 2" xfId="60728"/>
    <cellStyle name="Процентный 9 4 2 4" xfId="39368"/>
    <cellStyle name="Процентный 9 4 3" xfId="12664"/>
    <cellStyle name="Процентный 9 4 3 2" xfId="44708"/>
    <cellStyle name="Процентный 9 4 4" xfId="23345"/>
    <cellStyle name="Процентный 9 4 4 2" xfId="55388"/>
    <cellStyle name="Процентный 9 4 5" xfId="34028"/>
    <cellStyle name="Процентный 9 40" xfId="3094"/>
    <cellStyle name="Процентный 9 40 2" xfId="8436"/>
    <cellStyle name="Процентный 9 40 2 2" xfId="19116"/>
    <cellStyle name="Процентный 9 40 2 2 2" xfId="51160"/>
    <cellStyle name="Процентный 9 40 2 3" xfId="29797"/>
    <cellStyle name="Процентный 9 40 2 3 2" xfId="61840"/>
    <cellStyle name="Процентный 9 40 2 4" xfId="40480"/>
    <cellStyle name="Процентный 9 40 3" xfId="13776"/>
    <cellStyle name="Процентный 9 40 3 2" xfId="45820"/>
    <cellStyle name="Процентный 9 40 4" xfId="24457"/>
    <cellStyle name="Процентный 9 40 4 2" xfId="56500"/>
    <cellStyle name="Процентный 9 40 5" xfId="35140"/>
    <cellStyle name="Процентный 9 41" xfId="3127"/>
    <cellStyle name="Процентный 9 41 2" xfId="8468"/>
    <cellStyle name="Процентный 9 41 2 2" xfId="19148"/>
    <cellStyle name="Процентный 9 41 2 2 2" xfId="51192"/>
    <cellStyle name="Процентный 9 41 2 3" xfId="29829"/>
    <cellStyle name="Процентный 9 41 2 3 2" xfId="61872"/>
    <cellStyle name="Процентный 9 41 2 4" xfId="40512"/>
    <cellStyle name="Процентный 9 41 3" xfId="13808"/>
    <cellStyle name="Процентный 9 41 3 2" xfId="45852"/>
    <cellStyle name="Процентный 9 41 4" xfId="24489"/>
    <cellStyle name="Процентный 9 41 4 2" xfId="56532"/>
    <cellStyle name="Процентный 9 41 5" xfId="35172"/>
    <cellStyle name="Процентный 9 42" xfId="3159"/>
    <cellStyle name="Процентный 9 42 2" xfId="8500"/>
    <cellStyle name="Процентный 9 42 2 2" xfId="19180"/>
    <cellStyle name="Процентный 9 42 2 2 2" xfId="51224"/>
    <cellStyle name="Процентный 9 42 2 3" xfId="29861"/>
    <cellStyle name="Процентный 9 42 2 3 2" xfId="61904"/>
    <cellStyle name="Процентный 9 42 2 4" xfId="40544"/>
    <cellStyle name="Процентный 9 42 3" xfId="13840"/>
    <cellStyle name="Процентный 9 42 3 2" xfId="45884"/>
    <cellStyle name="Процентный 9 42 4" xfId="24521"/>
    <cellStyle name="Процентный 9 42 4 2" xfId="56564"/>
    <cellStyle name="Процентный 9 42 5" xfId="35204"/>
    <cellStyle name="Процентный 9 43" xfId="3191"/>
    <cellStyle name="Процентный 9 43 2" xfId="8532"/>
    <cellStyle name="Процентный 9 43 2 2" xfId="19212"/>
    <cellStyle name="Процентный 9 43 2 2 2" xfId="51256"/>
    <cellStyle name="Процентный 9 43 2 3" xfId="29893"/>
    <cellStyle name="Процентный 9 43 2 3 2" xfId="61936"/>
    <cellStyle name="Процентный 9 43 2 4" xfId="40576"/>
    <cellStyle name="Процентный 9 43 3" xfId="13872"/>
    <cellStyle name="Процентный 9 43 3 2" xfId="45916"/>
    <cellStyle name="Процентный 9 43 4" xfId="24553"/>
    <cellStyle name="Процентный 9 43 4 2" xfId="56596"/>
    <cellStyle name="Процентный 9 43 5" xfId="35236"/>
    <cellStyle name="Процентный 9 44" xfId="3223"/>
    <cellStyle name="Процентный 9 44 2" xfId="8564"/>
    <cellStyle name="Процентный 9 44 2 2" xfId="19244"/>
    <cellStyle name="Процентный 9 44 2 2 2" xfId="51288"/>
    <cellStyle name="Процентный 9 44 2 3" xfId="29925"/>
    <cellStyle name="Процентный 9 44 2 3 2" xfId="61968"/>
    <cellStyle name="Процентный 9 44 2 4" xfId="40608"/>
    <cellStyle name="Процентный 9 44 3" xfId="13904"/>
    <cellStyle name="Процентный 9 44 3 2" xfId="45948"/>
    <cellStyle name="Процентный 9 44 4" xfId="24585"/>
    <cellStyle name="Процентный 9 44 4 2" xfId="56628"/>
    <cellStyle name="Процентный 9 44 5" xfId="35268"/>
    <cellStyle name="Процентный 9 45" xfId="3255"/>
    <cellStyle name="Процентный 9 45 2" xfId="8596"/>
    <cellStyle name="Процентный 9 45 2 2" xfId="19276"/>
    <cellStyle name="Процентный 9 45 2 2 2" xfId="51320"/>
    <cellStyle name="Процентный 9 45 2 3" xfId="29957"/>
    <cellStyle name="Процентный 9 45 2 3 2" xfId="62000"/>
    <cellStyle name="Процентный 9 45 2 4" xfId="40640"/>
    <cellStyle name="Процентный 9 45 3" xfId="13936"/>
    <cellStyle name="Процентный 9 45 3 2" xfId="45980"/>
    <cellStyle name="Процентный 9 45 4" xfId="24617"/>
    <cellStyle name="Процентный 9 45 4 2" xfId="56660"/>
    <cellStyle name="Процентный 9 45 5" xfId="35300"/>
    <cellStyle name="Процентный 9 46" xfId="3287"/>
    <cellStyle name="Процентный 9 46 2" xfId="8628"/>
    <cellStyle name="Процентный 9 46 2 2" xfId="19308"/>
    <cellStyle name="Процентный 9 46 2 2 2" xfId="51352"/>
    <cellStyle name="Процентный 9 46 2 3" xfId="29989"/>
    <cellStyle name="Процентный 9 46 2 3 2" xfId="62032"/>
    <cellStyle name="Процентный 9 46 2 4" xfId="40672"/>
    <cellStyle name="Процентный 9 46 3" xfId="13968"/>
    <cellStyle name="Процентный 9 46 3 2" xfId="46012"/>
    <cellStyle name="Процентный 9 46 4" xfId="24649"/>
    <cellStyle name="Процентный 9 46 4 2" xfId="56692"/>
    <cellStyle name="Процентный 9 46 5" xfId="35332"/>
    <cellStyle name="Процентный 9 47" xfId="3319"/>
    <cellStyle name="Процентный 9 47 2" xfId="8660"/>
    <cellStyle name="Процентный 9 47 2 2" xfId="19340"/>
    <cellStyle name="Процентный 9 47 2 2 2" xfId="51384"/>
    <cellStyle name="Процентный 9 47 2 3" xfId="30021"/>
    <cellStyle name="Процентный 9 47 2 3 2" xfId="62064"/>
    <cellStyle name="Процентный 9 47 2 4" xfId="40704"/>
    <cellStyle name="Процентный 9 47 3" xfId="14000"/>
    <cellStyle name="Процентный 9 47 3 2" xfId="46044"/>
    <cellStyle name="Процентный 9 47 4" xfId="24681"/>
    <cellStyle name="Процентный 9 47 4 2" xfId="56724"/>
    <cellStyle name="Процентный 9 47 5" xfId="35364"/>
    <cellStyle name="Процентный 9 48" xfId="3351"/>
    <cellStyle name="Процентный 9 48 2" xfId="8692"/>
    <cellStyle name="Процентный 9 48 2 2" xfId="19372"/>
    <cellStyle name="Процентный 9 48 2 2 2" xfId="51416"/>
    <cellStyle name="Процентный 9 48 2 3" xfId="30053"/>
    <cellStyle name="Процентный 9 48 2 3 2" xfId="62096"/>
    <cellStyle name="Процентный 9 48 2 4" xfId="40736"/>
    <cellStyle name="Процентный 9 48 3" xfId="14032"/>
    <cellStyle name="Процентный 9 48 3 2" xfId="46076"/>
    <cellStyle name="Процентный 9 48 4" xfId="24713"/>
    <cellStyle name="Процентный 9 48 4 2" xfId="56756"/>
    <cellStyle name="Процентный 9 48 5" xfId="35396"/>
    <cellStyle name="Процентный 9 49" xfId="3383"/>
    <cellStyle name="Процентный 9 49 2" xfId="8724"/>
    <cellStyle name="Процентный 9 49 2 2" xfId="19404"/>
    <cellStyle name="Процентный 9 49 2 2 2" xfId="51448"/>
    <cellStyle name="Процентный 9 49 2 3" xfId="30085"/>
    <cellStyle name="Процентный 9 49 2 3 2" xfId="62128"/>
    <cellStyle name="Процентный 9 49 2 4" xfId="40768"/>
    <cellStyle name="Процентный 9 49 3" xfId="14064"/>
    <cellStyle name="Процентный 9 49 3 2" xfId="46108"/>
    <cellStyle name="Процентный 9 49 4" xfId="24745"/>
    <cellStyle name="Процентный 9 49 4 2" xfId="56788"/>
    <cellStyle name="Процентный 9 49 5" xfId="35428"/>
    <cellStyle name="Процентный 9 5" xfId="2010"/>
    <cellStyle name="Процентный 9 5 2" xfId="7352"/>
    <cellStyle name="Процентный 9 5 2 2" xfId="18032"/>
    <cellStyle name="Процентный 9 5 2 2 2" xfId="50076"/>
    <cellStyle name="Процентный 9 5 2 3" xfId="28713"/>
    <cellStyle name="Процентный 9 5 2 3 2" xfId="60756"/>
    <cellStyle name="Процентный 9 5 2 4" xfId="39396"/>
    <cellStyle name="Процентный 9 5 3" xfId="12692"/>
    <cellStyle name="Процентный 9 5 3 2" xfId="44736"/>
    <cellStyle name="Процентный 9 5 4" xfId="23373"/>
    <cellStyle name="Процентный 9 5 4 2" xfId="55416"/>
    <cellStyle name="Процентный 9 5 5" xfId="34056"/>
    <cellStyle name="Процентный 9 50" xfId="3415"/>
    <cellStyle name="Процентный 9 50 2" xfId="8756"/>
    <cellStyle name="Процентный 9 50 2 2" xfId="19436"/>
    <cellStyle name="Процентный 9 50 2 2 2" xfId="51480"/>
    <cellStyle name="Процентный 9 50 2 3" xfId="30117"/>
    <cellStyle name="Процентный 9 50 2 3 2" xfId="62160"/>
    <cellStyle name="Процентный 9 50 2 4" xfId="40800"/>
    <cellStyle name="Процентный 9 50 3" xfId="14096"/>
    <cellStyle name="Процентный 9 50 3 2" xfId="46140"/>
    <cellStyle name="Процентный 9 50 4" xfId="24777"/>
    <cellStyle name="Процентный 9 50 4 2" xfId="56820"/>
    <cellStyle name="Процентный 9 50 5" xfId="35460"/>
    <cellStyle name="Процентный 9 51" xfId="3447"/>
    <cellStyle name="Процентный 9 51 2" xfId="8788"/>
    <cellStyle name="Процентный 9 51 2 2" xfId="19468"/>
    <cellStyle name="Процентный 9 51 2 2 2" xfId="51512"/>
    <cellStyle name="Процентный 9 51 2 3" xfId="30149"/>
    <cellStyle name="Процентный 9 51 2 3 2" xfId="62192"/>
    <cellStyle name="Процентный 9 51 2 4" xfId="40832"/>
    <cellStyle name="Процентный 9 51 3" xfId="14128"/>
    <cellStyle name="Процентный 9 51 3 2" xfId="46172"/>
    <cellStyle name="Процентный 9 51 4" xfId="24809"/>
    <cellStyle name="Процентный 9 51 4 2" xfId="56852"/>
    <cellStyle name="Процентный 9 51 5" xfId="35492"/>
    <cellStyle name="Процентный 9 52" xfId="3479"/>
    <cellStyle name="Процентный 9 52 2" xfId="8820"/>
    <cellStyle name="Процентный 9 52 2 2" xfId="19500"/>
    <cellStyle name="Процентный 9 52 2 2 2" xfId="51544"/>
    <cellStyle name="Процентный 9 52 2 3" xfId="30181"/>
    <cellStyle name="Процентный 9 52 2 3 2" xfId="62224"/>
    <cellStyle name="Процентный 9 52 2 4" xfId="40864"/>
    <cellStyle name="Процентный 9 52 3" xfId="14160"/>
    <cellStyle name="Процентный 9 52 3 2" xfId="46204"/>
    <cellStyle name="Процентный 9 52 4" xfId="24841"/>
    <cellStyle name="Процентный 9 52 4 2" xfId="56884"/>
    <cellStyle name="Процентный 9 52 5" xfId="35524"/>
    <cellStyle name="Процентный 9 53" xfId="3511"/>
    <cellStyle name="Процентный 9 53 2" xfId="8852"/>
    <cellStyle name="Процентный 9 53 2 2" xfId="19532"/>
    <cellStyle name="Процентный 9 53 2 2 2" xfId="51576"/>
    <cellStyle name="Процентный 9 53 2 3" xfId="30213"/>
    <cellStyle name="Процентный 9 53 2 3 2" xfId="62256"/>
    <cellStyle name="Процентный 9 53 2 4" xfId="40896"/>
    <cellStyle name="Процентный 9 53 3" xfId="14192"/>
    <cellStyle name="Процентный 9 53 3 2" xfId="46236"/>
    <cellStyle name="Процентный 9 53 4" xfId="24873"/>
    <cellStyle name="Процентный 9 53 4 2" xfId="56916"/>
    <cellStyle name="Процентный 9 53 5" xfId="35556"/>
    <cellStyle name="Процентный 9 54" xfId="3543"/>
    <cellStyle name="Процентный 9 54 2" xfId="8884"/>
    <cellStyle name="Процентный 9 54 2 2" xfId="19564"/>
    <cellStyle name="Процентный 9 54 2 2 2" xfId="51608"/>
    <cellStyle name="Процентный 9 54 2 3" xfId="30245"/>
    <cellStyle name="Процентный 9 54 2 3 2" xfId="62288"/>
    <cellStyle name="Процентный 9 54 2 4" xfId="40928"/>
    <cellStyle name="Процентный 9 54 3" xfId="14224"/>
    <cellStyle name="Процентный 9 54 3 2" xfId="46268"/>
    <cellStyle name="Процентный 9 54 4" xfId="24905"/>
    <cellStyle name="Процентный 9 54 4 2" xfId="56948"/>
    <cellStyle name="Процентный 9 54 5" xfId="35588"/>
    <cellStyle name="Процентный 9 55" xfId="3575"/>
    <cellStyle name="Процентный 9 55 2" xfId="8916"/>
    <cellStyle name="Процентный 9 55 2 2" xfId="19596"/>
    <cellStyle name="Процентный 9 55 2 2 2" xfId="51640"/>
    <cellStyle name="Процентный 9 55 2 3" xfId="30277"/>
    <cellStyle name="Процентный 9 55 2 3 2" xfId="62320"/>
    <cellStyle name="Процентный 9 55 2 4" xfId="40960"/>
    <cellStyle name="Процентный 9 55 3" xfId="14256"/>
    <cellStyle name="Процентный 9 55 3 2" xfId="46300"/>
    <cellStyle name="Процентный 9 55 4" xfId="24937"/>
    <cellStyle name="Процентный 9 55 4 2" xfId="56980"/>
    <cellStyle name="Процентный 9 55 5" xfId="35620"/>
    <cellStyle name="Процентный 9 56" xfId="3607"/>
    <cellStyle name="Процентный 9 56 2" xfId="8948"/>
    <cellStyle name="Процентный 9 56 2 2" xfId="19628"/>
    <cellStyle name="Процентный 9 56 2 2 2" xfId="51672"/>
    <cellStyle name="Процентный 9 56 2 3" xfId="30309"/>
    <cellStyle name="Процентный 9 56 2 3 2" xfId="62352"/>
    <cellStyle name="Процентный 9 56 2 4" xfId="40992"/>
    <cellStyle name="Процентный 9 56 3" xfId="14288"/>
    <cellStyle name="Процентный 9 56 3 2" xfId="46332"/>
    <cellStyle name="Процентный 9 56 4" xfId="24969"/>
    <cellStyle name="Процентный 9 56 4 2" xfId="57012"/>
    <cellStyle name="Процентный 9 56 5" xfId="35652"/>
    <cellStyle name="Процентный 9 57" xfId="3639"/>
    <cellStyle name="Процентный 9 57 2" xfId="8980"/>
    <cellStyle name="Процентный 9 57 2 2" xfId="19660"/>
    <cellStyle name="Процентный 9 57 2 2 2" xfId="51704"/>
    <cellStyle name="Процентный 9 57 2 3" xfId="30341"/>
    <cellStyle name="Процентный 9 57 2 3 2" xfId="62384"/>
    <cellStyle name="Процентный 9 57 2 4" xfId="41024"/>
    <cellStyle name="Процентный 9 57 3" xfId="14320"/>
    <cellStyle name="Процентный 9 57 3 2" xfId="46364"/>
    <cellStyle name="Процентный 9 57 4" xfId="25001"/>
    <cellStyle name="Процентный 9 57 4 2" xfId="57044"/>
    <cellStyle name="Процентный 9 57 5" xfId="35684"/>
    <cellStyle name="Процентный 9 58" xfId="3671"/>
    <cellStyle name="Процентный 9 58 2" xfId="9012"/>
    <cellStyle name="Процентный 9 58 2 2" xfId="19692"/>
    <cellStyle name="Процентный 9 58 2 2 2" xfId="51736"/>
    <cellStyle name="Процентный 9 58 2 3" xfId="30373"/>
    <cellStyle name="Процентный 9 58 2 3 2" xfId="62416"/>
    <cellStyle name="Процентный 9 58 2 4" xfId="41056"/>
    <cellStyle name="Процентный 9 58 3" xfId="14352"/>
    <cellStyle name="Процентный 9 58 3 2" xfId="46396"/>
    <cellStyle name="Процентный 9 58 4" xfId="25033"/>
    <cellStyle name="Процентный 9 58 4 2" xfId="57076"/>
    <cellStyle name="Процентный 9 58 5" xfId="35716"/>
    <cellStyle name="Процентный 9 59" xfId="3703"/>
    <cellStyle name="Процентный 9 59 2" xfId="9044"/>
    <cellStyle name="Процентный 9 59 2 2" xfId="19724"/>
    <cellStyle name="Процентный 9 59 2 2 2" xfId="51768"/>
    <cellStyle name="Процентный 9 59 2 3" xfId="30405"/>
    <cellStyle name="Процентный 9 59 2 3 2" xfId="62448"/>
    <cellStyle name="Процентный 9 59 2 4" xfId="41088"/>
    <cellStyle name="Процентный 9 59 3" xfId="14384"/>
    <cellStyle name="Процентный 9 59 3 2" xfId="46428"/>
    <cellStyle name="Процентный 9 59 4" xfId="25065"/>
    <cellStyle name="Процентный 9 59 4 2" xfId="57108"/>
    <cellStyle name="Процентный 9 59 5" xfId="35748"/>
    <cellStyle name="Процентный 9 6" xfId="2038"/>
    <cellStyle name="Процентный 9 6 2" xfId="7380"/>
    <cellStyle name="Процентный 9 6 2 2" xfId="18060"/>
    <cellStyle name="Процентный 9 6 2 2 2" xfId="50104"/>
    <cellStyle name="Процентный 9 6 2 3" xfId="28741"/>
    <cellStyle name="Процентный 9 6 2 3 2" xfId="60784"/>
    <cellStyle name="Процентный 9 6 2 4" xfId="39424"/>
    <cellStyle name="Процентный 9 6 3" xfId="12720"/>
    <cellStyle name="Процентный 9 6 3 2" xfId="44764"/>
    <cellStyle name="Процентный 9 6 4" xfId="23401"/>
    <cellStyle name="Процентный 9 6 4 2" xfId="55444"/>
    <cellStyle name="Процентный 9 6 5" xfId="34084"/>
    <cellStyle name="Процентный 9 60" xfId="3735"/>
    <cellStyle name="Процентный 9 60 2" xfId="9076"/>
    <cellStyle name="Процентный 9 60 2 2" xfId="19756"/>
    <cellStyle name="Процентный 9 60 2 2 2" xfId="51800"/>
    <cellStyle name="Процентный 9 60 2 3" xfId="30437"/>
    <cellStyle name="Процентный 9 60 2 3 2" xfId="62480"/>
    <cellStyle name="Процентный 9 60 2 4" xfId="41120"/>
    <cellStyle name="Процентный 9 60 3" xfId="14416"/>
    <cellStyle name="Процентный 9 60 3 2" xfId="46460"/>
    <cellStyle name="Процентный 9 60 4" xfId="25097"/>
    <cellStyle name="Процентный 9 60 4 2" xfId="57140"/>
    <cellStyle name="Процентный 9 60 5" xfId="35780"/>
    <cellStyle name="Процентный 9 61" xfId="3767"/>
    <cellStyle name="Процентный 9 61 2" xfId="9108"/>
    <cellStyle name="Процентный 9 61 2 2" xfId="19788"/>
    <cellStyle name="Процентный 9 61 2 2 2" xfId="51832"/>
    <cellStyle name="Процентный 9 61 2 3" xfId="30469"/>
    <cellStyle name="Процентный 9 61 2 3 2" xfId="62512"/>
    <cellStyle name="Процентный 9 61 2 4" xfId="41152"/>
    <cellStyle name="Процентный 9 61 3" xfId="14448"/>
    <cellStyle name="Процентный 9 61 3 2" xfId="46492"/>
    <cellStyle name="Процентный 9 61 4" xfId="25129"/>
    <cellStyle name="Процентный 9 61 4 2" xfId="57172"/>
    <cellStyle name="Процентный 9 61 5" xfId="35812"/>
    <cellStyle name="Процентный 9 62" xfId="3799"/>
    <cellStyle name="Процентный 9 62 2" xfId="9140"/>
    <cellStyle name="Процентный 9 62 2 2" xfId="19820"/>
    <cellStyle name="Процентный 9 62 2 2 2" xfId="51864"/>
    <cellStyle name="Процентный 9 62 2 3" xfId="30501"/>
    <cellStyle name="Процентный 9 62 2 3 2" xfId="62544"/>
    <cellStyle name="Процентный 9 62 2 4" xfId="41184"/>
    <cellStyle name="Процентный 9 62 3" xfId="14480"/>
    <cellStyle name="Процентный 9 62 3 2" xfId="46524"/>
    <cellStyle name="Процентный 9 62 4" xfId="25161"/>
    <cellStyle name="Процентный 9 62 4 2" xfId="57204"/>
    <cellStyle name="Процентный 9 62 5" xfId="35844"/>
    <cellStyle name="Процентный 9 63" xfId="3831"/>
    <cellStyle name="Процентный 9 63 2" xfId="9172"/>
    <cellStyle name="Процентный 9 63 2 2" xfId="19852"/>
    <cellStyle name="Процентный 9 63 2 2 2" xfId="51896"/>
    <cellStyle name="Процентный 9 63 2 3" xfId="30533"/>
    <cellStyle name="Процентный 9 63 2 3 2" xfId="62576"/>
    <cellStyle name="Процентный 9 63 2 4" xfId="41216"/>
    <cellStyle name="Процентный 9 63 3" xfId="14512"/>
    <cellStyle name="Процентный 9 63 3 2" xfId="46556"/>
    <cellStyle name="Процентный 9 63 4" xfId="25193"/>
    <cellStyle name="Процентный 9 63 4 2" xfId="57236"/>
    <cellStyle name="Процентный 9 63 5" xfId="35876"/>
    <cellStyle name="Процентный 9 64" xfId="3863"/>
    <cellStyle name="Процентный 9 64 2" xfId="9204"/>
    <cellStyle name="Процентный 9 64 2 2" xfId="19884"/>
    <cellStyle name="Процентный 9 64 2 2 2" xfId="51928"/>
    <cellStyle name="Процентный 9 64 2 3" xfId="30565"/>
    <cellStyle name="Процентный 9 64 2 3 2" xfId="62608"/>
    <cellStyle name="Процентный 9 64 2 4" xfId="41248"/>
    <cellStyle name="Процентный 9 64 3" xfId="14544"/>
    <cellStyle name="Процентный 9 64 3 2" xfId="46588"/>
    <cellStyle name="Процентный 9 64 4" xfId="25225"/>
    <cellStyle name="Процентный 9 64 4 2" xfId="57268"/>
    <cellStyle name="Процентный 9 64 5" xfId="35908"/>
    <cellStyle name="Процентный 9 65" xfId="3895"/>
    <cellStyle name="Процентный 9 65 2" xfId="9236"/>
    <cellStyle name="Процентный 9 65 2 2" xfId="19916"/>
    <cellStyle name="Процентный 9 65 2 2 2" xfId="51960"/>
    <cellStyle name="Процентный 9 65 2 3" xfId="30597"/>
    <cellStyle name="Процентный 9 65 2 3 2" xfId="62640"/>
    <cellStyle name="Процентный 9 65 2 4" xfId="41280"/>
    <cellStyle name="Процентный 9 65 3" xfId="14576"/>
    <cellStyle name="Процентный 9 65 3 2" xfId="46620"/>
    <cellStyle name="Процентный 9 65 4" xfId="25257"/>
    <cellStyle name="Процентный 9 65 4 2" xfId="57300"/>
    <cellStyle name="Процентный 9 65 5" xfId="35940"/>
    <cellStyle name="Процентный 9 66" xfId="3927"/>
    <cellStyle name="Процентный 9 66 2" xfId="9268"/>
    <cellStyle name="Процентный 9 66 2 2" xfId="19948"/>
    <cellStyle name="Процентный 9 66 2 2 2" xfId="51992"/>
    <cellStyle name="Процентный 9 66 2 3" xfId="30629"/>
    <cellStyle name="Процентный 9 66 2 3 2" xfId="62672"/>
    <cellStyle name="Процентный 9 66 2 4" xfId="41312"/>
    <cellStyle name="Процентный 9 66 3" xfId="14608"/>
    <cellStyle name="Процентный 9 66 3 2" xfId="46652"/>
    <cellStyle name="Процентный 9 66 4" xfId="25289"/>
    <cellStyle name="Процентный 9 66 4 2" xfId="57332"/>
    <cellStyle name="Процентный 9 66 5" xfId="35972"/>
    <cellStyle name="Процентный 9 67" xfId="3959"/>
    <cellStyle name="Процентный 9 67 2" xfId="9300"/>
    <cellStyle name="Процентный 9 67 2 2" xfId="19980"/>
    <cellStyle name="Процентный 9 67 2 2 2" xfId="52024"/>
    <cellStyle name="Процентный 9 67 2 3" xfId="30661"/>
    <cellStyle name="Процентный 9 67 2 3 2" xfId="62704"/>
    <cellStyle name="Процентный 9 67 2 4" xfId="41344"/>
    <cellStyle name="Процентный 9 67 3" xfId="14640"/>
    <cellStyle name="Процентный 9 67 3 2" xfId="46684"/>
    <cellStyle name="Процентный 9 67 4" xfId="25321"/>
    <cellStyle name="Процентный 9 67 4 2" xfId="57364"/>
    <cellStyle name="Процентный 9 67 5" xfId="36004"/>
    <cellStyle name="Процентный 9 68" xfId="3991"/>
    <cellStyle name="Процентный 9 68 2" xfId="9332"/>
    <cellStyle name="Процентный 9 68 2 2" xfId="20012"/>
    <cellStyle name="Процентный 9 68 2 2 2" xfId="52056"/>
    <cellStyle name="Процентный 9 68 2 3" xfId="30693"/>
    <cellStyle name="Процентный 9 68 2 3 2" xfId="62736"/>
    <cellStyle name="Процентный 9 68 2 4" xfId="41376"/>
    <cellStyle name="Процентный 9 68 3" xfId="14672"/>
    <cellStyle name="Процентный 9 68 3 2" xfId="46716"/>
    <cellStyle name="Процентный 9 68 4" xfId="25353"/>
    <cellStyle name="Процентный 9 68 4 2" xfId="57396"/>
    <cellStyle name="Процентный 9 68 5" xfId="36036"/>
    <cellStyle name="Процентный 9 69" xfId="4023"/>
    <cellStyle name="Процентный 9 69 2" xfId="9364"/>
    <cellStyle name="Процентный 9 69 2 2" xfId="20044"/>
    <cellStyle name="Процентный 9 69 2 2 2" xfId="52088"/>
    <cellStyle name="Процентный 9 69 2 3" xfId="30725"/>
    <cellStyle name="Процентный 9 69 2 3 2" xfId="62768"/>
    <cellStyle name="Процентный 9 69 2 4" xfId="41408"/>
    <cellStyle name="Процентный 9 69 3" xfId="14704"/>
    <cellStyle name="Процентный 9 69 3 2" xfId="46748"/>
    <cellStyle name="Процентный 9 69 4" xfId="25385"/>
    <cellStyle name="Процентный 9 69 4 2" xfId="57428"/>
    <cellStyle name="Процентный 9 69 5" xfId="36068"/>
    <cellStyle name="Процентный 9 7" xfId="2066"/>
    <cellStyle name="Процентный 9 7 2" xfId="7408"/>
    <cellStyle name="Процентный 9 7 2 2" xfId="18088"/>
    <cellStyle name="Процентный 9 7 2 2 2" xfId="50132"/>
    <cellStyle name="Процентный 9 7 2 3" xfId="28769"/>
    <cellStyle name="Процентный 9 7 2 3 2" xfId="60812"/>
    <cellStyle name="Процентный 9 7 2 4" xfId="39452"/>
    <cellStyle name="Процентный 9 7 3" xfId="12748"/>
    <cellStyle name="Процентный 9 7 3 2" xfId="44792"/>
    <cellStyle name="Процентный 9 7 4" xfId="23429"/>
    <cellStyle name="Процентный 9 7 4 2" xfId="55472"/>
    <cellStyle name="Процентный 9 7 5" xfId="34112"/>
    <cellStyle name="Процентный 9 70" xfId="4055"/>
    <cellStyle name="Процентный 9 70 2" xfId="9396"/>
    <cellStyle name="Процентный 9 70 2 2" xfId="20076"/>
    <cellStyle name="Процентный 9 70 2 2 2" xfId="52120"/>
    <cellStyle name="Процентный 9 70 2 3" xfId="30757"/>
    <cellStyle name="Процентный 9 70 2 3 2" xfId="62800"/>
    <cellStyle name="Процентный 9 70 2 4" xfId="41440"/>
    <cellStyle name="Процентный 9 70 3" xfId="14736"/>
    <cellStyle name="Процентный 9 70 3 2" xfId="46780"/>
    <cellStyle name="Процентный 9 70 4" xfId="25417"/>
    <cellStyle name="Процентный 9 70 4 2" xfId="57460"/>
    <cellStyle name="Процентный 9 70 5" xfId="36100"/>
    <cellStyle name="Процентный 9 71" xfId="4087"/>
    <cellStyle name="Процентный 9 71 2" xfId="9428"/>
    <cellStyle name="Процентный 9 71 2 2" xfId="20108"/>
    <cellStyle name="Процентный 9 71 2 2 2" xfId="52152"/>
    <cellStyle name="Процентный 9 71 2 3" xfId="30789"/>
    <cellStyle name="Процентный 9 71 2 3 2" xfId="62832"/>
    <cellStyle name="Процентный 9 71 2 4" xfId="41472"/>
    <cellStyle name="Процентный 9 71 3" xfId="14768"/>
    <cellStyle name="Процентный 9 71 3 2" xfId="46812"/>
    <cellStyle name="Процентный 9 71 4" xfId="25449"/>
    <cellStyle name="Процентный 9 71 4 2" xfId="57492"/>
    <cellStyle name="Процентный 9 71 5" xfId="36132"/>
    <cellStyle name="Процентный 9 72" xfId="4119"/>
    <cellStyle name="Процентный 9 72 2" xfId="9460"/>
    <cellStyle name="Процентный 9 72 2 2" xfId="20140"/>
    <cellStyle name="Процентный 9 72 2 2 2" xfId="52184"/>
    <cellStyle name="Процентный 9 72 2 3" xfId="30821"/>
    <cellStyle name="Процентный 9 72 2 3 2" xfId="62864"/>
    <cellStyle name="Процентный 9 72 2 4" xfId="41504"/>
    <cellStyle name="Процентный 9 72 3" xfId="14800"/>
    <cellStyle name="Процентный 9 72 3 2" xfId="46844"/>
    <cellStyle name="Процентный 9 72 4" xfId="25481"/>
    <cellStyle name="Процентный 9 72 4 2" xfId="57524"/>
    <cellStyle name="Процентный 9 72 5" xfId="36164"/>
    <cellStyle name="Процентный 9 73" xfId="4151"/>
    <cellStyle name="Процентный 9 73 2" xfId="9492"/>
    <cellStyle name="Процентный 9 73 2 2" xfId="20172"/>
    <cellStyle name="Процентный 9 73 2 2 2" xfId="52216"/>
    <cellStyle name="Процентный 9 73 2 3" xfId="30853"/>
    <cellStyle name="Процентный 9 73 2 3 2" xfId="62896"/>
    <cellStyle name="Процентный 9 73 2 4" xfId="41536"/>
    <cellStyle name="Процентный 9 73 3" xfId="14832"/>
    <cellStyle name="Процентный 9 73 3 2" xfId="46876"/>
    <cellStyle name="Процентный 9 73 4" xfId="25513"/>
    <cellStyle name="Процентный 9 73 4 2" xfId="57556"/>
    <cellStyle name="Процентный 9 73 5" xfId="36196"/>
    <cellStyle name="Процентный 9 74" xfId="4183"/>
    <cellStyle name="Процентный 9 74 2" xfId="9524"/>
    <cellStyle name="Процентный 9 74 2 2" xfId="20204"/>
    <cellStyle name="Процентный 9 74 2 2 2" xfId="52248"/>
    <cellStyle name="Процентный 9 74 2 3" xfId="30885"/>
    <cellStyle name="Процентный 9 74 2 3 2" xfId="62928"/>
    <cellStyle name="Процентный 9 74 2 4" xfId="41568"/>
    <cellStyle name="Процентный 9 74 3" xfId="14864"/>
    <cellStyle name="Процентный 9 74 3 2" xfId="46908"/>
    <cellStyle name="Процентный 9 74 4" xfId="25545"/>
    <cellStyle name="Процентный 9 74 4 2" xfId="57588"/>
    <cellStyle name="Процентный 9 74 5" xfId="36228"/>
    <cellStyle name="Процентный 9 75" xfId="4215"/>
    <cellStyle name="Процентный 9 75 2" xfId="9556"/>
    <cellStyle name="Процентный 9 75 2 2" xfId="20236"/>
    <cellStyle name="Процентный 9 75 2 2 2" xfId="52280"/>
    <cellStyle name="Процентный 9 75 2 3" xfId="30917"/>
    <cellStyle name="Процентный 9 75 2 3 2" xfId="62960"/>
    <cellStyle name="Процентный 9 75 2 4" xfId="41600"/>
    <cellStyle name="Процентный 9 75 3" xfId="14896"/>
    <cellStyle name="Процентный 9 75 3 2" xfId="46940"/>
    <cellStyle name="Процентный 9 75 4" xfId="25577"/>
    <cellStyle name="Процентный 9 75 4 2" xfId="57620"/>
    <cellStyle name="Процентный 9 75 5" xfId="36260"/>
    <cellStyle name="Процентный 9 76" xfId="4247"/>
    <cellStyle name="Процентный 9 76 2" xfId="9588"/>
    <cellStyle name="Процентный 9 76 2 2" xfId="20268"/>
    <cellStyle name="Процентный 9 76 2 2 2" xfId="52312"/>
    <cellStyle name="Процентный 9 76 2 3" xfId="30949"/>
    <cellStyle name="Процентный 9 76 2 3 2" xfId="62992"/>
    <cellStyle name="Процентный 9 76 2 4" xfId="41632"/>
    <cellStyle name="Процентный 9 76 3" xfId="14928"/>
    <cellStyle name="Процентный 9 76 3 2" xfId="46972"/>
    <cellStyle name="Процентный 9 76 4" xfId="25609"/>
    <cellStyle name="Процентный 9 76 4 2" xfId="57652"/>
    <cellStyle name="Процентный 9 76 5" xfId="36292"/>
    <cellStyle name="Процентный 9 77" xfId="4279"/>
    <cellStyle name="Процентный 9 77 2" xfId="9620"/>
    <cellStyle name="Процентный 9 77 2 2" xfId="20300"/>
    <cellStyle name="Процентный 9 77 2 2 2" xfId="52344"/>
    <cellStyle name="Процентный 9 77 2 3" xfId="30981"/>
    <cellStyle name="Процентный 9 77 2 3 2" xfId="63024"/>
    <cellStyle name="Процентный 9 77 2 4" xfId="41664"/>
    <cellStyle name="Процентный 9 77 3" xfId="14960"/>
    <cellStyle name="Процентный 9 77 3 2" xfId="47004"/>
    <cellStyle name="Процентный 9 77 4" xfId="25641"/>
    <cellStyle name="Процентный 9 77 4 2" xfId="57684"/>
    <cellStyle name="Процентный 9 77 5" xfId="36324"/>
    <cellStyle name="Процентный 9 78" xfId="4311"/>
    <cellStyle name="Процентный 9 78 2" xfId="9652"/>
    <cellStyle name="Процентный 9 78 2 2" xfId="20332"/>
    <cellStyle name="Процентный 9 78 2 2 2" xfId="52376"/>
    <cellStyle name="Процентный 9 78 2 3" xfId="31013"/>
    <cellStyle name="Процентный 9 78 2 3 2" xfId="63056"/>
    <cellStyle name="Процентный 9 78 2 4" xfId="41696"/>
    <cellStyle name="Процентный 9 78 3" xfId="14992"/>
    <cellStyle name="Процентный 9 78 3 2" xfId="47036"/>
    <cellStyle name="Процентный 9 78 4" xfId="25673"/>
    <cellStyle name="Процентный 9 78 4 2" xfId="57716"/>
    <cellStyle name="Процентный 9 78 5" xfId="36356"/>
    <cellStyle name="Процентный 9 79" xfId="4343"/>
    <cellStyle name="Процентный 9 79 2" xfId="9684"/>
    <cellStyle name="Процентный 9 79 2 2" xfId="20364"/>
    <cellStyle name="Процентный 9 79 2 2 2" xfId="52408"/>
    <cellStyle name="Процентный 9 79 2 3" xfId="31045"/>
    <cellStyle name="Процентный 9 79 2 3 2" xfId="63088"/>
    <cellStyle name="Процентный 9 79 2 4" xfId="41728"/>
    <cellStyle name="Процентный 9 79 3" xfId="15024"/>
    <cellStyle name="Процентный 9 79 3 2" xfId="47068"/>
    <cellStyle name="Процентный 9 79 4" xfId="25705"/>
    <cellStyle name="Процентный 9 79 4 2" xfId="57748"/>
    <cellStyle name="Процентный 9 79 5" xfId="36388"/>
    <cellStyle name="Процентный 9 8" xfId="2094"/>
    <cellStyle name="Процентный 9 8 2" xfId="7436"/>
    <cellStyle name="Процентный 9 8 2 2" xfId="18116"/>
    <cellStyle name="Процентный 9 8 2 2 2" xfId="50160"/>
    <cellStyle name="Процентный 9 8 2 3" xfId="28797"/>
    <cellStyle name="Процентный 9 8 2 3 2" xfId="60840"/>
    <cellStyle name="Процентный 9 8 2 4" xfId="39480"/>
    <cellStyle name="Процентный 9 8 3" xfId="12776"/>
    <cellStyle name="Процентный 9 8 3 2" xfId="44820"/>
    <cellStyle name="Процентный 9 8 4" xfId="23457"/>
    <cellStyle name="Процентный 9 8 4 2" xfId="55500"/>
    <cellStyle name="Процентный 9 8 5" xfId="34140"/>
    <cellStyle name="Процентный 9 80" xfId="4375"/>
    <cellStyle name="Процентный 9 80 2" xfId="9716"/>
    <cellStyle name="Процентный 9 80 2 2" xfId="20396"/>
    <cellStyle name="Процентный 9 80 2 2 2" xfId="52440"/>
    <cellStyle name="Процентный 9 80 2 3" xfId="31077"/>
    <cellStyle name="Процентный 9 80 2 3 2" xfId="63120"/>
    <cellStyle name="Процентный 9 80 2 4" xfId="41760"/>
    <cellStyle name="Процентный 9 80 3" xfId="15056"/>
    <cellStyle name="Процентный 9 80 3 2" xfId="47100"/>
    <cellStyle name="Процентный 9 80 4" xfId="25737"/>
    <cellStyle name="Процентный 9 80 4 2" xfId="57780"/>
    <cellStyle name="Процентный 9 80 5" xfId="36420"/>
    <cellStyle name="Процентный 9 81" xfId="4407"/>
    <cellStyle name="Процентный 9 81 2" xfId="9748"/>
    <cellStyle name="Процентный 9 81 2 2" xfId="20428"/>
    <cellStyle name="Процентный 9 81 2 2 2" xfId="52472"/>
    <cellStyle name="Процентный 9 81 2 3" xfId="31109"/>
    <cellStyle name="Процентный 9 81 2 3 2" xfId="63152"/>
    <cellStyle name="Процентный 9 81 2 4" xfId="41792"/>
    <cellStyle name="Процентный 9 81 3" xfId="15088"/>
    <cellStyle name="Процентный 9 81 3 2" xfId="47132"/>
    <cellStyle name="Процентный 9 81 4" xfId="25769"/>
    <cellStyle name="Процентный 9 81 4 2" xfId="57812"/>
    <cellStyle name="Процентный 9 81 5" xfId="36452"/>
    <cellStyle name="Процентный 9 82" xfId="4439"/>
    <cellStyle name="Процентный 9 82 2" xfId="9780"/>
    <cellStyle name="Процентный 9 82 2 2" xfId="20460"/>
    <cellStyle name="Процентный 9 82 2 2 2" xfId="52504"/>
    <cellStyle name="Процентный 9 82 2 3" xfId="31141"/>
    <cellStyle name="Процентный 9 82 2 3 2" xfId="63184"/>
    <cellStyle name="Процентный 9 82 2 4" xfId="41824"/>
    <cellStyle name="Процентный 9 82 3" xfId="15120"/>
    <cellStyle name="Процентный 9 82 3 2" xfId="47164"/>
    <cellStyle name="Процентный 9 82 4" xfId="25801"/>
    <cellStyle name="Процентный 9 82 4 2" xfId="57844"/>
    <cellStyle name="Процентный 9 82 5" xfId="36484"/>
    <cellStyle name="Процентный 9 83" xfId="4471"/>
    <cellStyle name="Процентный 9 83 2" xfId="9812"/>
    <cellStyle name="Процентный 9 83 2 2" xfId="20492"/>
    <cellStyle name="Процентный 9 83 2 2 2" xfId="52536"/>
    <cellStyle name="Процентный 9 83 2 3" xfId="31173"/>
    <cellStyle name="Процентный 9 83 2 3 2" xfId="63216"/>
    <cellStyle name="Процентный 9 83 2 4" xfId="41856"/>
    <cellStyle name="Процентный 9 83 3" xfId="15152"/>
    <cellStyle name="Процентный 9 83 3 2" xfId="47196"/>
    <cellStyle name="Процентный 9 83 4" xfId="25833"/>
    <cellStyle name="Процентный 9 83 4 2" xfId="57876"/>
    <cellStyle name="Процентный 9 83 5" xfId="36516"/>
    <cellStyle name="Процентный 9 84" xfId="4503"/>
    <cellStyle name="Процентный 9 84 2" xfId="9844"/>
    <cellStyle name="Процентный 9 84 2 2" xfId="20524"/>
    <cellStyle name="Процентный 9 84 2 2 2" xfId="52568"/>
    <cellStyle name="Процентный 9 84 2 3" xfId="31205"/>
    <cellStyle name="Процентный 9 84 2 3 2" xfId="63248"/>
    <cellStyle name="Процентный 9 84 2 4" xfId="41888"/>
    <cellStyle name="Процентный 9 84 3" xfId="15184"/>
    <cellStyle name="Процентный 9 84 3 2" xfId="47228"/>
    <cellStyle name="Процентный 9 84 4" xfId="25865"/>
    <cellStyle name="Процентный 9 84 4 2" xfId="57908"/>
    <cellStyle name="Процентный 9 84 5" xfId="36548"/>
    <cellStyle name="Процентный 9 85" xfId="4535"/>
    <cellStyle name="Процентный 9 85 2" xfId="9876"/>
    <cellStyle name="Процентный 9 85 2 2" xfId="20556"/>
    <cellStyle name="Процентный 9 85 2 2 2" xfId="52600"/>
    <cellStyle name="Процентный 9 85 2 3" xfId="31237"/>
    <cellStyle name="Процентный 9 85 2 3 2" xfId="63280"/>
    <cellStyle name="Процентный 9 85 2 4" xfId="41920"/>
    <cellStyle name="Процентный 9 85 3" xfId="15216"/>
    <cellStyle name="Процентный 9 85 3 2" xfId="47260"/>
    <cellStyle name="Процентный 9 85 4" xfId="25897"/>
    <cellStyle name="Процентный 9 85 4 2" xfId="57940"/>
    <cellStyle name="Процентный 9 85 5" xfId="36580"/>
    <cellStyle name="Процентный 9 86" xfId="4567"/>
    <cellStyle name="Процентный 9 86 2" xfId="9908"/>
    <cellStyle name="Процентный 9 86 2 2" xfId="20588"/>
    <cellStyle name="Процентный 9 86 2 2 2" xfId="52632"/>
    <cellStyle name="Процентный 9 86 2 3" xfId="31269"/>
    <cellStyle name="Процентный 9 86 2 3 2" xfId="63312"/>
    <cellStyle name="Процентный 9 86 2 4" xfId="41952"/>
    <cellStyle name="Процентный 9 86 3" xfId="15248"/>
    <cellStyle name="Процентный 9 86 3 2" xfId="47292"/>
    <cellStyle name="Процентный 9 86 4" xfId="25929"/>
    <cellStyle name="Процентный 9 86 4 2" xfId="57972"/>
    <cellStyle name="Процентный 9 86 5" xfId="36612"/>
    <cellStyle name="Процентный 9 87" xfId="4599"/>
    <cellStyle name="Процентный 9 87 2" xfId="9940"/>
    <cellStyle name="Процентный 9 87 2 2" xfId="20620"/>
    <cellStyle name="Процентный 9 87 2 2 2" xfId="52664"/>
    <cellStyle name="Процентный 9 87 2 3" xfId="31301"/>
    <cellStyle name="Процентный 9 87 2 3 2" xfId="63344"/>
    <cellStyle name="Процентный 9 87 2 4" xfId="41984"/>
    <cellStyle name="Процентный 9 87 3" xfId="15280"/>
    <cellStyle name="Процентный 9 87 3 2" xfId="47324"/>
    <cellStyle name="Процентный 9 87 4" xfId="25961"/>
    <cellStyle name="Процентный 9 87 4 2" xfId="58004"/>
    <cellStyle name="Процентный 9 87 5" xfId="36644"/>
    <cellStyle name="Процентный 9 88" xfId="4631"/>
    <cellStyle name="Процентный 9 88 2" xfId="9972"/>
    <cellStyle name="Процентный 9 88 2 2" xfId="20652"/>
    <cellStyle name="Процентный 9 88 2 2 2" xfId="52696"/>
    <cellStyle name="Процентный 9 88 2 3" xfId="31333"/>
    <cellStyle name="Процентный 9 88 2 3 2" xfId="63376"/>
    <cellStyle name="Процентный 9 88 2 4" xfId="42016"/>
    <cellStyle name="Процентный 9 88 3" xfId="15312"/>
    <cellStyle name="Процентный 9 88 3 2" xfId="47356"/>
    <cellStyle name="Процентный 9 88 4" xfId="25993"/>
    <cellStyle name="Процентный 9 88 4 2" xfId="58036"/>
    <cellStyle name="Процентный 9 88 5" xfId="36676"/>
    <cellStyle name="Процентный 9 89" xfId="4663"/>
    <cellStyle name="Процентный 9 89 2" xfId="10004"/>
    <cellStyle name="Процентный 9 89 2 2" xfId="20684"/>
    <cellStyle name="Процентный 9 89 2 2 2" xfId="52728"/>
    <cellStyle name="Процентный 9 89 2 3" xfId="31365"/>
    <cellStyle name="Процентный 9 89 2 3 2" xfId="63408"/>
    <cellStyle name="Процентный 9 89 2 4" xfId="42048"/>
    <cellStyle name="Процентный 9 89 3" xfId="15344"/>
    <cellStyle name="Процентный 9 89 3 2" xfId="47388"/>
    <cellStyle name="Процентный 9 89 4" xfId="26025"/>
    <cellStyle name="Процентный 9 89 4 2" xfId="58068"/>
    <cellStyle name="Процентный 9 89 5" xfId="36708"/>
    <cellStyle name="Процентный 9 9" xfId="2122"/>
    <cellStyle name="Процентный 9 9 2" xfId="7464"/>
    <cellStyle name="Процентный 9 9 2 2" xfId="18144"/>
    <cellStyle name="Процентный 9 9 2 2 2" xfId="50188"/>
    <cellStyle name="Процентный 9 9 2 3" xfId="28825"/>
    <cellStyle name="Процентный 9 9 2 3 2" xfId="60868"/>
    <cellStyle name="Процентный 9 9 2 4" xfId="39508"/>
    <cellStyle name="Процентный 9 9 3" xfId="12804"/>
    <cellStyle name="Процентный 9 9 3 2" xfId="44848"/>
    <cellStyle name="Процентный 9 9 4" xfId="23485"/>
    <cellStyle name="Процентный 9 9 4 2" xfId="55528"/>
    <cellStyle name="Процентный 9 9 5" xfId="34168"/>
    <cellStyle name="Процентный 9 90" xfId="4695"/>
    <cellStyle name="Процентный 9 90 2" xfId="10036"/>
    <cellStyle name="Процентный 9 90 2 2" xfId="20716"/>
    <cellStyle name="Процентный 9 90 2 2 2" xfId="52760"/>
    <cellStyle name="Процентный 9 90 2 3" xfId="31397"/>
    <cellStyle name="Процентный 9 90 2 3 2" xfId="63440"/>
    <cellStyle name="Процентный 9 90 2 4" xfId="42080"/>
    <cellStyle name="Процентный 9 90 3" xfId="15376"/>
    <cellStyle name="Процентный 9 90 3 2" xfId="47420"/>
    <cellStyle name="Процентный 9 90 4" xfId="26057"/>
    <cellStyle name="Процентный 9 90 4 2" xfId="58100"/>
    <cellStyle name="Процентный 9 90 5" xfId="36740"/>
    <cellStyle name="Процентный 9 91" xfId="4729"/>
    <cellStyle name="Процентный 9 91 2" xfId="10070"/>
    <cellStyle name="Процентный 9 91 2 2" xfId="20750"/>
    <cellStyle name="Процентный 9 91 2 2 2" xfId="52794"/>
    <cellStyle name="Процентный 9 91 2 3" xfId="31431"/>
    <cellStyle name="Процентный 9 91 2 3 2" xfId="63474"/>
    <cellStyle name="Процентный 9 91 2 4" xfId="42114"/>
    <cellStyle name="Процентный 9 91 3" xfId="15410"/>
    <cellStyle name="Процентный 9 91 3 2" xfId="47454"/>
    <cellStyle name="Процентный 9 91 4" xfId="26091"/>
    <cellStyle name="Процентный 9 91 4 2" xfId="58134"/>
    <cellStyle name="Процентный 9 91 5" xfId="36774"/>
    <cellStyle name="Процентный 9 92" xfId="4761"/>
    <cellStyle name="Процентный 9 92 2" xfId="10102"/>
    <cellStyle name="Процентный 9 92 2 2" xfId="20782"/>
    <cellStyle name="Процентный 9 92 2 2 2" xfId="52826"/>
    <cellStyle name="Процентный 9 92 2 3" xfId="31463"/>
    <cellStyle name="Процентный 9 92 2 3 2" xfId="63506"/>
    <cellStyle name="Процентный 9 92 2 4" xfId="42146"/>
    <cellStyle name="Процентный 9 92 3" xfId="15442"/>
    <cellStyle name="Процентный 9 92 3 2" xfId="47486"/>
    <cellStyle name="Процентный 9 92 4" xfId="26123"/>
    <cellStyle name="Процентный 9 92 4 2" xfId="58166"/>
    <cellStyle name="Процентный 9 92 5" xfId="36806"/>
    <cellStyle name="Процентный 9 93" xfId="4793"/>
    <cellStyle name="Процентный 9 93 2" xfId="10134"/>
    <cellStyle name="Процентный 9 93 2 2" xfId="20814"/>
    <cellStyle name="Процентный 9 93 2 2 2" xfId="52858"/>
    <cellStyle name="Процентный 9 93 2 3" xfId="31495"/>
    <cellStyle name="Процентный 9 93 2 3 2" xfId="63538"/>
    <cellStyle name="Процентный 9 93 2 4" xfId="42178"/>
    <cellStyle name="Процентный 9 93 3" xfId="15474"/>
    <cellStyle name="Процентный 9 93 3 2" xfId="47518"/>
    <cellStyle name="Процентный 9 93 4" xfId="26155"/>
    <cellStyle name="Процентный 9 93 4 2" xfId="58198"/>
    <cellStyle name="Процентный 9 93 5" xfId="36838"/>
    <cellStyle name="Процентный 9 94" xfId="4825"/>
    <cellStyle name="Процентный 9 94 2" xfId="10166"/>
    <cellStyle name="Процентный 9 94 2 2" xfId="20846"/>
    <cellStyle name="Процентный 9 94 2 2 2" xfId="52890"/>
    <cellStyle name="Процентный 9 94 2 3" xfId="31527"/>
    <cellStyle name="Процентный 9 94 2 3 2" xfId="63570"/>
    <cellStyle name="Процентный 9 94 2 4" xfId="42210"/>
    <cellStyle name="Процентный 9 94 3" xfId="15506"/>
    <cellStyle name="Процентный 9 94 3 2" xfId="47550"/>
    <cellStyle name="Процентный 9 94 4" xfId="26187"/>
    <cellStyle name="Процентный 9 94 4 2" xfId="58230"/>
    <cellStyle name="Процентный 9 94 5" xfId="36870"/>
    <cellStyle name="Процентный 9 95" xfId="4857"/>
    <cellStyle name="Процентный 9 95 2" xfId="10198"/>
    <cellStyle name="Процентный 9 95 2 2" xfId="20878"/>
    <cellStyle name="Процентный 9 95 2 2 2" xfId="52922"/>
    <cellStyle name="Процентный 9 95 2 3" xfId="31559"/>
    <cellStyle name="Процентный 9 95 2 3 2" xfId="63602"/>
    <cellStyle name="Процентный 9 95 2 4" xfId="42242"/>
    <cellStyle name="Процентный 9 95 3" xfId="15538"/>
    <cellStyle name="Процентный 9 95 3 2" xfId="47582"/>
    <cellStyle name="Процентный 9 95 4" xfId="26219"/>
    <cellStyle name="Процентный 9 95 4 2" xfId="58262"/>
    <cellStyle name="Процентный 9 95 5" xfId="36902"/>
    <cellStyle name="Процентный 9 96" xfId="4889"/>
    <cellStyle name="Процентный 9 96 2" xfId="10230"/>
    <cellStyle name="Процентный 9 96 2 2" xfId="20910"/>
    <cellStyle name="Процентный 9 96 2 2 2" xfId="52954"/>
    <cellStyle name="Процентный 9 96 2 3" xfId="31591"/>
    <cellStyle name="Процентный 9 96 2 3 2" xfId="63634"/>
    <cellStyle name="Процентный 9 96 2 4" xfId="42274"/>
    <cellStyle name="Процентный 9 96 3" xfId="15570"/>
    <cellStyle name="Процентный 9 96 3 2" xfId="47614"/>
    <cellStyle name="Процентный 9 96 4" xfId="26251"/>
    <cellStyle name="Процентный 9 96 4 2" xfId="58294"/>
    <cellStyle name="Процентный 9 96 5" xfId="36934"/>
    <cellStyle name="Процентный 9 97" xfId="4921"/>
    <cellStyle name="Процентный 9 97 2" xfId="10262"/>
    <cellStyle name="Процентный 9 97 2 2" xfId="20942"/>
    <cellStyle name="Процентный 9 97 2 2 2" xfId="52986"/>
    <cellStyle name="Процентный 9 97 2 3" xfId="31623"/>
    <cellStyle name="Процентный 9 97 2 3 2" xfId="63666"/>
    <cellStyle name="Процентный 9 97 2 4" xfId="42306"/>
    <cellStyle name="Процентный 9 97 3" xfId="15602"/>
    <cellStyle name="Процентный 9 97 3 2" xfId="47646"/>
    <cellStyle name="Процентный 9 97 4" xfId="26283"/>
    <cellStyle name="Процентный 9 97 4 2" xfId="58326"/>
    <cellStyle name="Процентный 9 97 5" xfId="36966"/>
    <cellStyle name="Процентный 9 98" xfId="4953"/>
    <cellStyle name="Процентный 9 98 2" xfId="10294"/>
    <cellStyle name="Процентный 9 98 2 2" xfId="20974"/>
    <cellStyle name="Процентный 9 98 2 2 2" xfId="53018"/>
    <cellStyle name="Процентный 9 98 2 3" xfId="31655"/>
    <cellStyle name="Процентный 9 98 2 3 2" xfId="63698"/>
    <cellStyle name="Процентный 9 98 2 4" xfId="42338"/>
    <cellStyle name="Процентный 9 98 3" xfId="15634"/>
    <cellStyle name="Процентный 9 98 3 2" xfId="47678"/>
    <cellStyle name="Процентный 9 98 4" xfId="26315"/>
    <cellStyle name="Процентный 9 98 4 2" xfId="58358"/>
    <cellStyle name="Процентный 9 98 5" xfId="36998"/>
    <cellStyle name="Процентный 9 99" xfId="4985"/>
    <cellStyle name="Процентный 9 99 2" xfId="10326"/>
    <cellStyle name="Процентный 9 99 2 2" xfId="21006"/>
    <cellStyle name="Процентный 9 99 2 2 2" xfId="53050"/>
    <cellStyle name="Процентный 9 99 2 3" xfId="31687"/>
    <cellStyle name="Процентный 9 99 2 3 2" xfId="63730"/>
    <cellStyle name="Процентный 9 99 2 4" xfId="42370"/>
    <cellStyle name="Процентный 9 99 3" xfId="15666"/>
    <cellStyle name="Процентный 9 99 3 2" xfId="47710"/>
    <cellStyle name="Процентный 9 99 4" xfId="26347"/>
    <cellStyle name="Процентный 9 99 4 2" xfId="58390"/>
    <cellStyle name="Процентный 9 99 5" xfId="37030"/>
    <cellStyle name="Финансовый" xfId="32076" builtinId="3"/>
    <cellStyle name="Финансовый 2" xfId="10"/>
    <cellStyle name="Финансовый 3" xfId="26"/>
    <cellStyle name="Финансовый 3 2" xfId="30"/>
    <cellStyle name="Финансовый 4" xfId="499"/>
    <cellStyle name="Финансовый 5" xfId="3099"/>
  </cellStyles>
  <dxfs count="146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87"/>
  <sheetViews>
    <sheetView showGridLines="0" zoomScale="85" zoomScaleNormal="85" workbookViewId="0">
      <selection activeCell="C98" sqref="C98"/>
    </sheetView>
  </sheetViews>
  <sheetFormatPr defaultColWidth="9.140625" defaultRowHeight="12.75" x14ac:dyDescent="0.2"/>
  <cols>
    <col min="1" max="1" width="4.42578125" customWidth="1"/>
    <col min="2" max="2" width="3" bestFit="1" customWidth="1"/>
    <col min="3" max="3" width="44.85546875" customWidth="1"/>
    <col min="4" max="4" width="15.140625" customWidth="1"/>
    <col min="5" max="5" width="21.85546875" customWidth="1"/>
    <col min="6" max="6" width="18.7109375" customWidth="1"/>
    <col min="7" max="7" width="18.140625" style="6" customWidth="1"/>
    <col min="8" max="8" width="17.42578125" customWidth="1"/>
    <col min="9" max="9" width="18.42578125" customWidth="1"/>
    <col min="10" max="10" width="18" customWidth="1"/>
    <col min="11" max="11" width="14.140625" customWidth="1"/>
    <col min="12" max="12" width="11.42578125" bestFit="1" customWidth="1"/>
    <col min="13" max="13" width="2.85546875" customWidth="1"/>
    <col min="14" max="14" width="10.140625" bestFit="1" customWidth="1"/>
    <col min="15" max="15" width="11.42578125" bestFit="1" customWidth="1"/>
  </cols>
  <sheetData>
    <row r="1" spans="2:17" ht="15.75" x14ac:dyDescent="0.25">
      <c r="C1" s="475"/>
      <c r="D1" s="475"/>
      <c r="E1" s="475"/>
      <c r="F1" s="475"/>
      <c r="G1" s="475"/>
      <c r="H1" s="475"/>
      <c r="I1" s="475"/>
      <c r="J1" s="475"/>
      <c r="K1" s="475"/>
    </row>
    <row r="2" spans="2:17" s="1" customFormat="1" ht="19.5" x14ac:dyDescent="0.3">
      <c r="B2" s="13" t="s">
        <v>0</v>
      </c>
      <c r="C2" s="16" t="s">
        <v>68</v>
      </c>
      <c r="D2" s="17"/>
      <c r="E2" s="17"/>
      <c r="F2" s="284">
        <f ca="1">TODAY()</f>
        <v>45880</v>
      </c>
      <c r="G2" s="17"/>
      <c r="H2" s="17"/>
      <c r="I2" s="17"/>
      <c r="J2" s="18" t="s">
        <v>10</v>
      </c>
      <c r="K2" s="19"/>
      <c r="L2" s="3"/>
      <c r="M2" s="3"/>
      <c r="N2" s="3"/>
      <c r="O2" s="3"/>
      <c r="P2" s="3"/>
      <c r="Q2" s="4"/>
    </row>
    <row r="3" spans="2:17" s="1" customFormat="1" ht="11.25" hidden="1" customHeight="1" x14ac:dyDescent="0.25">
      <c r="B3" s="14"/>
      <c r="C3" s="8"/>
      <c r="D3" s="11" t="s">
        <v>0</v>
      </c>
      <c r="E3" s="12" t="s">
        <v>0</v>
      </c>
      <c r="F3" s="8" t="s">
        <v>0</v>
      </c>
      <c r="G3" s="9"/>
      <c r="H3" s="8"/>
      <c r="I3" s="476"/>
      <c r="J3" s="476"/>
      <c r="K3" s="15"/>
      <c r="L3" s="3"/>
      <c r="M3" s="3"/>
      <c r="N3" s="3"/>
      <c r="O3" s="3"/>
      <c r="P3" s="3"/>
      <c r="Q3" s="4"/>
    </row>
    <row r="4" spans="2:17" s="1" customFormat="1" ht="15" hidden="1" x14ac:dyDescent="0.25">
      <c r="B4" s="20" t="s">
        <v>5</v>
      </c>
      <c r="C4" s="22" t="s">
        <v>61</v>
      </c>
      <c r="D4" s="23" t="s">
        <v>63</v>
      </c>
      <c r="E4" s="24" t="s">
        <v>0</v>
      </c>
      <c r="F4" s="22" t="s">
        <v>0</v>
      </c>
      <c r="G4" s="25"/>
      <c r="H4" s="22"/>
      <c r="I4" s="23" t="s">
        <v>4</v>
      </c>
      <c r="J4" s="105">
        <f>'Memo Severnaya'!J4</f>
        <v>63.853099999999998</v>
      </c>
      <c r="K4" s="26" t="s">
        <v>62</v>
      </c>
      <c r="L4" s="3"/>
      <c r="M4" s="3"/>
      <c r="N4" s="3"/>
      <c r="O4" s="3"/>
      <c r="P4" s="3"/>
      <c r="Q4" s="4"/>
    </row>
    <row r="5" spans="2:17" s="1" customFormat="1" ht="15" hidden="1" x14ac:dyDescent="0.25">
      <c r="B5" s="14"/>
      <c r="C5" s="22" t="s">
        <v>61</v>
      </c>
      <c r="D5" s="23" t="s">
        <v>63</v>
      </c>
      <c r="E5" s="24" t="s">
        <v>0</v>
      </c>
      <c r="F5" s="22"/>
      <c r="G5" s="25"/>
      <c r="H5" s="22"/>
      <c r="I5" s="23" t="s">
        <v>1</v>
      </c>
      <c r="J5" s="105">
        <f>'Memo Severnaya'!J5</f>
        <v>70.557699999999997</v>
      </c>
      <c r="K5" s="26" t="s">
        <v>62</v>
      </c>
      <c r="L5" s="3"/>
      <c r="M5" s="3"/>
      <c r="N5" s="3"/>
      <c r="O5" s="3"/>
      <c r="P5" s="3"/>
      <c r="Q5" s="4"/>
    </row>
    <row r="6" spans="2:17" s="1" customFormat="1" ht="15" hidden="1" x14ac:dyDescent="0.25">
      <c r="B6" s="14"/>
      <c r="C6" s="22" t="s">
        <v>44</v>
      </c>
      <c r="D6" s="23" t="s">
        <v>28</v>
      </c>
      <c r="E6" s="23" t="s">
        <v>0</v>
      </c>
      <c r="F6" s="105">
        <f>'Memo Severnaya'!F6</f>
        <v>62</v>
      </c>
      <c r="G6" s="24" t="s">
        <v>62</v>
      </c>
      <c r="H6" s="23" t="s">
        <v>29</v>
      </c>
      <c r="I6" s="23" t="s">
        <v>4</v>
      </c>
      <c r="J6" s="105">
        <f>'Memo Severnaya'!J6</f>
        <v>66</v>
      </c>
      <c r="K6" s="26" t="s">
        <v>62</v>
      </c>
      <c r="L6" s="3"/>
      <c r="M6" s="3"/>
      <c r="N6" s="3"/>
      <c r="O6" s="3"/>
      <c r="P6" s="3"/>
      <c r="Q6" s="4"/>
    </row>
    <row r="7" spans="2:17" s="1" customFormat="1" ht="15" hidden="1" x14ac:dyDescent="0.25">
      <c r="B7" s="14"/>
      <c r="C7" s="22" t="s">
        <v>45</v>
      </c>
      <c r="D7" s="23" t="s">
        <v>28</v>
      </c>
      <c r="E7" s="23" t="s">
        <v>0</v>
      </c>
      <c r="F7" s="105">
        <f>'Memo Severnaya'!F7</f>
        <v>69</v>
      </c>
      <c r="G7" s="24" t="s">
        <v>62</v>
      </c>
      <c r="H7" s="23" t="s">
        <v>29</v>
      </c>
      <c r="I7" s="23" t="s">
        <v>1</v>
      </c>
      <c r="J7" s="105">
        <f>'Memo Severnaya'!J7</f>
        <v>73</v>
      </c>
      <c r="K7" s="26" t="s">
        <v>62</v>
      </c>
      <c r="L7" s="3"/>
      <c r="M7" s="3"/>
      <c r="N7" s="3"/>
      <c r="O7" s="3"/>
      <c r="P7" s="3"/>
      <c r="Q7" s="4"/>
    </row>
    <row r="8" spans="2:17" s="1" customFormat="1" ht="15" hidden="1" x14ac:dyDescent="0.25">
      <c r="B8" s="14"/>
      <c r="C8" s="22" t="s">
        <v>11</v>
      </c>
      <c r="D8" s="23" t="s">
        <v>141</v>
      </c>
      <c r="E8" s="24" t="s">
        <v>0</v>
      </c>
      <c r="F8" s="105">
        <f>'Memo Severnaya'!F8</f>
        <v>1.1050003836931959</v>
      </c>
      <c r="G8" s="24" t="s">
        <v>4</v>
      </c>
      <c r="H8" s="23" t="s">
        <v>48</v>
      </c>
      <c r="I8" s="23" t="s">
        <v>142</v>
      </c>
      <c r="J8" s="105">
        <f>'Memo Severnaya'!J8</f>
        <v>1.3431818181818183</v>
      </c>
      <c r="K8" s="26" t="s">
        <v>4</v>
      </c>
      <c r="L8" s="3"/>
      <c r="M8" s="3"/>
      <c r="N8" s="3"/>
      <c r="O8" s="3"/>
      <c r="P8" s="3"/>
      <c r="Q8" s="4"/>
    </row>
    <row r="9" spans="2:17" s="1" customFormat="1" ht="8.1" hidden="1" customHeight="1" x14ac:dyDescent="0.25">
      <c r="B9" s="14"/>
      <c r="C9" s="22"/>
      <c r="D9" s="22"/>
      <c r="E9" s="22"/>
      <c r="F9" s="27" t="s">
        <v>0</v>
      </c>
      <c r="G9" s="25"/>
      <c r="H9" s="22"/>
      <c r="I9" s="22"/>
      <c r="J9" s="60"/>
      <c r="K9" s="26"/>
      <c r="L9" s="3"/>
      <c r="M9" s="3"/>
      <c r="N9" s="3"/>
      <c r="O9" s="3"/>
      <c r="P9" s="3"/>
      <c r="Q9" s="4"/>
    </row>
    <row r="10" spans="2:17" s="1" customFormat="1" ht="15" hidden="1" x14ac:dyDescent="0.25">
      <c r="B10" s="62"/>
      <c r="C10" s="63" t="s">
        <v>64</v>
      </c>
      <c r="D10" s="64"/>
      <c r="E10" s="64"/>
      <c r="F10" s="64" t="s">
        <v>0</v>
      </c>
      <c r="G10" s="65"/>
      <c r="H10" s="64"/>
      <c r="I10" s="64" t="s">
        <v>20</v>
      </c>
      <c r="J10" s="106">
        <f>'Memo Severnaya'!J10</f>
        <v>11.5</v>
      </c>
      <c r="K10" s="66" t="s">
        <v>3</v>
      </c>
      <c r="L10" s="3"/>
      <c r="M10" s="3"/>
      <c r="N10" s="3"/>
      <c r="O10" s="3"/>
      <c r="P10" s="3"/>
      <c r="Q10" s="4"/>
    </row>
    <row r="11" spans="2:17" s="1" customFormat="1" ht="15.75" hidden="1" thickBot="1" x14ac:dyDescent="0.3">
      <c r="B11" s="14"/>
      <c r="C11" s="22" t="s">
        <v>65</v>
      </c>
      <c r="D11" s="22"/>
      <c r="E11" s="22"/>
      <c r="F11" s="22" t="s">
        <v>0</v>
      </c>
      <c r="G11" s="25"/>
      <c r="H11" s="22"/>
      <c r="I11" s="22" t="s">
        <v>20</v>
      </c>
      <c r="J11" s="107">
        <f>'Memo Severnaya'!J11</f>
        <v>9.5</v>
      </c>
      <c r="K11" s="61" t="s">
        <v>3</v>
      </c>
      <c r="L11" s="3"/>
      <c r="M11" s="3"/>
      <c r="N11" s="3"/>
      <c r="O11" s="3"/>
      <c r="P11" s="3"/>
      <c r="Q11" s="4"/>
    </row>
    <row r="12" spans="2:17" s="1" customFormat="1" ht="15" hidden="1" customHeight="1" x14ac:dyDescent="0.25">
      <c r="B12" s="67" t="s">
        <v>6</v>
      </c>
      <c r="C12" s="69" t="s">
        <v>12</v>
      </c>
      <c r="D12" s="70">
        <v>0</v>
      </c>
      <c r="E12" s="71" t="s">
        <v>0</v>
      </c>
      <c r="F12" s="111">
        <f>'Cash in Bank'!D32+'Cash in Bank'!D24</f>
        <v>0</v>
      </c>
      <c r="G12" s="72" t="s">
        <v>4</v>
      </c>
      <c r="H12" s="69"/>
      <c r="I12" s="69"/>
      <c r="J12" s="115">
        <f>F12</f>
        <v>0</v>
      </c>
      <c r="K12" s="73" t="s">
        <v>4</v>
      </c>
      <c r="L12" s="3"/>
      <c r="M12" s="3"/>
      <c r="N12" s="3" t="s">
        <v>0</v>
      </c>
      <c r="O12" s="3"/>
      <c r="P12" s="3"/>
      <c r="Q12" s="4"/>
    </row>
    <row r="13" spans="2:17" s="1" customFormat="1" ht="15.75" hidden="1" x14ac:dyDescent="0.25">
      <c r="B13" s="68"/>
      <c r="C13" s="28" t="s">
        <v>43</v>
      </c>
      <c r="D13" s="29">
        <v>0</v>
      </c>
      <c r="E13" s="30"/>
      <c r="F13" s="112"/>
      <c r="G13" s="31" t="s">
        <v>4</v>
      </c>
      <c r="H13" s="28"/>
      <c r="I13" s="28"/>
      <c r="J13" s="32"/>
      <c r="K13" s="33"/>
      <c r="L13" s="3"/>
      <c r="M13" s="3"/>
      <c r="N13" s="3"/>
      <c r="O13" s="3"/>
      <c r="P13" s="3"/>
      <c r="Q13" s="4"/>
    </row>
    <row r="14" spans="2:17" s="1" customFormat="1" ht="15.75" hidden="1" x14ac:dyDescent="0.25">
      <c r="B14" s="14"/>
      <c r="C14" s="22" t="s">
        <v>13</v>
      </c>
      <c r="D14" s="34">
        <v>0</v>
      </c>
      <c r="E14" s="35"/>
      <c r="F14" s="38">
        <f>F12-F13</f>
        <v>0</v>
      </c>
      <c r="G14" s="23" t="s">
        <v>4</v>
      </c>
      <c r="H14" s="22"/>
      <c r="I14" s="22"/>
      <c r="J14" s="36" t="s">
        <v>0</v>
      </c>
      <c r="K14" s="26" t="s">
        <v>0</v>
      </c>
      <c r="L14" s="3"/>
      <c r="M14" s="3"/>
      <c r="N14" s="3"/>
      <c r="O14" s="3"/>
      <c r="P14" s="3"/>
      <c r="Q14" s="4"/>
    </row>
    <row r="15" spans="2:17" s="1" customFormat="1" ht="15" hidden="1" x14ac:dyDescent="0.25">
      <c r="B15" s="14"/>
      <c r="C15" s="22" t="s">
        <v>14</v>
      </c>
      <c r="D15" s="110">
        <v>0</v>
      </c>
      <c r="E15" s="35" t="s">
        <v>0</v>
      </c>
      <c r="F15" s="38" t="e">
        <f>'Cash in Bank'!D28</f>
        <v>#N/A</v>
      </c>
      <c r="G15" s="23" t="s">
        <v>1</v>
      </c>
      <c r="H15" s="22"/>
      <c r="I15" s="22"/>
      <c r="J15" s="39" t="e">
        <f>F15*F8</f>
        <v>#N/A</v>
      </c>
      <c r="K15" s="26" t="s">
        <v>4</v>
      </c>
      <c r="L15" s="3"/>
      <c r="M15" s="3"/>
      <c r="N15" s="3"/>
      <c r="O15" s="3"/>
      <c r="P15" s="3"/>
      <c r="Q15" s="4"/>
    </row>
    <row r="16" spans="2:17" s="1" customFormat="1" ht="15" hidden="1" x14ac:dyDescent="0.25">
      <c r="B16" s="14"/>
      <c r="C16" s="22" t="s">
        <v>15</v>
      </c>
      <c r="D16" s="110">
        <v>0</v>
      </c>
      <c r="E16" s="35" t="s">
        <v>0</v>
      </c>
      <c r="F16" s="38">
        <v>0</v>
      </c>
      <c r="G16" s="23" t="s">
        <v>2</v>
      </c>
      <c r="H16" s="22"/>
      <c r="I16" s="22"/>
      <c r="J16" s="39">
        <f>F16*J8</f>
        <v>0</v>
      </c>
      <c r="K16" s="26" t="s">
        <v>4</v>
      </c>
      <c r="L16" s="7" t="e">
        <f>SUM(J12:J16)</f>
        <v>#N/A</v>
      </c>
      <c r="M16" s="3"/>
      <c r="N16" s="10" t="s">
        <v>0</v>
      </c>
      <c r="O16" s="10"/>
      <c r="P16" s="3"/>
      <c r="Q16" s="4"/>
    </row>
    <row r="17" spans="2:17" s="1" customFormat="1" ht="15" hidden="1" x14ac:dyDescent="0.25">
      <c r="B17" s="14"/>
      <c r="C17" s="22" t="s">
        <v>53</v>
      </c>
      <c r="D17" s="110">
        <v>0</v>
      </c>
      <c r="E17" s="35"/>
      <c r="F17" s="38">
        <v>0</v>
      </c>
      <c r="G17" s="23" t="s">
        <v>62</v>
      </c>
      <c r="H17" s="22"/>
      <c r="I17" s="22"/>
      <c r="J17" s="39">
        <f>F17/J6</f>
        <v>0</v>
      </c>
      <c r="K17" s="26" t="s">
        <v>4</v>
      </c>
      <c r="L17" s="7"/>
      <c r="M17" s="3"/>
      <c r="N17" s="10"/>
      <c r="O17" s="10"/>
      <c r="P17" s="3"/>
      <c r="Q17" s="4"/>
    </row>
    <row r="18" spans="2:17" s="1" customFormat="1" ht="15" hidden="1" x14ac:dyDescent="0.25">
      <c r="B18" s="14"/>
      <c r="C18" s="22" t="s">
        <v>16</v>
      </c>
      <c r="D18" s="110">
        <v>0</v>
      </c>
      <c r="E18" s="35" t="s">
        <v>0</v>
      </c>
      <c r="F18" s="38">
        <v>0</v>
      </c>
      <c r="G18" s="23" t="s">
        <v>62</v>
      </c>
      <c r="H18" s="22"/>
      <c r="I18" s="22"/>
      <c r="J18" s="39">
        <f>F18/J6</f>
        <v>0</v>
      </c>
      <c r="K18" s="26" t="s">
        <v>4</v>
      </c>
      <c r="L18" s="3"/>
      <c r="M18" s="3"/>
      <c r="N18" s="3"/>
      <c r="O18" s="3"/>
      <c r="P18" s="3"/>
      <c r="Q18" s="4"/>
    </row>
    <row r="19" spans="2:17" s="1" customFormat="1" ht="15" hidden="1" x14ac:dyDescent="0.25">
      <c r="B19" s="14"/>
      <c r="C19" s="37" t="s">
        <v>27</v>
      </c>
      <c r="D19" s="110">
        <v>0</v>
      </c>
      <c r="E19" s="35" t="s">
        <v>0</v>
      </c>
      <c r="F19" s="181" t="e">
        <f>'Cash in Bank'!D23</f>
        <v>#N/A</v>
      </c>
      <c r="G19" s="23" t="s">
        <v>62</v>
      </c>
      <c r="H19" s="22"/>
      <c r="I19" s="22"/>
      <c r="J19" s="39" t="e">
        <f>F19/J6</f>
        <v>#N/A</v>
      </c>
      <c r="K19" s="26" t="s">
        <v>4</v>
      </c>
      <c r="L19" s="3"/>
      <c r="M19" s="3"/>
      <c r="N19" s="3"/>
      <c r="O19" s="3"/>
      <c r="P19" s="3"/>
      <c r="Q19" s="4"/>
    </row>
    <row r="20" spans="2:17" s="1" customFormat="1" ht="15.75" hidden="1" thickBot="1" x14ac:dyDescent="0.3">
      <c r="B20" s="74"/>
      <c r="C20" s="75" t="s">
        <v>17</v>
      </c>
      <c r="D20" s="114"/>
      <c r="E20" s="75" t="s">
        <v>0</v>
      </c>
      <c r="F20" s="75"/>
      <c r="G20" s="76"/>
      <c r="H20" s="75"/>
      <c r="I20" s="75"/>
      <c r="J20" s="116" t="e">
        <f>J12+J18+J15+J16+J19</f>
        <v>#N/A</v>
      </c>
      <c r="K20" s="77" t="s">
        <v>4</v>
      </c>
      <c r="L20" s="3"/>
      <c r="M20" s="3"/>
      <c r="N20" s="3" t="s">
        <v>0</v>
      </c>
      <c r="O20" s="3"/>
      <c r="P20" s="3"/>
      <c r="Q20" s="4"/>
    </row>
    <row r="21" spans="2:17" s="1" customFormat="1" ht="15" customHeight="1" x14ac:dyDescent="0.25">
      <c r="B21" s="20" t="s">
        <v>7</v>
      </c>
      <c r="C21" s="84" t="s">
        <v>66</v>
      </c>
      <c r="D21" s="108"/>
      <c r="E21" s="84" t="s">
        <v>0</v>
      </c>
      <c r="F21" s="113"/>
      <c r="G21" s="85"/>
      <c r="H21" s="84"/>
      <c r="I21" s="22"/>
      <c r="J21" s="39"/>
      <c r="K21" s="26"/>
      <c r="L21" s="3"/>
      <c r="M21" s="3"/>
      <c r="N21" s="3" t="s">
        <v>0</v>
      </c>
      <c r="O21" s="3"/>
      <c r="P21" s="3"/>
      <c r="Q21" s="4"/>
    </row>
    <row r="22" spans="2:17" s="1" customFormat="1" ht="15" customHeight="1" x14ac:dyDescent="0.25">
      <c r="B22" s="20"/>
      <c r="C22" s="293"/>
      <c r="D22" s="109"/>
      <c r="E22" s="152"/>
      <c r="F22" s="298"/>
      <c r="G22" s="279"/>
      <c r="H22" s="84"/>
      <c r="I22" s="22"/>
      <c r="J22" s="39"/>
      <c r="K22" s="26" t="s">
        <v>4</v>
      </c>
      <c r="L22" s="3"/>
      <c r="M22" s="3"/>
      <c r="N22" s="3"/>
      <c r="O22" s="3"/>
      <c r="P22" s="3"/>
      <c r="Q22" s="4"/>
    </row>
    <row r="23" spans="2:17" s="1" customFormat="1" ht="15" customHeight="1" x14ac:dyDescent="0.25">
      <c r="B23" s="20"/>
      <c r="C23" s="293"/>
      <c r="D23" s="109"/>
      <c r="E23" s="152"/>
      <c r="F23" s="298"/>
      <c r="G23" s="153"/>
      <c r="H23" s="84"/>
      <c r="I23" s="22"/>
      <c r="J23" s="39"/>
      <c r="K23" s="26" t="s">
        <v>4</v>
      </c>
      <c r="L23" s="3"/>
      <c r="M23" s="3"/>
      <c r="N23" s="3"/>
      <c r="O23" s="3"/>
      <c r="P23" s="3"/>
      <c r="Q23" s="4"/>
    </row>
    <row r="24" spans="2:17" s="1" customFormat="1" ht="15" customHeight="1" x14ac:dyDescent="0.25">
      <c r="B24" s="20"/>
      <c r="C24" s="293"/>
      <c r="D24" s="109"/>
      <c r="E24" s="152"/>
      <c r="F24" s="179"/>
      <c r="G24" s="153"/>
      <c r="H24" s="84"/>
      <c r="I24" s="22"/>
      <c r="J24" s="39"/>
      <c r="K24" s="26" t="s">
        <v>4</v>
      </c>
      <c r="L24" s="3"/>
      <c r="M24" s="3"/>
      <c r="N24" s="3"/>
      <c r="O24" s="3"/>
      <c r="P24" s="3"/>
      <c r="Q24" s="4"/>
    </row>
    <row r="25" spans="2:17" s="1" customFormat="1" ht="15" customHeight="1" x14ac:dyDescent="0.25">
      <c r="B25" s="20"/>
      <c r="C25" s="293" t="s">
        <v>169</v>
      </c>
      <c r="D25" s="109">
        <v>1.7000000000000001E-2</v>
      </c>
      <c r="E25" s="152"/>
      <c r="F25" s="179">
        <v>1000010000</v>
      </c>
      <c r="G25" s="153" t="s">
        <v>62</v>
      </c>
      <c r="H25" s="84"/>
      <c r="I25" s="22"/>
      <c r="J25" s="39"/>
      <c r="K25" s="26" t="s">
        <v>4</v>
      </c>
      <c r="L25" s="3"/>
      <c r="M25" s="3"/>
      <c r="N25" s="3"/>
      <c r="O25" s="3"/>
      <c r="P25" s="3"/>
      <c r="Q25" s="4"/>
    </row>
    <row r="26" spans="2:17" s="1" customFormat="1" ht="15" customHeight="1" x14ac:dyDescent="0.25">
      <c r="B26" s="20"/>
      <c r="C26" s="84" t="s">
        <v>84</v>
      </c>
      <c r="D26" s="109"/>
      <c r="E26" s="152"/>
      <c r="F26" s="179"/>
      <c r="G26" s="153" t="s">
        <v>0</v>
      </c>
      <c r="H26" s="84"/>
      <c r="I26" s="22"/>
      <c r="J26" s="164"/>
      <c r="K26" s="165">
        <f>IF(J29=0,0,J26/J29)</f>
        <v>0</v>
      </c>
      <c r="L26" s="3"/>
      <c r="M26" s="3"/>
      <c r="N26" s="3"/>
      <c r="O26" s="3"/>
      <c r="P26" s="3"/>
      <c r="Q26" s="4"/>
    </row>
    <row r="27" spans="2:17" s="1" customFormat="1" ht="15" customHeight="1" x14ac:dyDescent="0.25">
      <c r="B27" s="20"/>
      <c r="C27" s="152"/>
      <c r="D27" s="109"/>
      <c r="E27" s="152"/>
      <c r="F27" s="179"/>
      <c r="G27" s="23" t="s">
        <v>4</v>
      </c>
      <c r="H27" s="84"/>
      <c r="I27" s="22"/>
      <c r="J27" s="39"/>
      <c r="K27" s="26" t="s">
        <v>4</v>
      </c>
      <c r="L27" s="3"/>
      <c r="M27" s="3"/>
      <c r="N27" s="3"/>
      <c r="O27" s="3"/>
      <c r="P27" s="3"/>
      <c r="Q27" s="4"/>
    </row>
    <row r="28" spans="2:17" s="1" customFormat="1" ht="15.75" customHeight="1" x14ac:dyDescent="0.25">
      <c r="B28" s="14"/>
      <c r="C28" s="84" t="s">
        <v>60</v>
      </c>
      <c r="D28" s="109"/>
      <c r="E28" s="35"/>
      <c r="F28" s="38" t="s">
        <v>0</v>
      </c>
      <c r="G28" s="25"/>
      <c r="H28" s="22"/>
      <c r="I28" s="22"/>
      <c r="J28" s="166"/>
      <c r="K28" s="165">
        <f>IF(J29=0,0,J28/J29)</f>
        <v>0</v>
      </c>
      <c r="L28" s="3"/>
      <c r="M28" s="3"/>
      <c r="N28" s="3"/>
      <c r="O28" s="3"/>
      <c r="P28" s="3"/>
      <c r="Q28" s="4"/>
    </row>
    <row r="29" spans="2:17" s="1" customFormat="1" ht="18.75" x14ac:dyDescent="0.3">
      <c r="B29" s="50"/>
      <c r="C29" s="51" t="s">
        <v>18</v>
      </c>
      <c r="D29" s="167"/>
      <c r="E29" s="51"/>
      <c r="F29" s="51"/>
      <c r="G29" s="52" t="s">
        <v>0</v>
      </c>
      <c r="H29" s="51"/>
      <c r="I29" s="51"/>
      <c r="J29" s="117"/>
      <c r="K29" s="53" t="s">
        <v>4</v>
      </c>
      <c r="L29" s="3"/>
      <c r="M29" s="3"/>
      <c r="N29" s="3"/>
      <c r="O29" s="3"/>
      <c r="P29" s="3"/>
      <c r="Q29" s="4"/>
    </row>
    <row r="30" spans="2:17" s="1" customFormat="1" ht="17.25" x14ac:dyDescent="0.3">
      <c r="B30" s="54"/>
      <c r="C30" s="55" t="s">
        <v>19</v>
      </c>
      <c r="D30" s="56"/>
      <c r="E30" s="56"/>
      <c r="F30" s="57" t="s">
        <v>0</v>
      </c>
      <c r="G30" s="58"/>
      <c r="H30" s="57"/>
      <c r="I30" s="57"/>
      <c r="J30" s="118"/>
      <c r="K30" s="59" t="s">
        <v>4</v>
      </c>
      <c r="L30" s="3"/>
      <c r="M30" s="3"/>
      <c r="N30" s="3"/>
      <c r="O30" s="3"/>
      <c r="P30" s="3"/>
      <c r="Q30" s="4"/>
    </row>
    <row r="31" spans="2:17" s="1" customFormat="1" ht="14.1" hidden="1" customHeight="1" x14ac:dyDescent="0.25">
      <c r="B31" s="20" t="s">
        <v>8</v>
      </c>
      <c r="C31" s="99" t="s">
        <v>21</v>
      </c>
      <c r="D31" s="22"/>
      <c r="E31" s="22"/>
      <c r="F31" s="39"/>
      <c r="G31" s="40"/>
      <c r="H31" s="39"/>
      <c r="I31" s="39"/>
      <c r="J31" s="39"/>
      <c r="K31" s="26"/>
      <c r="L31" s="3"/>
      <c r="M31" s="3"/>
      <c r="N31" s="3"/>
      <c r="O31" s="3"/>
      <c r="P31" s="3"/>
      <c r="Q31" s="4"/>
    </row>
    <row r="32" spans="2:17" s="1" customFormat="1" ht="8.25" hidden="1" customHeight="1" x14ac:dyDescent="0.25">
      <c r="B32" s="20"/>
      <c r="C32" s="84"/>
      <c r="D32" s="22"/>
      <c r="E32" s="22"/>
      <c r="F32" s="39"/>
      <c r="G32" s="40"/>
      <c r="H32" s="39"/>
      <c r="I32" s="39"/>
      <c r="J32" s="39"/>
      <c r="K32" s="26"/>
      <c r="L32" s="3"/>
      <c r="M32" s="3"/>
      <c r="N32" s="3"/>
      <c r="O32" s="3"/>
      <c r="P32" s="3"/>
      <c r="Q32" s="4"/>
    </row>
    <row r="33" spans="2:17" s="1" customFormat="1" ht="14.1" hidden="1" customHeight="1" x14ac:dyDescent="0.25">
      <c r="B33" s="14"/>
      <c r="C33" s="22" t="s">
        <v>40</v>
      </c>
      <c r="D33" s="22" t="s">
        <v>4</v>
      </c>
      <c r="E33" s="22" t="s">
        <v>0</v>
      </c>
      <c r="F33" s="121">
        <v>0</v>
      </c>
      <c r="G33" s="23" t="s">
        <v>4</v>
      </c>
      <c r="H33" s="41"/>
      <c r="I33" s="42"/>
      <c r="J33" s="39"/>
      <c r="K33" s="26" t="s">
        <v>4</v>
      </c>
      <c r="L33" s="3"/>
      <c r="M33" s="3"/>
      <c r="N33" s="3"/>
      <c r="O33" s="3"/>
      <c r="P33" s="3"/>
      <c r="Q33" s="4"/>
    </row>
    <row r="34" spans="2:17" s="1" customFormat="1" ht="13.5" hidden="1" customHeight="1" x14ac:dyDescent="0.25">
      <c r="B34" s="14"/>
      <c r="C34" s="22" t="s">
        <v>41</v>
      </c>
      <c r="D34" s="474" t="s">
        <v>57</v>
      </c>
      <c r="E34" s="474"/>
      <c r="F34" s="39">
        <f>0</f>
        <v>0</v>
      </c>
      <c r="G34" s="23" t="s">
        <v>4</v>
      </c>
      <c r="H34" s="41"/>
      <c r="I34" s="42"/>
      <c r="J34" s="39"/>
      <c r="K34" s="26" t="s">
        <v>4</v>
      </c>
      <c r="L34" s="3"/>
      <c r="M34" s="3"/>
      <c r="N34" s="3"/>
      <c r="O34" s="3"/>
      <c r="P34" s="3"/>
      <c r="Q34" s="4"/>
    </row>
    <row r="35" spans="2:17" s="1" customFormat="1" ht="9.4" hidden="1" customHeight="1" x14ac:dyDescent="0.25">
      <c r="B35" s="14"/>
      <c r="C35" s="22"/>
      <c r="D35" s="178"/>
      <c r="E35" s="178"/>
      <c r="F35" s="39"/>
      <c r="G35" s="23"/>
      <c r="H35" s="41"/>
      <c r="I35" s="42"/>
      <c r="J35" s="39"/>
      <c r="K35" s="26"/>
      <c r="L35" s="3"/>
      <c r="M35" s="3"/>
      <c r="N35" s="3"/>
      <c r="O35" s="3"/>
      <c r="P35" s="3"/>
      <c r="Q35" s="4"/>
    </row>
    <row r="36" spans="2:17" s="1" customFormat="1" ht="14.1" hidden="1" customHeight="1" x14ac:dyDescent="0.25">
      <c r="B36" s="14"/>
      <c r="C36" s="22" t="s">
        <v>47</v>
      </c>
      <c r="D36" s="22" t="s">
        <v>4</v>
      </c>
      <c r="E36" s="22" t="s">
        <v>0</v>
      </c>
      <c r="F36" s="121">
        <v>0</v>
      </c>
      <c r="G36" s="23" t="s">
        <v>4</v>
      </c>
      <c r="H36" s="41"/>
      <c r="I36" s="42"/>
      <c r="J36" s="39"/>
      <c r="K36" s="26" t="s">
        <v>4</v>
      </c>
      <c r="L36" s="3"/>
      <c r="M36" s="3"/>
      <c r="N36" s="3"/>
      <c r="O36" s="3"/>
      <c r="P36" s="3"/>
      <c r="Q36" s="4"/>
    </row>
    <row r="37" spans="2:17" s="1" customFormat="1" ht="14.1" hidden="1" customHeight="1" x14ac:dyDescent="0.25">
      <c r="B37" s="14"/>
      <c r="C37" s="22" t="s">
        <v>42</v>
      </c>
      <c r="D37" s="474" t="s">
        <v>57</v>
      </c>
      <c r="E37" s="474"/>
      <c r="F37" s="121">
        <f>(0)-(0)</f>
        <v>0</v>
      </c>
      <c r="G37" s="23" t="s">
        <v>4</v>
      </c>
      <c r="H37" s="41"/>
      <c r="I37" s="42"/>
      <c r="J37" s="39"/>
      <c r="K37" s="26" t="s">
        <v>4</v>
      </c>
      <c r="L37" s="3"/>
      <c r="M37" s="3"/>
      <c r="N37" s="3"/>
      <c r="O37" s="3"/>
      <c r="P37" s="3"/>
      <c r="Q37" s="4"/>
    </row>
    <row r="38" spans="2:17" s="1" customFormat="1" ht="9.4" hidden="1" customHeight="1" x14ac:dyDescent="0.25">
      <c r="B38" s="14"/>
      <c r="C38" s="22"/>
      <c r="D38" s="178"/>
      <c r="E38" s="178"/>
      <c r="F38" s="121"/>
      <c r="G38" s="23"/>
      <c r="H38" s="41"/>
      <c r="I38" s="42"/>
      <c r="J38" s="39"/>
      <c r="K38" s="26"/>
      <c r="L38" s="3"/>
      <c r="M38" s="3"/>
      <c r="N38" s="3"/>
      <c r="O38" s="3"/>
      <c r="P38" s="3"/>
      <c r="Q38" s="4"/>
    </row>
    <row r="39" spans="2:17" s="1" customFormat="1" ht="14.1" hidden="1" customHeight="1" x14ac:dyDescent="0.25">
      <c r="B39" s="14"/>
      <c r="C39" s="22" t="s">
        <v>22</v>
      </c>
      <c r="D39" s="24" t="s">
        <v>1</v>
      </c>
      <c r="E39" s="22"/>
      <c r="F39" s="39">
        <v>0</v>
      </c>
      <c r="G39" s="23" t="s">
        <v>1</v>
      </c>
      <c r="H39" s="41"/>
      <c r="I39" s="42"/>
      <c r="J39" s="39"/>
      <c r="K39" s="26" t="s">
        <v>4</v>
      </c>
      <c r="L39" s="3"/>
      <c r="M39" s="3"/>
      <c r="N39" s="3"/>
      <c r="O39" s="3"/>
      <c r="P39" s="3"/>
      <c r="Q39" s="4"/>
    </row>
    <row r="40" spans="2:17" s="1" customFormat="1" ht="14.1" hidden="1" customHeight="1" x14ac:dyDescent="0.25">
      <c r="B40" s="14"/>
      <c r="C40" s="22" t="s">
        <v>23</v>
      </c>
      <c r="D40" s="474" t="s">
        <v>58</v>
      </c>
      <c r="E40" s="474"/>
      <c r="F40" s="39">
        <v>0</v>
      </c>
      <c r="G40" s="23" t="s">
        <v>1</v>
      </c>
      <c r="H40" s="41"/>
      <c r="I40" s="42"/>
      <c r="J40" s="39"/>
      <c r="K40" s="26" t="s">
        <v>4</v>
      </c>
      <c r="L40" s="3"/>
      <c r="M40" s="3"/>
      <c r="N40" s="3"/>
      <c r="O40" s="3"/>
      <c r="P40" s="3"/>
      <c r="Q40" s="4"/>
    </row>
    <row r="41" spans="2:17" s="1" customFormat="1" ht="9.4" hidden="1" customHeight="1" x14ac:dyDescent="0.25">
      <c r="B41" s="14"/>
      <c r="C41" s="22"/>
      <c r="D41" s="178"/>
      <c r="E41" s="178"/>
      <c r="F41" s="39"/>
      <c r="G41" s="23"/>
      <c r="H41" s="41"/>
      <c r="I41" s="42"/>
      <c r="J41" s="39"/>
      <c r="K41" s="26"/>
      <c r="L41" s="3"/>
      <c r="M41" s="3"/>
      <c r="N41" s="3"/>
      <c r="O41" s="3"/>
      <c r="P41" s="3"/>
      <c r="Q41" s="4"/>
    </row>
    <row r="42" spans="2:17" s="1" customFormat="1" ht="14.1" hidden="1" customHeight="1" x14ac:dyDescent="0.25">
      <c r="B42" s="14"/>
      <c r="C42" s="22" t="s">
        <v>22</v>
      </c>
      <c r="D42" s="22" t="s">
        <v>2</v>
      </c>
      <c r="E42" s="22"/>
      <c r="F42" s="39">
        <f>0</f>
        <v>0</v>
      </c>
      <c r="G42" s="23" t="s">
        <v>2</v>
      </c>
      <c r="H42" s="41"/>
      <c r="I42" s="42"/>
      <c r="J42" s="39"/>
      <c r="K42" s="26" t="s">
        <v>4</v>
      </c>
      <c r="L42" s="3"/>
      <c r="M42" s="3"/>
      <c r="N42" s="3"/>
      <c r="O42" s="3"/>
      <c r="P42" s="3"/>
      <c r="Q42" s="4"/>
    </row>
    <row r="43" spans="2:17" s="1" customFormat="1" ht="14.1" hidden="1" customHeight="1" x14ac:dyDescent="0.25">
      <c r="B43" s="14"/>
      <c r="C43" s="22" t="s">
        <v>23</v>
      </c>
      <c r="D43" s="474" t="s">
        <v>59</v>
      </c>
      <c r="E43" s="474"/>
      <c r="F43" s="121">
        <v>0</v>
      </c>
      <c r="G43" s="23" t="s">
        <v>2</v>
      </c>
      <c r="H43" s="41"/>
      <c r="I43" s="42"/>
      <c r="J43" s="39"/>
      <c r="K43" s="26" t="s">
        <v>4</v>
      </c>
      <c r="L43" s="3"/>
      <c r="M43" s="3"/>
      <c r="N43" s="3"/>
      <c r="O43" s="3"/>
      <c r="P43" s="3"/>
      <c r="Q43" s="4"/>
    </row>
    <row r="44" spans="2:17" s="1" customFormat="1" ht="4.5" hidden="1" customHeight="1" x14ac:dyDescent="0.25">
      <c r="B44" s="14"/>
      <c r="C44" s="22"/>
      <c r="D44" s="178"/>
      <c r="E44" s="178"/>
      <c r="F44" s="121"/>
      <c r="G44" s="23"/>
      <c r="H44" s="41"/>
      <c r="I44" s="42"/>
      <c r="J44" s="39"/>
      <c r="K44" s="26"/>
      <c r="L44" s="3"/>
      <c r="M44" s="3"/>
      <c r="N44" s="3"/>
      <c r="O44" s="3"/>
      <c r="P44" s="3"/>
      <c r="Q44" s="4"/>
    </row>
    <row r="45" spans="2:17" s="1" customFormat="1" ht="14.1" hidden="1" customHeight="1" x14ac:dyDescent="0.25">
      <c r="B45" s="14"/>
      <c r="C45" s="22" t="s">
        <v>39</v>
      </c>
      <c r="D45" s="22"/>
      <c r="E45" s="22"/>
      <c r="F45" s="39"/>
      <c r="G45" s="23"/>
      <c r="H45" s="41"/>
      <c r="I45" s="42"/>
      <c r="J45" s="39"/>
      <c r="K45" s="26"/>
      <c r="L45" s="3"/>
      <c r="M45" s="3"/>
      <c r="N45" s="3"/>
      <c r="O45" s="3"/>
      <c r="P45" s="3"/>
      <c r="Q45" s="4"/>
    </row>
    <row r="46" spans="2:17" s="1" customFormat="1" ht="14.1" hidden="1" customHeight="1" x14ac:dyDescent="0.25">
      <c r="B46" s="14"/>
      <c r="C46" s="22" t="s">
        <v>22</v>
      </c>
      <c r="D46" s="22" t="s">
        <v>4</v>
      </c>
      <c r="E46" s="22"/>
      <c r="F46" s="121">
        <v>0</v>
      </c>
      <c r="G46" s="23" t="s">
        <v>4</v>
      </c>
      <c r="H46" s="41"/>
      <c r="I46" s="42"/>
      <c r="J46" s="39"/>
      <c r="K46" s="26" t="s">
        <v>4</v>
      </c>
      <c r="L46" s="3"/>
      <c r="M46" s="3"/>
      <c r="N46" s="3"/>
      <c r="O46" s="3"/>
      <c r="P46" s="3"/>
      <c r="Q46" s="4"/>
    </row>
    <row r="47" spans="2:17" s="1" customFormat="1" ht="14.1" hidden="1" customHeight="1" x14ac:dyDescent="0.25">
      <c r="B47" s="14"/>
      <c r="C47" s="22" t="s">
        <v>24</v>
      </c>
      <c r="D47" s="22" t="s">
        <v>4</v>
      </c>
      <c r="E47" s="22"/>
      <c r="F47" s="39">
        <f>0</f>
        <v>0</v>
      </c>
      <c r="G47" s="23" t="s">
        <v>4</v>
      </c>
      <c r="H47" s="41"/>
      <c r="I47" s="42"/>
      <c r="J47" s="39"/>
      <c r="K47" s="26" t="s">
        <v>4</v>
      </c>
      <c r="L47" s="3"/>
      <c r="M47" s="3"/>
      <c r="N47" s="3"/>
      <c r="O47" s="3"/>
      <c r="P47" s="3"/>
      <c r="Q47" s="4"/>
    </row>
    <row r="48" spans="2:17" s="1" customFormat="1" ht="9.4" hidden="1" customHeight="1" x14ac:dyDescent="0.25">
      <c r="B48" s="14"/>
      <c r="C48" s="22"/>
      <c r="D48" s="22"/>
      <c r="E48" s="22"/>
      <c r="F48" s="39"/>
      <c r="G48" s="23"/>
      <c r="H48" s="41"/>
      <c r="I48" s="42"/>
      <c r="J48" s="39"/>
      <c r="K48" s="26"/>
      <c r="L48" s="3"/>
      <c r="M48" s="3"/>
      <c r="N48" s="3"/>
      <c r="O48" s="3"/>
      <c r="P48" s="3"/>
      <c r="Q48" s="4"/>
    </row>
    <row r="49" spans="2:17" s="1" customFormat="1" ht="14.1" hidden="1" customHeight="1" x14ac:dyDescent="0.25">
      <c r="B49" s="14"/>
      <c r="C49" s="22" t="s">
        <v>22</v>
      </c>
      <c r="D49" s="24" t="s">
        <v>1</v>
      </c>
      <c r="E49" s="22"/>
      <c r="F49" s="39">
        <v>0</v>
      </c>
      <c r="G49" s="23" t="s">
        <v>1</v>
      </c>
      <c r="H49" s="41"/>
      <c r="I49" s="42"/>
      <c r="J49" s="39"/>
      <c r="K49" s="26" t="s">
        <v>4</v>
      </c>
      <c r="L49" s="3"/>
      <c r="M49" s="3"/>
      <c r="N49" s="3"/>
      <c r="O49" s="3"/>
      <c r="P49" s="3"/>
      <c r="Q49" s="4"/>
    </row>
    <row r="50" spans="2:17" s="1" customFormat="1" ht="14.1" hidden="1" customHeight="1" x14ac:dyDescent="0.25">
      <c r="B50" s="14"/>
      <c r="C50" s="22" t="s">
        <v>23</v>
      </c>
      <c r="D50" s="24" t="s">
        <v>1</v>
      </c>
      <c r="E50" s="22"/>
      <c r="F50" s="39">
        <v>0</v>
      </c>
      <c r="G50" s="23" t="s">
        <v>1</v>
      </c>
      <c r="H50" s="41"/>
      <c r="I50" s="42"/>
      <c r="J50" s="39"/>
      <c r="K50" s="26" t="s">
        <v>4</v>
      </c>
      <c r="L50" s="3"/>
      <c r="M50" s="3"/>
      <c r="N50" s="3"/>
      <c r="O50" s="3"/>
      <c r="P50" s="3"/>
      <c r="Q50" s="4"/>
    </row>
    <row r="51" spans="2:17" s="1" customFormat="1" ht="9.4" hidden="1" customHeight="1" x14ac:dyDescent="0.25">
      <c r="B51" s="14"/>
      <c r="C51" s="22"/>
      <c r="D51" s="22"/>
      <c r="E51" s="22"/>
      <c r="F51" s="39"/>
      <c r="G51" s="23"/>
      <c r="H51" s="41"/>
      <c r="I51" s="42"/>
      <c r="J51" s="39"/>
      <c r="K51" s="26"/>
      <c r="L51" s="3"/>
      <c r="M51" s="3"/>
      <c r="N51" s="3"/>
      <c r="O51" s="3"/>
      <c r="P51" s="3"/>
      <c r="Q51" s="4"/>
    </row>
    <row r="52" spans="2:17" s="1" customFormat="1" ht="14.1" hidden="1" customHeight="1" x14ac:dyDescent="0.25">
      <c r="B52" s="14"/>
      <c r="C52" s="22" t="s">
        <v>22</v>
      </c>
      <c r="D52" s="22" t="s">
        <v>2</v>
      </c>
      <c r="E52" s="22"/>
      <c r="F52" s="39">
        <v>0</v>
      </c>
      <c r="G52" s="23" t="s">
        <v>2</v>
      </c>
      <c r="H52" s="41"/>
      <c r="I52" s="42"/>
      <c r="J52" s="39"/>
      <c r="K52" s="26" t="s">
        <v>4</v>
      </c>
      <c r="L52" s="3"/>
      <c r="M52" s="3"/>
      <c r="N52" s="3"/>
      <c r="O52" s="3"/>
      <c r="P52" s="3"/>
      <c r="Q52" s="4"/>
    </row>
    <row r="53" spans="2:17" s="1" customFormat="1" ht="14.1" hidden="1" customHeight="1" x14ac:dyDescent="0.25">
      <c r="B53" s="14"/>
      <c r="C53" s="22" t="s">
        <v>24</v>
      </c>
      <c r="D53" s="22" t="s">
        <v>2</v>
      </c>
      <c r="E53" s="22"/>
      <c r="F53" s="39">
        <f>0</f>
        <v>0</v>
      </c>
      <c r="G53" s="23" t="s">
        <v>2</v>
      </c>
      <c r="H53" s="41"/>
      <c r="I53" s="42"/>
      <c r="J53" s="39"/>
      <c r="K53" s="26" t="s">
        <v>4</v>
      </c>
      <c r="L53" s="3"/>
      <c r="M53" s="3"/>
      <c r="N53" s="3"/>
      <c r="O53" s="3"/>
      <c r="P53" s="3"/>
      <c r="Q53" s="4"/>
    </row>
    <row r="54" spans="2:17" s="1" customFormat="1" ht="9.4" hidden="1" customHeight="1" x14ac:dyDescent="0.25">
      <c r="B54" s="14"/>
      <c r="C54" s="22"/>
      <c r="D54" s="22"/>
      <c r="E54" s="22"/>
      <c r="F54" s="39"/>
      <c r="G54" s="23"/>
      <c r="H54" s="41"/>
      <c r="I54" s="42"/>
      <c r="J54" s="39"/>
      <c r="K54" s="26"/>
      <c r="L54" s="3"/>
      <c r="M54" s="3"/>
      <c r="N54" s="3"/>
      <c r="O54" s="3"/>
      <c r="P54" s="3"/>
      <c r="Q54" s="4"/>
    </row>
    <row r="55" spans="2:17" s="1" customFormat="1" ht="15.75" hidden="1" thickBot="1" x14ac:dyDescent="0.3">
      <c r="B55" s="78"/>
      <c r="C55" s="79" t="s">
        <v>49</v>
      </c>
      <c r="D55" s="80"/>
      <c r="E55" s="80"/>
      <c r="F55" s="80"/>
      <c r="G55" s="81"/>
      <c r="H55" s="80"/>
      <c r="I55" s="80"/>
      <c r="J55" s="119"/>
      <c r="K55" s="82" t="s">
        <v>4</v>
      </c>
      <c r="L55" s="3"/>
      <c r="M55" s="3"/>
      <c r="N55" s="3"/>
      <c r="O55" s="3"/>
      <c r="P55" s="3"/>
      <c r="Q55" s="4"/>
    </row>
    <row r="56" spans="2:17" ht="15.75" x14ac:dyDescent="0.25">
      <c r="B56" s="20" t="s">
        <v>9</v>
      </c>
      <c r="C56" s="84" t="s">
        <v>113</v>
      </c>
      <c r="D56" s="22"/>
      <c r="E56" s="22"/>
      <c r="F56" s="22"/>
      <c r="G56" s="25"/>
      <c r="H56" s="22"/>
      <c r="I56" s="22"/>
      <c r="J56" s="22"/>
      <c r="K56" s="43"/>
      <c r="L56" s="3"/>
      <c r="M56" s="3"/>
      <c r="N56" s="3"/>
      <c r="O56" s="3"/>
      <c r="P56" s="3"/>
      <c r="Q56" s="4"/>
    </row>
    <row r="57" spans="2:17" ht="15.75" x14ac:dyDescent="0.25">
      <c r="B57" s="20"/>
      <c r="C57" s="293"/>
      <c r="D57" s="22"/>
      <c r="E57" s="177"/>
      <c r="F57" s="297"/>
      <c r="G57" s="280"/>
      <c r="H57" s="22"/>
      <c r="I57" s="34"/>
      <c r="J57" s="39"/>
      <c r="K57" s="26" t="s">
        <v>4</v>
      </c>
      <c r="L57" s="10"/>
      <c r="M57" s="3"/>
      <c r="N57" s="163"/>
      <c r="O57" s="3"/>
      <c r="P57" s="3"/>
      <c r="Q57" s="4"/>
    </row>
    <row r="58" spans="2:17" ht="15.75" x14ac:dyDescent="0.25">
      <c r="B58" s="20"/>
      <c r="C58" s="293"/>
      <c r="D58" s="22"/>
      <c r="E58" s="177"/>
      <c r="F58" s="297"/>
      <c r="G58" s="23"/>
      <c r="H58" s="22"/>
      <c r="I58" s="34"/>
      <c r="J58" s="39"/>
      <c r="K58" s="26" t="s">
        <v>4</v>
      </c>
      <c r="L58" s="10"/>
      <c r="M58" s="3"/>
      <c r="N58" s="163"/>
      <c r="O58" s="3"/>
      <c r="P58" s="3"/>
      <c r="Q58" s="4"/>
    </row>
    <row r="59" spans="2:17" ht="15.75" x14ac:dyDescent="0.25">
      <c r="B59" s="20"/>
      <c r="C59" s="293"/>
      <c r="D59" s="22"/>
      <c r="E59" s="177"/>
      <c r="F59" s="161"/>
      <c r="G59" s="23"/>
      <c r="H59" s="22"/>
      <c r="I59" s="34"/>
      <c r="J59" s="39"/>
      <c r="K59" s="26" t="s">
        <v>4</v>
      </c>
      <c r="L59" s="10"/>
      <c r="M59" s="3"/>
      <c r="N59" s="163"/>
      <c r="O59" s="3"/>
      <c r="P59" s="3"/>
      <c r="Q59" s="4"/>
    </row>
    <row r="60" spans="2:17" ht="15.75" x14ac:dyDescent="0.25">
      <c r="B60" s="20"/>
      <c r="C60" s="293" t="s">
        <v>169</v>
      </c>
      <c r="D60" s="22"/>
      <c r="E60" s="177">
        <v>44816</v>
      </c>
      <c r="F60" s="161">
        <f>F25</f>
        <v>1000010000</v>
      </c>
      <c r="G60" s="23" t="s">
        <v>62</v>
      </c>
      <c r="H60" s="22"/>
      <c r="I60" s="34"/>
      <c r="J60" s="39"/>
      <c r="K60" s="26" t="s">
        <v>4</v>
      </c>
      <c r="L60" s="10"/>
      <c r="M60" s="3"/>
      <c r="N60" s="163"/>
      <c r="O60" s="3"/>
      <c r="P60" s="3"/>
      <c r="Q60" s="4"/>
    </row>
    <row r="61" spans="2:17" ht="15.75" x14ac:dyDescent="0.25">
      <c r="B61" s="20"/>
      <c r="C61" s="22"/>
      <c r="D61" s="22"/>
      <c r="E61" s="177"/>
      <c r="F61" s="161"/>
      <c r="G61" s="23"/>
      <c r="H61" s="22"/>
      <c r="I61" s="34"/>
      <c r="J61" s="39"/>
      <c r="K61" s="26" t="s">
        <v>4</v>
      </c>
      <c r="L61" s="10"/>
      <c r="M61" s="3"/>
      <c r="N61" s="163"/>
      <c r="O61" s="3"/>
      <c r="P61" s="3"/>
      <c r="Q61" s="4"/>
    </row>
    <row r="62" spans="2:17" ht="15.75" x14ac:dyDescent="0.25">
      <c r="B62" s="20"/>
      <c r="C62" s="22"/>
      <c r="D62" s="22"/>
      <c r="E62" s="177"/>
      <c r="F62" s="161"/>
      <c r="G62" s="23"/>
      <c r="H62" s="22"/>
      <c r="I62" s="34"/>
      <c r="J62" s="161"/>
      <c r="K62" s="26" t="s">
        <v>4</v>
      </c>
      <c r="L62" s="10"/>
      <c r="M62" s="3"/>
      <c r="N62" s="163"/>
      <c r="O62" s="3"/>
      <c r="P62" s="3"/>
      <c r="Q62" s="4"/>
    </row>
    <row r="63" spans="2:17" ht="15.75" x14ac:dyDescent="0.25">
      <c r="B63" s="154"/>
      <c r="C63" s="64"/>
      <c r="D63" s="64"/>
      <c r="E63" s="64"/>
      <c r="F63" s="155"/>
      <c r="G63" s="281"/>
      <c r="H63" s="155"/>
      <c r="I63" s="157"/>
      <c r="J63" s="155"/>
      <c r="K63" s="158"/>
      <c r="L63" s="3"/>
      <c r="M63" s="3"/>
      <c r="N63" s="3"/>
      <c r="O63" s="3"/>
      <c r="P63" s="3"/>
      <c r="Q63" s="4"/>
    </row>
    <row r="64" spans="2:17" ht="16.5" thickBot="1" x14ac:dyDescent="0.3">
      <c r="B64" s="14"/>
      <c r="C64" s="44" t="s">
        <v>46</v>
      </c>
      <c r="D64" s="45"/>
      <c r="E64" s="45"/>
      <c r="F64" s="45"/>
      <c r="G64" s="282" t="s">
        <v>0</v>
      </c>
      <c r="H64" s="45"/>
      <c r="I64" s="45" t="s">
        <v>0</v>
      </c>
      <c r="J64" s="120"/>
      <c r="K64" s="47" t="s">
        <v>4</v>
      </c>
      <c r="L64" s="3"/>
      <c r="M64" s="3"/>
      <c r="N64" s="3"/>
      <c r="O64" s="3"/>
      <c r="P64" s="3"/>
      <c r="Q64" s="4"/>
    </row>
    <row r="65" spans="2:17" ht="15" x14ac:dyDescent="0.25">
      <c r="B65" s="86"/>
      <c r="C65" s="86"/>
      <c r="D65" s="86"/>
      <c r="E65" s="86"/>
      <c r="F65" s="86"/>
      <c r="G65" s="283"/>
      <c r="H65" s="86"/>
      <c r="I65" s="86"/>
      <c r="J65" s="86"/>
      <c r="K65" s="86"/>
      <c r="L65" s="3"/>
      <c r="M65" s="3"/>
      <c r="N65" s="3"/>
      <c r="O65" s="3"/>
      <c r="P65" s="3"/>
      <c r="Q65" s="4"/>
    </row>
    <row r="66" spans="2:17" ht="15" hidden="1" x14ac:dyDescent="0.25">
      <c r="B66" s="88" t="s">
        <v>30</v>
      </c>
      <c r="C66" s="89" t="s">
        <v>26</v>
      </c>
      <c r="D66" s="122" t="s">
        <v>0</v>
      </c>
      <c r="E66" s="91" t="s">
        <v>0</v>
      </c>
      <c r="F66" s="168">
        <v>0</v>
      </c>
      <c r="G66" s="90" t="s">
        <v>62</v>
      </c>
      <c r="H66" s="91"/>
      <c r="I66" s="91" t="s">
        <v>0</v>
      </c>
      <c r="J66" s="124">
        <f>F66/J6</f>
        <v>0</v>
      </c>
      <c r="K66" s="92" t="s">
        <v>4</v>
      </c>
      <c r="L66" s="3"/>
      <c r="M66" s="3"/>
      <c r="N66" s="3"/>
      <c r="O66" s="3"/>
      <c r="P66" s="3"/>
      <c r="Q66" s="4"/>
    </row>
    <row r="67" spans="2:17" ht="14.25" hidden="1" customHeight="1" x14ac:dyDescent="0.25">
      <c r="B67" s="93"/>
      <c r="C67" s="94" t="s">
        <v>25</v>
      </c>
      <c r="D67" s="123">
        <v>0</v>
      </c>
      <c r="E67" s="96" t="s">
        <v>0</v>
      </c>
      <c r="F67" s="169">
        <v>0</v>
      </c>
      <c r="G67" s="95" t="s">
        <v>62</v>
      </c>
      <c r="H67" s="96"/>
      <c r="I67" s="96" t="s">
        <v>0</v>
      </c>
      <c r="J67" s="125">
        <f>F67/J6</f>
        <v>0</v>
      </c>
      <c r="K67" s="97" t="s">
        <v>4</v>
      </c>
      <c r="L67" s="3"/>
      <c r="M67" s="3"/>
      <c r="N67" s="3"/>
      <c r="O67" s="3"/>
      <c r="P67" s="3"/>
      <c r="Q67" s="4"/>
    </row>
    <row r="68" spans="2:17" ht="15.75" hidden="1" thickBot="1" x14ac:dyDescent="0.3">
      <c r="L68" s="3"/>
      <c r="M68" s="3"/>
      <c r="N68" s="3"/>
      <c r="O68" s="3"/>
      <c r="P68" s="3"/>
      <c r="Q68" s="4"/>
    </row>
    <row r="69" spans="2:17" ht="15.75" hidden="1" x14ac:dyDescent="0.25">
      <c r="B69" s="144" t="s">
        <v>31</v>
      </c>
      <c r="C69" s="98" t="s">
        <v>70</v>
      </c>
      <c r="D69" s="126"/>
      <c r="E69" s="126"/>
      <c r="F69" s="127"/>
      <c r="G69" s="126"/>
      <c r="H69" s="171" t="s">
        <v>52</v>
      </c>
      <c r="I69" s="128"/>
      <c r="J69" s="162"/>
      <c r="K69" s="160"/>
      <c r="L69" s="3"/>
      <c r="M69" s="3"/>
      <c r="N69" s="3"/>
      <c r="O69" s="3"/>
      <c r="P69" s="3"/>
      <c r="Q69" s="4"/>
    </row>
    <row r="70" spans="2:17" ht="15" hidden="1" x14ac:dyDescent="0.25">
      <c r="B70" s="145"/>
      <c r="C70" s="83" t="s">
        <v>56</v>
      </c>
      <c r="D70" s="104" t="s">
        <v>36</v>
      </c>
      <c r="E70" s="104" t="s">
        <v>37</v>
      </c>
      <c r="F70" s="135" t="s">
        <v>32</v>
      </c>
      <c r="G70" s="104" t="s">
        <v>33</v>
      </c>
      <c r="H70" s="172">
        <f>'Memo Severnaya'!H93</f>
        <v>2013</v>
      </c>
      <c r="I70" s="104">
        <f>'Memo Severnaya'!I93</f>
        <v>2014</v>
      </c>
      <c r="J70" s="142">
        <f>'Memo Severnaya'!J93</f>
        <v>2015</v>
      </c>
      <c r="K70" s="142" t="str">
        <f>'Memo Severnaya'!K93</f>
        <v>July 2016</v>
      </c>
      <c r="L70" s="3"/>
      <c r="M70" s="3"/>
      <c r="N70" s="3"/>
      <c r="O70" s="3"/>
      <c r="P70" s="3"/>
      <c r="Q70" s="4"/>
    </row>
    <row r="71" spans="2:17" ht="6.95" hidden="1" customHeight="1" x14ac:dyDescent="0.25">
      <c r="B71" s="145"/>
      <c r="C71" s="22"/>
      <c r="D71" s="104"/>
      <c r="E71" s="104"/>
      <c r="F71" s="135"/>
      <c r="G71" s="104"/>
      <c r="H71" s="172"/>
      <c r="I71" s="104"/>
      <c r="J71" s="142"/>
      <c r="K71" s="142"/>
      <c r="L71" s="3"/>
      <c r="M71" s="3"/>
      <c r="N71" s="3"/>
      <c r="O71" s="3"/>
      <c r="P71" s="3"/>
      <c r="Q71" s="4"/>
    </row>
    <row r="72" spans="2:17" ht="15.75" hidden="1" customHeight="1" x14ac:dyDescent="0.25">
      <c r="B72" s="145"/>
      <c r="C72" s="170" t="s">
        <v>69</v>
      </c>
      <c r="D72" s="101">
        <v>0.11550000000000001</v>
      </c>
      <c r="E72" s="101">
        <v>0.1164</v>
      </c>
      <c r="F72" s="102">
        <v>0.11939999999999999</v>
      </c>
      <c r="G72" s="101" t="s">
        <v>71</v>
      </c>
      <c r="H72" s="172"/>
      <c r="I72" s="104"/>
      <c r="J72" s="142"/>
      <c r="K72" s="142"/>
      <c r="L72" s="3"/>
      <c r="M72" s="3"/>
      <c r="N72" s="3"/>
      <c r="O72" s="3"/>
      <c r="P72" s="3"/>
      <c r="Q72" s="4"/>
    </row>
    <row r="73" spans="2:17" ht="15" hidden="1" x14ac:dyDescent="0.25">
      <c r="B73" s="145"/>
      <c r="C73" s="22" t="s">
        <v>4</v>
      </c>
      <c r="D73" s="101" t="s">
        <v>117</v>
      </c>
      <c r="E73" s="101" t="s">
        <v>118</v>
      </c>
      <c r="F73" s="102" t="s">
        <v>119</v>
      </c>
      <c r="G73" s="101" t="s">
        <v>120</v>
      </c>
      <c r="H73" s="173">
        <f>'Memo Severnaya'!H96</f>
        <v>32.729199999999999</v>
      </c>
      <c r="I73" s="132">
        <f>'Memo Severnaya'!I96</f>
        <v>56.258400000000002</v>
      </c>
      <c r="J73" s="143">
        <f>'Memo Severnaya'!J96</f>
        <v>72.8827</v>
      </c>
      <c r="K73" s="143">
        <f>'Memo Severnaya'!K96</f>
        <v>63.853099999999998</v>
      </c>
      <c r="L73" s="3"/>
      <c r="M73" s="3"/>
      <c r="N73" s="3"/>
      <c r="O73" s="3"/>
      <c r="P73" s="3"/>
      <c r="Q73" s="4"/>
    </row>
    <row r="74" spans="2:17" ht="15" hidden="1" x14ac:dyDescent="0.25">
      <c r="B74" s="145"/>
      <c r="C74" s="22" t="s">
        <v>1</v>
      </c>
      <c r="D74" s="101" t="s">
        <v>121</v>
      </c>
      <c r="E74" s="101" t="s">
        <v>122</v>
      </c>
      <c r="F74" s="102" t="s">
        <v>115</v>
      </c>
      <c r="G74" s="101" t="s">
        <v>123</v>
      </c>
      <c r="H74" s="173">
        <f>'Memo Severnaya'!H97</f>
        <v>44.969900000000003</v>
      </c>
      <c r="I74" s="132">
        <f>'Memo Severnaya'!I97</f>
        <v>68.342699999999994</v>
      </c>
      <c r="J74" s="143">
        <f>'Memo Severnaya'!J97</f>
        <v>79.697199999999995</v>
      </c>
      <c r="K74" s="143">
        <f>'Memo Severnaya'!K97</f>
        <v>70.557699999999997</v>
      </c>
      <c r="L74" s="3"/>
      <c r="M74" s="3"/>
      <c r="N74" s="3"/>
      <c r="O74" s="3"/>
      <c r="P74" s="3"/>
      <c r="Q74" s="4"/>
    </row>
    <row r="75" spans="2:17" ht="15" hidden="1" x14ac:dyDescent="0.25">
      <c r="B75" s="145"/>
      <c r="C75" s="22" t="s">
        <v>2</v>
      </c>
      <c r="D75" s="101" t="s">
        <v>124</v>
      </c>
      <c r="E75" s="101" t="s">
        <v>125</v>
      </c>
      <c r="F75" s="102" t="s">
        <v>126</v>
      </c>
      <c r="G75" s="101" t="s">
        <v>127</v>
      </c>
      <c r="H75" s="173">
        <f>'Memo Severnaya'!H98</f>
        <v>53.9574</v>
      </c>
      <c r="I75" s="132">
        <f>'Memo Severnaya'!I98</f>
        <v>87.419899999999998</v>
      </c>
      <c r="J75" s="143">
        <f>'Memo Severnaya'!J98</f>
        <v>107.983</v>
      </c>
      <c r="K75" s="143">
        <f>'Memo Severnaya'!K98</f>
        <v>84.471299999999999</v>
      </c>
      <c r="L75" s="3"/>
      <c r="M75" s="3"/>
      <c r="N75" s="3"/>
      <c r="O75" s="3"/>
      <c r="P75" s="3"/>
      <c r="Q75" s="4"/>
    </row>
    <row r="76" spans="2:17" ht="15" hidden="1" x14ac:dyDescent="0.25">
      <c r="B76" s="146"/>
      <c r="C76" s="48" t="s">
        <v>67</v>
      </c>
      <c r="D76" s="101" t="s">
        <v>128</v>
      </c>
      <c r="E76" s="101" t="s">
        <v>114</v>
      </c>
      <c r="F76" s="102" t="s">
        <v>116</v>
      </c>
      <c r="G76" s="101" t="s">
        <v>129</v>
      </c>
      <c r="H76" s="174">
        <f>'Memo Severnaya'!H99</f>
        <v>31.056799999999999</v>
      </c>
      <c r="I76" s="134">
        <f>'Memo Severnaya'!I99</f>
        <v>47.064399999999999</v>
      </c>
      <c r="J76" s="159">
        <f>'Memo Severnaya'!J99</f>
        <v>60.508699999999997</v>
      </c>
      <c r="K76" s="159">
        <f>'Memo Severnaya'!K99</f>
        <v>63.374099999999999</v>
      </c>
      <c r="L76" s="3"/>
      <c r="M76" s="3"/>
      <c r="N76" s="3"/>
      <c r="O76" s="3"/>
      <c r="P76" s="3"/>
      <c r="Q76" s="4"/>
    </row>
    <row r="77" spans="2:17" ht="15.75" hidden="1" thickBot="1" x14ac:dyDescent="0.3">
      <c r="B77" s="147"/>
      <c r="C77" s="80" t="s">
        <v>54</v>
      </c>
      <c r="D77" s="140" t="s">
        <v>0</v>
      </c>
      <c r="E77" s="140"/>
      <c r="F77" s="141"/>
      <c r="G77" s="140"/>
      <c r="H77" s="175">
        <f>H74/H73</f>
        <v>1.3739993644818695</v>
      </c>
      <c r="I77" s="175">
        <f>I74/I73</f>
        <v>1.214799923211467</v>
      </c>
      <c r="J77" s="175">
        <f>J74/J73</f>
        <v>1.0934995547640249</v>
      </c>
      <c r="K77" s="175">
        <f>K74/K73</f>
        <v>1.1050003836931959</v>
      </c>
      <c r="L77" s="3"/>
      <c r="M77" s="3"/>
      <c r="N77" s="3"/>
      <c r="O77" s="3"/>
      <c r="P77" s="3"/>
      <c r="Q77" s="4"/>
    </row>
    <row r="78" spans="2:17" ht="6.95" hidden="1" customHeight="1" x14ac:dyDescent="0.25">
      <c r="B78" s="20"/>
      <c r="C78" s="22"/>
      <c r="D78" s="101"/>
      <c r="E78" s="101"/>
      <c r="F78" s="102"/>
      <c r="G78" s="101"/>
      <c r="H78" s="131"/>
      <c r="I78" s="151"/>
      <c r="J78" s="132"/>
      <c r="K78" s="133"/>
      <c r="L78" s="3"/>
      <c r="M78" s="3"/>
      <c r="N78" s="3"/>
      <c r="O78" s="3"/>
      <c r="P78" s="3"/>
      <c r="Q78" s="4"/>
    </row>
    <row r="79" spans="2:17" ht="15.75" hidden="1" x14ac:dyDescent="0.25">
      <c r="B79" s="20" t="s">
        <v>50</v>
      </c>
      <c r="C79" s="100" t="s">
        <v>51</v>
      </c>
      <c r="D79" s="104"/>
      <c r="E79" s="104"/>
      <c r="F79" s="104" t="s">
        <v>0</v>
      </c>
      <c r="G79" s="104"/>
      <c r="H79" s="104"/>
      <c r="I79" s="148">
        <f>'Memo Severnaya'!I102</f>
        <v>2016</v>
      </c>
      <c r="J79" s="104">
        <f>'Memo Severnaya'!J102</f>
        <v>2016</v>
      </c>
      <c r="K79" s="103">
        <f>'Memo Severnaya'!K102</f>
        <v>2016</v>
      </c>
      <c r="L79" s="3"/>
      <c r="M79" s="3"/>
      <c r="N79" s="3"/>
      <c r="O79" s="3"/>
      <c r="P79" s="3"/>
      <c r="Q79" s="4"/>
    </row>
    <row r="80" spans="2:17" ht="15" hidden="1" x14ac:dyDescent="0.25">
      <c r="B80" s="20"/>
      <c r="C80" s="49">
        <f>'Memo Severnaya'!C103</f>
        <v>0</v>
      </c>
      <c r="D80" s="104">
        <f>'Memo Severnaya'!D103</f>
        <v>2011</v>
      </c>
      <c r="E80" s="104">
        <f>'Memo Severnaya'!E103</f>
        <v>2012</v>
      </c>
      <c r="F80" s="104">
        <f>'Memo Severnaya'!F103</f>
        <v>2013</v>
      </c>
      <c r="G80" s="104">
        <f>'Memo Severnaya'!G103</f>
        <v>2014</v>
      </c>
      <c r="H80" s="104">
        <f>'Memo Severnaya'!H103</f>
        <v>2015</v>
      </c>
      <c r="I80" s="148" t="str">
        <f>'Memo Severnaya'!I103</f>
        <v>Jun</v>
      </c>
      <c r="J80" s="104" t="str">
        <f>'Memo Severnaya'!J103</f>
        <v>average</v>
      </c>
      <c r="K80" s="103" t="str">
        <f>'Memo Severnaya'!K103</f>
        <v>annual</v>
      </c>
      <c r="L80" s="3"/>
      <c r="M80" s="3"/>
      <c r="N80" s="3"/>
      <c r="O80" s="3"/>
      <c r="P80" s="3"/>
      <c r="Q80" s="4"/>
    </row>
    <row r="81" spans="2:11" ht="15" hidden="1" x14ac:dyDescent="0.25">
      <c r="B81" s="20"/>
      <c r="C81" s="130" t="str">
        <f>'Memo Severnaya'!C104</f>
        <v>CPI</v>
      </c>
      <c r="D81" s="129">
        <f>'Memo Severnaya'!D104</f>
        <v>6.0999999999999999E-2</v>
      </c>
      <c r="E81" s="129">
        <f>'Memo Severnaya'!E104</f>
        <v>6.6000000000000003E-2</v>
      </c>
      <c r="F81" s="129">
        <f>'Memo Severnaya'!F104</f>
        <v>6.5000000000000002E-2</v>
      </c>
      <c r="G81" s="129">
        <f>'Memo Severnaya'!G104</f>
        <v>0.114</v>
      </c>
      <c r="H81" s="138">
        <f>'Memo Severnaya'!H104</f>
        <v>0.129</v>
      </c>
      <c r="I81" s="149">
        <f>'Memo Severnaya'!I104</f>
        <v>7.4999999999999997E-2</v>
      </c>
      <c r="J81" s="129">
        <f>'Memo Severnaya'!J104</f>
        <v>0</v>
      </c>
      <c r="K81" s="138">
        <f>'Memo Severnaya'!K104</f>
        <v>0</v>
      </c>
    </row>
    <row r="82" spans="2:11" ht="15" hidden="1" x14ac:dyDescent="0.25">
      <c r="B82" s="21"/>
      <c r="C82" s="136" t="str">
        <f>'Memo Severnaya'!C105</f>
        <v>PPI</v>
      </c>
      <c r="D82" s="137">
        <f>'Memo Severnaya'!D105</f>
        <v>0.12</v>
      </c>
      <c r="E82" s="137">
        <f>'Memo Severnaya'!E105</f>
        <v>5.0999999999999997E-2</v>
      </c>
      <c r="F82" s="137">
        <f>'Memo Severnaya'!F105</f>
        <v>3.6999999999999998E-2</v>
      </c>
      <c r="G82" s="137">
        <f>'Memo Severnaya'!G105</f>
        <v>5.8999999999999997E-2</v>
      </c>
      <c r="H82" s="139">
        <f>'Memo Severnaya'!H105</f>
        <v>0.107</v>
      </c>
      <c r="I82" s="150">
        <f>'Memo Severnaya'!I105</f>
        <v>0</v>
      </c>
      <c r="J82" s="137">
        <f>'Memo Severnaya'!J105</f>
        <v>0</v>
      </c>
      <c r="K82" s="139">
        <f>'Memo Severnaya'!K105</f>
        <v>0</v>
      </c>
    </row>
    <row r="83" spans="2:11" hidden="1" x14ac:dyDescent="0.2"/>
    <row r="85" spans="2:11" x14ac:dyDescent="0.2">
      <c r="C85" s="2" t="s">
        <v>0</v>
      </c>
      <c r="D85" s="2"/>
      <c r="E85" s="2"/>
      <c r="F85" s="2"/>
      <c r="G85" s="5"/>
      <c r="H85" s="2"/>
      <c r="I85" s="2"/>
      <c r="J85" s="2"/>
      <c r="K85" s="2"/>
    </row>
    <row r="86" spans="2:11" x14ac:dyDescent="0.2">
      <c r="C86" s="2"/>
      <c r="D86" s="2"/>
      <c r="E86" s="2"/>
      <c r="F86" s="2"/>
      <c r="G86" s="5"/>
      <c r="H86" s="2"/>
      <c r="I86" s="2"/>
      <c r="J86" s="2"/>
      <c r="K86" s="2"/>
    </row>
    <row r="87" spans="2:11" x14ac:dyDescent="0.2">
      <c r="C87" s="2"/>
      <c r="D87" s="2"/>
      <c r="E87" s="2"/>
      <c r="F87" s="2"/>
      <c r="G87" s="5"/>
      <c r="H87" s="2"/>
      <c r="I87" s="2"/>
      <c r="J87" s="2"/>
      <c r="K87" s="2"/>
    </row>
  </sheetData>
  <mergeCells count="6">
    <mergeCell ref="D43:E43"/>
    <mergeCell ref="C1:K1"/>
    <mergeCell ref="I3:J3"/>
    <mergeCell ref="D34:E34"/>
    <mergeCell ref="D37:E37"/>
    <mergeCell ref="D40:E40"/>
  </mergeCells>
  <conditionalFormatting sqref="C30:K30">
    <cfRule type="top10" dxfId="1463" priority="1" stopIfTrue="1" rank="10"/>
  </conditionalFormatting>
  <pageMargins left="0.2" right="0" top="0.48" bottom="0" header="11.19" footer="0"/>
  <pageSetup paperSize="9" scale="63" orientation="portrait" cellComments="asDisplayed" useFirstPageNumber="1" horizontalDpi="300" verticalDpi="300" r:id="rId1"/>
  <headerFooter alignWithMargins="0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F616"/>
  <sheetViews>
    <sheetView showGridLines="0" zoomScale="90" zoomScaleNormal="90" workbookViewId="0">
      <selection activeCell="C13" sqref="C13"/>
    </sheetView>
  </sheetViews>
  <sheetFormatPr defaultRowHeight="12.75" x14ac:dyDescent="0.2"/>
  <cols>
    <col min="1" max="1" width="4.42578125" customWidth="1"/>
    <col min="2" max="2" width="3" bestFit="1" customWidth="1"/>
    <col min="3" max="3" width="44.85546875" customWidth="1"/>
    <col min="4" max="4" width="15.140625" customWidth="1"/>
    <col min="5" max="5" width="21.85546875" customWidth="1"/>
    <col min="6" max="6" width="14.140625" bestFit="1" customWidth="1"/>
    <col min="7" max="7" width="12.140625" style="6" customWidth="1"/>
    <col min="8" max="8" width="11.85546875" customWidth="1"/>
    <col min="9" max="9" width="11.42578125" customWidth="1"/>
    <col min="10" max="10" width="14.5703125" customWidth="1"/>
    <col min="11" max="11" width="12.5703125" customWidth="1"/>
    <col min="12" max="12" width="13.28515625" customWidth="1"/>
    <col min="13" max="13" width="2.85546875" customWidth="1"/>
    <col min="14" max="14" width="10.140625" bestFit="1" customWidth="1"/>
    <col min="15" max="15" width="11.42578125" bestFit="1" customWidth="1"/>
    <col min="16" max="16" width="11.42578125" customWidth="1"/>
    <col min="18" max="18" width="14.7109375" customWidth="1"/>
  </cols>
  <sheetData>
    <row r="1" spans="2:32" ht="15.75" x14ac:dyDescent="0.25">
      <c r="C1" s="475"/>
      <c r="D1" s="475"/>
      <c r="E1" s="475"/>
      <c r="F1" s="475"/>
      <c r="G1" s="475"/>
      <c r="H1" s="475"/>
      <c r="I1" s="475"/>
      <c r="J1" s="475"/>
      <c r="K1" s="475"/>
      <c r="R1" s="1" t="s">
        <v>143</v>
      </c>
      <c r="S1" s="1" t="s">
        <v>4</v>
      </c>
      <c r="T1" s="1"/>
      <c r="U1" s="1"/>
      <c r="V1" s="1" t="s">
        <v>1</v>
      </c>
      <c r="W1" s="1"/>
      <c r="X1" s="1"/>
      <c r="Y1" s="1" t="s">
        <v>144</v>
      </c>
      <c r="Z1" s="1"/>
      <c r="AA1" s="1"/>
      <c r="AB1" s="1" t="s">
        <v>2</v>
      </c>
      <c r="AC1" s="1"/>
      <c r="AD1" s="1"/>
      <c r="AE1" s="1" t="s">
        <v>145</v>
      </c>
    </row>
    <row r="2" spans="2:32" s="1" customFormat="1" ht="19.5" x14ac:dyDescent="0.3">
      <c r="B2" s="13" t="s">
        <v>0</v>
      </c>
      <c r="C2" s="16" t="s">
        <v>68</v>
      </c>
      <c r="D2" s="17"/>
      <c r="E2" s="17"/>
      <c r="F2" s="176">
        <f>R3</f>
        <v>42565</v>
      </c>
      <c r="G2" s="17"/>
      <c r="H2" s="17"/>
      <c r="I2" s="17"/>
      <c r="J2" s="18" t="s">
        <v>10</v>
      </c>
      <c r="K2" s="19"/>
      <c r="L2" s="3"/>
      <c r="M2" s="3"/>
      <c r="N2" s="3"/>
      <c r="O2" s="3"/>
      <c r="P2" s="3"/>
      <c r="Q2" s="4"/>
      <c r="S2" s="1" t="s">
        <v>146</v>
      </c>
      <c r="T2" s="1" t="s">
        <v>29</v>
      </c>
      <c r="U2" s="1" t="s">
        <v>147</v>
      </c>
      <c r="V2" s="1" t="s">
        <v>146</v>
      </c>
      <c r="W2" s="1" t="s">
        <v>29</v>
      </c>
      <c r="X2" s="1" t="s">
        <v>147</v>
      </c>
      <c r="Y2" s="1" t="s">
        <v>146</v>
      </c>
      <c r="Z2" s="1" t="s">
        <v>29</v>
      </c>
      <c r="AA2" s="1" t="s">
        <v>148</v>
      </c>
      <c r="AB2" s="1" t="s">
        <v>146</v>
      </c>
      <c r="AC2" s="1" t="s">
        <v>29</v>
      </c>
      <c r="AD2" s="1" t="s">
        <v>147</v>
      </c>
      <c r="AE2" s="1" t="s">
        <v>147</v>
      </c>
    </row>
    <row r="3" spans="2:32" s="1" customFormat="1" ht="12.75" customHeight="1" x14ac:dyDescent="0.25">
      <c r="B3" s="14"/>
      <c r="C3" s="8"/>
      <c r="D3" s="11" t="s">
        <v>0</v>
      </c>
      <c r="E3" s="12" t="s">
        <v>0</v>
      </c>
      <c r="F3" s="8" t="s">
        <v>0</v>
      </c>
      <c r="G3" s="9"/>
      <c r="H3" s="8"/>
      <c r="I3" s="476"/>
      <c r="J3" s="476"/>
      <c r="K3" s="15"/>
      <c r="L3" s="3"/>
      <c r="M3" s="3"/>
      <c r="N3" s="3"/>
      <c r="O3" s="3"/>
      <c r="P3" s="3"/>
      <c r="Q3" s="4"/>
      <c r="R3" s="213">
        <v>42565</v>
      </c>
      <c r="S3" s="265">
        <v>62</v>
      </c>
      <c r="T3" s="265">
        <v>66</v>
      </c>
      <c r="U3" s="265">
        <v>63.853099999999998</v>
      </c>
      <c r="V3" s="265">
        <v>69</v>
      </c>
      <c r="W3" s="265">
        <v>73</v>
      </c>
      <c r="X3" s="265">
        <v>70.557699999999997</v>
      </c>
      <c r="Y3" s="265">
        <v>1.8850141376060321</v>
      </c>
      <c r="Z3" s="265">
        <v>1.8677624206200971</v>
      </c>
      <c r="AA3" s="265">
        <v>1.8761726078799248</v>
      </c>
      <c r="AB3" s="265">
        <v>80.599999999999994</v>
      </c>
      <c r="AC3" s="265">
        <v>88.65</v>
      </c>
      <c r="AD3" s="266">
        <v>84.471299999999999</v>
      </c>
      <c r="AE3" s="267">
        <v>95.412800000000004</v>
      </c>
    </row>
    <row r="4" spans="2:32" s="1" customFormat="1" ht="15" x14ac:dyDescent="0.25">
      <c r="B4" s="20" t="s">
        <v>5</v>
      </c>
      <c r="C4" s="22" t="s">
        <v>61</v>
      </c>
      <c r="D4" s="23" t="s">
        <v>63</v>
      </c>
      <c r="E4" s="24" t="s">
        <v>0</v>
      </c>
      <c r="F4" s="22" t="s">
        <v>0</v>
      </c>
      <c r="G4" s="25"/>
      <c r="H4" s="22"/>
      <c r="I4" s="23" t="s">
        <v>4</v>
      </c>
      <c r="J4" s="105">
        <f>U3</f>
        <v>63.853099999999998</v>
      </c>
      <c r="K4" s="26" t="s">
        <v>62</v>
      </c>
      <c r="L4" s="3"/>
      <c r="M4" s="3"/>
      <c r="N4" s="3"/>
      <c r="O4" s="3"/>
      <c r="P4" s="3"/>
      <c r="Q4" s="4"/>
    </row>
    <row r="5" spans="2:32" s="1" customFormat="1" ht="15" x14ac:dyDescent="0.25">
      <c r="B5" s="14"/>
      <c r="C5" s="22" t="s">
        <v>61</v>
      </c>
      <c r="D5" s="23" t="s">
        <v>63</v>
      </c>
      <c r="E5" s="24" t="s">
        <v>0</v>
      </c>
      <c r="F5" s="22"/>
      <c r="G5" s="25"/>
      <c r="H5" s="22"/>
      <c r="I5" s="23" t="s">
        <v>1</v>
      </c>
      <c r="J5" s="105">
        <f>X3</f>
        <v>70.557699999999997</v>
      </c>
      <c r="K5" s="26" t="s">
        <v>62</v>
      </c>
      <c r="L5" s="3"/>
      <c r="M5" s="3"/>
      <c r="N5" s="3"/>
      <c r="O5" s="3"/>
      <c r="P5" s="3"/>
      <c r="Q5" s="4"/>
    </row>
    <row r="6" spans="2:32" s="1" customFormat="1" ht="15" x14ac:dyDescent="0.25">
      <c r="B6" s="14"/>
      <c r="C6" s="22" t="s">
        <v>44</v>
      </c>
      <c r="D6" s="23" t="s">
        <v>28</v>
      </c>
      <c r="E6" s="23" t="s">
        <v>0</v>
      </c>
      <c r="F6" s="268">
        <f>S3</f>
        <v>62</v>
      </c>
      <c r="G6" s="24" t="s">
        <v>62</v>
      </c>
      <c r="H6" s="23" t="s">
        <v>29</v>
      </c>
      <c r="I6" s="23" t="s">
        <v>4</v>
      </c>
      <c r="J6" s="105">
        <f>T3</f>
        <v>66</v>
      </c>
      <c r="K6" s="26" t="s">
        <v>62</v>
      </c>
      <c r="L6" s="3"/>
      <c r="M6" s="3"/>
      <c r="N6" s="3"/>
      <c r="O6" s="3"/>
      <c r="P6" s="3"/>
      <c r="Q6" s="4"/>
    </row>
    <row r="7" spans="2:32" s="1" customFormat="1" ht="15" x14ac:dyDescent="0.25">
      <c r="B7" s="14"/>
      <c r="C7" s="22" t="s">
        <v>45</v>
      </c>
      <c r="D7" s="23" t="s">
        <v>28</v>
      </c>
      <c r="E7" s="23" t="s">
        <v>0</v>
      </c>
      <c r="F7" s="268">
        <f>V3</f>
        <v>69</v>
      </c>
      <c r="G7" s="24" t="s">
        <v>62</v>
      </c>
      <c r="H7" s="23" t="s">
        <v>29</v>
      </c>
      <c r="I7" s="23" t="s">
        <v>1</v>
      </c>
      <c r="J7" s="105">
        <f>W3</f>
        <v>73</v>
      </c>
      <c r="K7" s="26" t="s">
        <v>62</v>
      </c>
      <c r="L7" s="3"/>
      <c r="M7" s="3"/>
      <c r="N7" s="3"/>
      <c r="O7" s="3"/>
      <c r="P7" s="3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2:32" s="1" customFormat="1" ht="15" x14ac:dyDescent="0.25">
      <c r="B8" s="14"/>
      <c r="C8" s="22" t="s">
        <v>11</v>
      </c>
      <c r="D8" s="23" t="s">
        <v>141</v>
      </c>
      <c r="E8" s="24" t="s">
        <v>0</v>
      </c>
      <c r="F8" s="269">
        <f>J5/J4</f>
        <v>1.1050003836931959</v>
      </c>
      <c r="G8" s="24" t="s">
        <v>4</v>
      </c>
      <c r="H8" s="23" t="s">
        <v>48</v>
      </c>
      <c r="I8" s="23" t="s">
        <v>142</v>
      </c>
      <c r="J8" s="269">
        <f>AC3/J6</f>
        <v>1.3431818181818183</v>
      </c>
      <c r="K8" s="26" t="s">
        <v>4</v>
      </c>
      <c r="L8" s="3"/>
      <c r="M8" s="3"/>
      <c r="N8" s="3"/>
      <c r="O8" s="3"/>
      <c r="P8" s="3"/>
      <c r="Q8" s="4"/>
    </row>
    <row r="9" spans="2:32" s="1" customFormat="1" ht="8.1" customHeight="1" x14ac:dyDescent="0.25">
      <c r="B9" s="14"/>
      <c r="C9" s="22"/>
      <c r="D9" s="22"/>
      <c r="E9" s="22"/>
      <c r="F9" s="27" t="s">
        <v>0</v>
      </c>
      <c r="G9" s="25"/>
      <c r="H9" s="22"/>
      <c r="I9" s="22"/>
      <c r="J9" s="60"/>
      <c r="K9" s="26"/>
      <c r="L9" s="3"/>
      <c r="M9" s="3"/>
      <c r="N9" s="3"/>
      <c r="O9" s="3"/>
      <c r="P9" s="3"/>
      <c r="Q9" s="4"/>
    </row>
    <row r="10" spans="2:32" s="1" customFormat="1" ht="15" x14ac:dyDescent="0.25">
      <c r="B10" s="62"/>
      <c r="C10" s="63" t="s">
        <v>64</v>
      </c>
      <c r="D10" s="64"/>
      <c r="E10" s="64"/>
      <c r="F10" s="64" t="s">
        <v>0</v>
      </c>
      <c r="G10" s="65"/>
      <c r="H10" s="64"/>
      <c r="I10" s="64" t="s">
        <v>20</v>
      </c>
      <c r="J10" s="106">
        <v>11.5</v>
      </c>
      <c r="K10" s="66" t="s">
        <v>3</v>
      </c>
      <c r="L10" s="3"/>
      <c r="M10" s="3"/>
      <c r="N10" s="3"/>
      <c r="O10" s="3"/>
      <c r="P10" s="3"/>
      <c r="Q10" s="4"/>
    </row>
    <row r="11" spans="2:32" s="1" customFormat="1" ht="15.75" thickBot="1" x14ac:dyDescent="0.3">
      <c r="B11" s="14"/>
      <c r="C11" s="22" t="s">
        <v>65</v>
      </c>
      <c r="D11" s="22"/>
      <c r="E11" s="22"/>
      <c r="F11" s="22" t="s">
        <v>0</v>
      </c>
      <c r="G11" s="25"/>
      <c r="H11" s="22"/>
      <c r="I11" s="22" t="s">
        <v>20</v>
      </c>
      <c r="J11" s="107">
        <v>9.5</v>
      </c>
      <c r="K11" s="61" t="s">
        <v>3</v>
      </c>
      <c r="L11" s="3"/>
      <c r="M11" s="3"/>
      <c r="N11" s="3"/>
      <c r="O11" s="3"/>
      <c r="P11" s="3"/>
      <c r="Q11" s="4"/>
    </row>
    <row r="12" spans="2:32" s="1" customFormat="1" ht="15" customHeight="1" x14ac:dyDescent="0.25">
      <c r="B12" s="67" t="s">
        <v>6</v>
      </c>
      <c r="C12" s="69" t="s">
        <v>12</v>
      </c>
      <c r="D12" s="70">
        <v>0</v>
      </c>
      <c r="E12" s="71" t="s">
        <v>0</v>
      </c>
      <c r="F12" s="111" t="e">
        <f>'Cash in Bank'!C24+'Cash in Bank'!C32</f>
        <v>#N/A</v>
      </c>
      <c r="G12" s="72" t="s">
        <v>4</v>
      </c>
      <c r="H12" s="69"/>
      <c r="I12" s="69"/>
      <c r="J12" s="115" t="e">
        <f>F12</f>
        <v>#N/A</v>
      </c>
      <c r="K12" s="73" t="s">
        <v>4</v>
      </c>
      <c r="L12" s="3"/>
      <c r="M12" s="3"/>
      <c r="N12" s="3" t="s">
        <v>0</v>
      </c>
      <c r="O12" s="3"/>
      <c r="P12" s="3"/>
      <c r="Q12" s="4"/>
    </row>
    <row r="13" spans="2:32" s="1" customFormat="1" ht="15.75" x14ac:dyDescent="0.25">
      <c r="B13" s="68"/>
      <c r="C13" s="28" t="s">
        <v>43</v>
      </c>
      <c r="D13" s="29">
        <v>0</v>
      </c>
      <c r="E13" s="30"/>
      <c r="F13" s="112">
        <v>0</v>
      </c>
      <c r="G13" s="31" t="s">
        <v>4</v>
      </c>
      <c r="H13" s="28"/>
      <c r="I13" s="28"/>
      <c r="J13" s="32"/>
      <c r="K13" s="33"/>
      <c r="L13" s="3"/>
      <c r="M13" s="3"/>
      <c r="N13" s="3"/>
      <c r="O13" s="3"/>
      <c r="P13" s="3"/>
      <c r="Q13" s="4"/>
    </row>
    <row r="14" spans="2:32" s="1" customFormat="1" ht="15.75" x14ac:dyDescent="0.25">
      <c r="B14" s="14"/>
      <c r="C14" s="22" t="s">
        <v>13</v>
      </c>
      <c r="D14" s="34">
        <v>0</v>
      </c>
      <c r="E14" s="35"/>
      <c r="F14" s="38" t="e">
        <f>F12-F13</f>
        <v>#N/A</v>
      </c>
      <c r="G14" s="23" t="s">
        <v>4</v>
      </c>
      <c r="H14" s="22"/>
      <c r="I14" s="22"/>
      <c r="J14" s="36" t="s">
        <v>0</v>
      </c>
      <c r="K14" s="26" t="s">
        <v>0</v>
      </c>
      <c r="L14" s="3"/>
      <c r="M14" s="3"/>
      <c r="N14" s="3"/>
      <c r="O14" s="3"/>
      <c r="P14" s="3"/>
      <c r="Q14" s="4"/>
    </row>
    <row r="15" spans="2:32" s="1" customFormat="1" ht="15" x14ac:dyDescent="0.25">
      <c r="B15" s="14"/>
      <c r="C15" s="22" t="s">
        <v>14</v>
      </c>
      <c r="D15" s="110">
        <v>0</v>
      </c>
      <c r="E15" s="35" t="s">
        <v>0</v>
      </c>
      <c r="F15" s="38" t="e">
        <f>'Cash in Bank'!C28</f>
        <v>#N/A</v>
      </c>
      <c r="G15" s="23" t="s">
        <v>1</v>
      </c>
      <c r="H15" s="22"/>
      <c r="I15" s="22"/>
      <c r="J15" s="39" t="e">
        <f>F15*F8</f>
        <v>#N/A</v>
      </c>
      <c r="K15" s="26" t="s">
        <v>4</v>
      </c>
      <c r="L15" s="3"/>
      <c r="M15" s="3"/>
      <c r="N15" s="3"/>
      <c r="O15" s="3"/>
      <c r="P15" s="3"/>
      <c r="Q15" s="4"/>
    </row>
    <row r="16" spans="2:32" s="1" customFormat="1" ht="15" x14ac:dyDescent="0.25">
      <c r="B16" s="14"/>
      <c r="C16" s="22" t="s">
        <v>15</v>
      </c>
      <c r="D16" s="110">
        <v>0</v>
      </c>
      <c r="E16" s="35" t="s">
        <v>0</v>
      </c>
      <c r="F16" s="38">
        <v>0</v>
      </c>
      <c r="G16" s="23" t="s">
        <v>2</v>
      </c>
      <c r="H16" s="22"/>
      <c r="I16" s="22"/>
      <c r="J16" s="39">
        <f>F16*J8</f>
        <v>0</v>
      </c>
      <c r="K16" s="26" t="s">
        <v>4</v>
      </c>
      <c r="L16" s="3"/>
      <c r="M16" s="3"/>
      <c r="N16" s="10" t="s">
        <v>0</v>
      </c>
      <c r="O16" s="10"/>
      <c r="P16" s="3"/>
      <c r="Q16" s="4"/>
    </row>
    <row r="17" spans="2:17" s="1" customFormat="1" ht="15" x14ac:dyDescent="0.25">
      <c r="B17" s="14"/>
      <c r="C17" s="22" t="s">
        <v>53</v>
      </c>
      <c r="D17" s="110">
        <v>0</v>
      </c>
      <c r="E17" s="35"/>
      <c r="F17" s="38">
        <v>0</v>
      </c>
      <c r="G17" s="23" t="s">
        <v>62</v>
      </c>
      <c r="H17" s="22"/>
      <c r="I17" s="22"/>
      <c r="J17" s="39">
        <f>F17/J6</f>
        <v>0</v>
      </c>
      <c r="K17" s="26" t="s">
        <v>4</v>
      </c>
      <c r="L17" s="3"/>
      <c r="M17" s="3"/>
      <c r="N17" s="10"/>
      <c r="O17" s="10"/>
      <c r="P17" s="3"/>
      <c r="Q17" s="4"/>
    </row>
    <row r="18" spans="2:17" s="1" customFormat="1" ht="15" x14ac:dyDescent="0.25">
      <c r="B18" s="14"/>
      <c r="C18" s="22" t="s">
        <v>16</v>
      </c>
      <c r="D18" s="110">
        <v>0</v>
      </c>
      <c r="E18" s="35" t="s">
        <v>0</v>
      </c>
      <c r="F18" s="38">
        <v>0</v>
      </c>
      <c r="G18" s="23" t="s">
        <v>62</v>
      </c>
      <c r="H18" s="22"/>
      <c r="I18" s="22"/>
      <c r="J18" s="39">
        <f>F18/J6</f>
        <v>0</v>
      </c>
      <c r="K18" s="26" t="s">
        <v>4</v>
      </c>
      <c r="L18" s="3"/>
      <c r="M18" s="3"/>
      <c r="N18" s="3"/>
      <c r="O18" s="3"/>
      <c r="P18" s="3"/>
      <c r="Q18" s="4"/>
    </row>
    <row r="19" spans="2:17" s="1" customFormat="1" ht="15" x14ac:dyDescent="0.25">
      <c r="B19" s="14"/>
      <c r="C19" s="37" t="s">
        <v>27</v>
      </c>
      <c r="D19" s="110">
        <v>0</v>
      </c>
      <c r="E19" s="35" t="s">
        <v>0</v>
      </c>
      <c r="F19" s="181" t="e">
        <f>'Cash in Bank'!C23</f>
        <v>#N/A</v>
      </c>
      <c r="G19" s="23" t="s">
        <v>62</v>
      </c>
      <c r="H19" s="22"/>
      <c r="I19" s="22"/>
      <c r="J19" s="39" t="e">
        <f>F19/J6</f>
        <v>#N/A</v>
      </c>
      <c r="K19" s="26" t="s">
        <v>4</v>
      </c>
      <c r="L19" s="3"/>
      <c r="M19" s="3"/>
      <c r="N19" s="3"/>
      <c r="O19" s="3"/>
      <c r="P19" s="3"/>
      <c r="Q19" s="4"/>
    </row>
    <row r="20" spans="2:17" s="1" customFormat="1" ht="15.75" thickBot="1" x14ac:dyDescent="0.3">
      <c r="B20" s="74"/>
      <c r="C20" s="75" t="s">
        <v>17</v>
      </c>
      <c r="D20" s="114"/>
      <c r="E20" s="75" t="s">
        <v>0</v>
      </c>
      <c r="F20" s="75"/>
      <c r="G20" s="76"/>
      <c r="H20" s="75"/>
      <c r="I20" s="75"/>
      <c r="J20" s="116" t="e">
        <f>J12+J18+J15+J16+J19</f>
        <v>#N/A</v>
      </c>
      <c r="K20" s="77" t="s">
        <v>4</v>
      </c>
      <c r="L20" s="3"/>
      <c r="M20" s="3"/>
      <c r="N20" s="3" t="s">
        <v>0</v>
      </c>
      <c r="O20" s="3"/>
      <c r="P20" s="3"/>
      <c r="Q20" s="4"/>
    </row>
    <row r="21" spans="2:17" s="1" customFormat="1" ht="15" customHeight="1" x14ac:dyDescent="0.25">
      <c r="B21" s="20" t="s">
        <v>7</v>
      </c>
      <c r="C21" s="84" t="s">
        <v>66</v>
      </c>
      <c r="D21" s="108"/>
      <c r="E21" s="84" t="s">
        <v>0</v>
      </c>
      <c r="F21" s="113"/>
      <c r="G21" s="85"/>
      <c r="H21" s="84"/>
      <c r="I21" s="22"/>
      <c r="J21" s="39"/>
      <c r="K21" s="26"/>
      <c r="L21" s="3"/>
      <c r="M21" s="3"/>
      <c r="N21" s="3" t="s">
        <v>0</v>
      </c>
      <c r="O21" s="3"/>
      <c r="P21" s="3"/>
      <c r="Q21" s="4"/>
    </row>
    <row r="22" spans="2:17" s="1" customFormat="1" ht="15" customHeight="1" x14ac:dyDescent="0.25">
      <c r="B22" s="20"/>
      <c r="C22" s="152" t="s">
        <v>133</v>
      </c>
      <c r="D22" s="109">
        <v>0.13</v>
      </c>
      <c r="E22" s="152"/>
      <c r="F22" s="181">
        <v>2800000000</v>
      </c>
      <c r="G22" s="153" t="s">
        <v>62</v>
      </c>
      <c r="H22" s="84"/>
      <c r="I22" s="22"/>
      <c r="J22" s="39">
        <f t="shared" ref="J22:J27" si="0">F22/J$6</f>
        <v>42424242.424242422</v>
      </c>
      <c r="K22" s="26" t="s">
        <v>4</v>
      </c>
      <c r="L22" s="3"/>
      <c r="M22" s="3"/>
      <c r="N22" s="3"/>
      <c r="O22" s="3"/>
      <c r="P22" s="3"/>
      <c r="Q22" s="4"/>
    </row>
    <row r="23" spans="2:17" s="1" customFormat="1" ht="15" customHeight="1" x14ac:dyDescent="0.25">
      <c r="B23" s="20"/>
      <c r="C23" s="152" t="s">
        <v>133</v>
      </c>
      <c r="D23" s="109">
        <v>0.13</v>
      </c>
      <c r="E23" s="152"/>
      <c r="F23" s="181">
        <v>200000000</v>
      </c>
      <c r="G23" s="153" t="s">
        <v>62</v>
      </c>
      <c r="H23" s="84"/>
      <c r="I23" s="22"/>
      <c r="J23" s="39">
        <f t="shared" si="0"/>
        <v>3030303.0303030303</v>
      </c>
      <c r="K23" s="26" t="s">
        <v>4</v>
      </c>
      <c r="L23" s="3"/>
      <c r="M23" s="3"/>
      <c r="N23" s="3"/>
      <c r="O23" s="3"/>
      <c r="P23" s="3"/>
      <c r="Q23" s="4"/>
    </row>
    <row r="24" spans="2:17" s="1" customFormat="1" ht="15" customHeight="1" x14ac:dyDescent="0.25">
      <c r="B24" s="20"/>
      <c r="C24" s="152" t="s">
        <v>134</v>
      </c>
      <c r="D24" s="109">
        <v>0.1084</v>
      </c>
      <c r="E24" s="152"/>
      <c r="F24" s="181">
        <v>400000000</v>
      </c>
      <c r="G24" s="153" t="s">
        <v>62</v>
      </c>
      <c r="H24" s="84"/>
      <c r="I24" s="22"/>
      <c r="J24" s="39">
        <f t="shared" si="0"/>
        <v>6060606.0606060605</v>
      </c>
      <c r="K24" s="26" t="s">
        <v>4</v>
      </c>
      <c r="L24" s="3"/>
      <c r="M24" s="3"/>
      <c r="N24" s="3"/>
      <c r="O24" s="3"/>
      <c r="P24" s="3"/>
      <c r="Q24" s="4"/>
    </row>
    <row r="25" spans="2:17" s="1" customFormat="1" ht="15" customHeight="1" x14ac:dyDescent="0.25">
      <c r="B25" s="20"/>
      <c r="C25" s="152" t="s">
        <v>134</v>
      </c>
      <c r="D25" s="109">
        <v>0.1071</v>
      </c>
      <c r="E25" s="152"/>
      <c r="F25" s="181">
        <v>787500000</v>
      </c>
      <c r="G25" s="153" t="s">
        <v>62</v>
      </c>
      <c r="H25" s="84"/>
      <c r="I25" s="22"/>
      <c r="J25" s="39">
        <f t="shared" si="0"/>
        <v>11931818.181818182</v>
      </c>
      <c r="K25" s="26" t="s">
        <v>4</v>
      </c>
      <c r="L25" s="3"/>
      <c r="M25" s="3"/>
      <c r="N25" s="3"/>
      <c r="O25" s="3"/>
      <c r="P25" s="3"/>
      <c r="Q25" s="4"/>
    </row>
    <row r="26" spans="2:17" s="1" customFormat="1" ht="15" customHeight="1" x14ac:dyDescent="0.25">
      <c r="B26" s="20"/>
      <c r="C26" s="152" t="s">
        <v>134</v>
      </c>
      <c r="D26" s="109">
        <v>0.1245</v>
      </c>
      <c r="E26" s="152"/>
      <c r="F26" s="181">
        <v>600000000</v>
      </c>
      <c r="G26" s="153" t="s">
        <v>62</v>
      </c>
      <c r="H26" s="84"/>
      <c r="I26" s="22"/>
      <c r="J26" s="39">
        <f t="shared" si="0"/>
        <v>9090909.0909090918</v>
      </c>
      <c r="K26" s="26" t="s">
        <v>4</v>
      </c>
      <c r="L26" s="3"/>
      <c r="M26" s="3"/>
      <c r="N26" s="3"/>
      <c r="O26" s="3"/>
      <c r="P26" s="3"/>
      <c r="Q26" s="4"/>
    </row>
    <row r="27" spans="2:17" s="1" customFormat="1" ht="15" customHeight="1" x14ac:dyDescent="0.25">
      <c r="B27" s="20"/>
      <c r="C27" s="152" t="s">
        <v>134</v>
      </c>
      <c r="D27" s="109">
        <v>0.1245</v>
      </c>
      <c r="E27" s="152"/>
      <c r="F27" s="181">
        <v>445000000</v>
      </c>
      <c r="G27" s="153" t="s">
        <v>62</v>
      </c>
      <c r="H27" s="84"/>
      <c r="I27" s="22"/>
      <c r="J27" s="39">
        <f t="shared" si="0"/>
        <v>6742424.2424242422</v>
      </c>
      <c r="K27" s="26" t="s">
        <v>4</v>
      </c>
      <c r="L27" s="3"/>
      <c r="M27" s="3"/>
      <c r="N27" s="3"/>
      <c r="O27" s="3"/>
      <c r="P27" s="3"/>
      <c r="Q27" s="4"/>
    </row>
    <row r="28" spans="2:17" s="1" customFormat="1" ht="15" customHeight="1" x14ac:dyDescent="0.25">
      <c r="B28" s="20"/>
      <c r="C28" s="84" t="s">
        <v>84</v>
      </c>
      <c r="D28" s="109"/>
      <c r="E28" s="152"/>
      <c r="F28" s="161"/>
      <c r="G28" s="153" t="s">
        <v>0</v>
      </c>
      <c r="H28" s="84"/>
      <c r="I28" s="22"/>
      <c r="J28" s="164">
        <f>SUM(J21:J27)</f>
        <v>79280303.030303031</v>
      </c>
      <c r="K28" s="165">
        <f>J28/J32</f>
        <v>1</v>
      </c>
      <c r="L28" s="3"/>
      <c r="M28" s="3"/>
      <c r="N28" s="3"/>
      <c r="O28" s="3"/>
      <c r="P28" s="3"/>
      <c r="Q28" s="4"/>
    </row>
    <row r="29" spans="2:17" s="1" customFormat="1" ht="15" customHeight="1" x14ac:dyDescent="0.25">
      <c r="B29" s="20"/>
      <c r="C29" s="152"/>
      <c r="D29" s="109">
        <v>0</v>
      </c>
      <c r="E29" s="152"/>
      <c r="F29" s="161">
        <v>0</v>
      </c>
      <c r="G29" s="23" t="s">
        <v>4</v>
      </c>
      <c r="H29" s="84"/>
      <c r="I29" s="22"/>
      <c r="J29" s="39">
        <f>F29</f>
        <v>0</v>
      </c>
      <c r="K29" s="26" t="s">
        <v>4</v>
      </c>
      <c r="L29" s="3"/>
      <c r="M29" s="3"/>
      <c r="N29" s="3"/>
      <c r="O29" s="3"/>
      <c r="P29" s="3"/>
      <c r="Q29" s="4"/>
    </row>
    <row r="30" spans="2:17" s="1" customFormat="1" ht="15" customHeight="1" x14ac:dyDescent="0.25">
      <c r="B30" s="20"/>
      <c r="C30" s="152"/>
      <c r="D30" s="109">
        <v>0</v>
      </c>
      <c r="E30" s="152"/>
      <c r="F30" s="161">
        <v>0</v>
      </c>
      <c r="G30" s="23" t="s">
        <v>4</v>
      </c>
      <c r="H30" s="84"/>
      <c r="I30" s="22"/>
      <c r="J30" s="39">
        <f>F30</f>
        <v>0</v>
      </c>
      <c r="K30" s="26" t="s">
        <v>4</v>
      </c>
      <c r="L30" s="3"/>
      <c r="M30" s="3"/>
      <c r="N30" s="3"/>
      <c r="O30" s="3"/>
      <c r="P30" s="3"/>
      <c r="Q30" s="4"/>
    </row>
    <row r="31" spans="2:17" s="1" customFormat="1" ht="15.75" customHeight="1" x14ac:dyDescent="0.25">
      <c r="B31" s="14"/>
      <c r="C31" s="84" t="s">
        <v>60</v>
      </c>
      <c r="D31" s="109"/>
      <c r="E31" s="35"/>
      <c r="F31" s="38" t="s">
        <v>0</v>
      </c>
      <c r="G31" s="25"/>
      <c r="H31" s="22"/>
      <c r="I31" s="22"/>
      <c r="J31" s="166">
        <f>SUM(J29:J30)</f>
        <v>0</v>
      </c>
      <c r="K31" s="165">
        <f>J31/J32</f>
        <v>0</v>
      </c>
      <c r="L31" s="3"/>
      <c r="M31" s="3"/>
      <c r="N31" s="3"/>
      <c r="O31" s="3"/>
      <c r="P31" s="3"/>
      <c r="Q31" s="4"/>
    </row>
    <row r="32" spans="2:17" s="1" customFormat="1" ht="18.75" x14ac:dyDescent="0.3">
      <c r="B32" s="50"/>
      <c r="C32" s="51" t="s">
        <v>18</v>
      </c>
      <c r="D32" s="167">
        <f>(D25*J25+D26*J26+D27*J27+D29*J29+D30*J30+D22*J22+D23*J23+D24*J24)/J32</f>
        <v>0.12380387004300049</v>
      </c>
      <c r="E32" s="51"/>
      <c r="F32" s="51"/>
      <c r="G32" s="52" t="s">
        <v>0</v>
      </c>
      <c r="H32" s="51"/>
      <c r="I32" s="51"/>
      <c r="J32" s="117">
        <f>J28+J31</f>
        <v>79280303.030303031</v>
      </c>
      <c r="K32" s="53" t="s">
        <v>4</v>
      </c>
      <c r="L32" s="3"/>
      <c r="M32" s="3"/>
      <c r="N32" s="3"/>
      <c r="O32" s="3"/>
      <c r="P32" s="3"/>
      <c r="Q32" s="4"/>
    </row>
    <row r="33" spans="2:17" s="1" customFormat="1" ht="17.25" x14ac:dyDescent="0.3">
      <c r="B33" s="54"/>
      <c r="C33" s="55" t="s">
        <v>19</v>
      </c>
      <c r="D33" s="56"/>
      <c r="E33" s="56"/>
      <c r="F33" s="57" t="s">
        <v>0</v>
      </c>
      <c r="G33" s="58"/>
      <c r="H33" s="57"/>
      <c r="I33" s="57"/>
      <c r="J33" s="118" t="e">
        <f>J20-J32</f>
        <v>#N/A</v>
      </c>
      <c r="K33" s="59" t="s">
        <v>4</v>
      </c>
      <c r="L33" s="3"/>
      <c r="M33" s="3"/>
      <c r="N33" s="3"/>
      <c r="O33" s="3"/>
      <c r="P33" s="3"/>
      <c r="Q33" s="4"/>
    </row>
    <row r="34" spans="2:17" s="1" customFormat="1" ht="14.1" hidden="1" customHeight="1" x14ac:dyDescent="0.25">
      <c r="B34" s="20" t="s">
        <v>8</v>
      </c>
      <c r="C34" s="99" t="s">
        <v>21</v>
      </c>
      <c r="D34" s="22"/>
      <c r="E34" s="22"/>
      <c r="F34" s="39"/>
      <c r="G34" s="40"/>
      <c r="H34" s="39"/>
      <c r="I34" s="39"/>
      <c r="J34" s="39"/>
      <c r="K34" s="26"/>
      <c r="L34" s="3"/>
      <c r="M34" s="3"/>
      <c r="N34" s="3"/>
      <c r="O34" s="3"/>
      <c r="P34" s="3"/>
      <c r="Q34" s="4"/>
    </row>
    <row r="35" spans="2:17" s="1" customFormat="1" ht="8.25" hidden="1" customHeight="1" x14ac:dyDescent="0.25">
      <c r="B35" s="20"/>
      <c r="C35" s="84"/>
      <c r="D35" s="22"/>
      <c r="E35" s="22"/>
      <c r="F35" s="39"/>
      <c r="G35" s="40"/>
      <c r="H35" s="39"/>
      <c r="I35" s="39"/>
      <c r="J35" s="39"/>
      <c r="K35" s="26"/>
      <c r="L35" s="3"/>
      <c r="M35" s="3"/>
      <c r="N35" s="3"/>
      <c r="O35" s="3"/>
      <c r="P35" s="3"/>
      <c r="Q35" s="4"/>
    </row>
    <row r="36" spans="2:17" s="1" customFormat="1" ht="14.1" hidden="1" customHeight="1" x14ac:dyDescent="0.25">
      <c r="B36" s="14"/>
      <c r="C36" s="22" t="s">
        <v>40</v>
      </c>
      <c r="D36" s="22" t="s">
        <v>4</v>
      </c>
      <c r="E36" s="22" t="s">
        <v>0</v>
      </c>
      <c r="F36" s="121">
        <v>0</v>
      </c>
      <c r="G36" s="23" t="s">
        <v>4</v>
      </c>
      <c r="H36" s="41"/>
      <c r="I36" s="42"/>
      <c r="J36" s="39">
        <f>F36</f>
        <v>0</v>
      </c>
      <c r="K36" s="26" t="s">
        <v>4</v>
      </c>
      <c r="L36" s="3"/>
      <c r="M36" s="3"/>
      <c r="N36" s="3"/>
      <c r="O36" s="3"/>
      <c r="P36" s="3"/>
      <c r="Q36" s="4"/>
    </row>
    <row r="37" spans="2:17" s="1" customFormat="1" ht="13.5" hidden="1" customHeight="1" x14ac:dyDescent="0.25">
      <c r="B37" s="14"/>
      <c r="C37" s="22" t="s">
        <v>41</v>
      </c>
      <c r="D37" s="474" t="s">
        <v>57</v>
      </c>
      <c r="E37" s="474"/>
      <c r="F37" s="39">
        <f>0</f>
        <v>0</v>
      </c>
      <c r="G37" s="23" t="s">
        <v>4</v>
      </c>
      <c r="H37" s="41"/>
      <c r="I37" s="42"/>
      <c r="J37" s="39">
        <f>F37</f>
        <v>0</v>
      </c>
      <c r="K37" s="26" t="s">
        <v>4</v>
      </c>
      <c r="L37" s="3"/>
      <c r="M37" s="3"/>
      <c r="N37" s="3"/>
      <c r="O37" s="3"/>
      <c r="P37" s="3"/>
      <c r="Q37" s="4"/>
    </row>
    <row r="38" spans="2:17" s="1" customFormat="1" ht="9.4" hidden="1" customHeight="1" x14ac:dyDescent="0.25">
      <c r="B38" s="14"/>
      <c r="C38" s="22"/>
      <c r="D38" s="178"/>
      <c r="E38" s="178"/>
      <c r="F38" s="39"/>
      <c r="G38" s="23"/>
      <c r="H38" s="41"/>
      <c r="I38" s="42"/>
      <c r="J38" s="39"/>
      <c r="K38" s="26"/>
      <c r="L38" s="3"/>
      <c r="M38" s="3"/>
      <c r="N38" s="3"/>
      <c r="O38" s="3"/>
      <c r="P38" s="3"/>
      <c r="Q38" s="4"/>
    </row>
    <row r="39" spans="2:17" s="1" customFormat="1" ht="14.1" hidden="1" customHeight="1" x14ac:dyDescent="0.25">
      <c r="B39" s="14"/>
      <c r="C39" s="22" t="s">
        <v>47</v>
      </c>
      <c r="D39" s="22" t="s">
        <v>4</v>
      </c>
      <c r="E39" s="22" t="s">
        <v>0</v>
      </c>
      <c r="F39" s="121">
        <v>0</v>
      </c>
      <c r="G39" s="23" t="s">
        <v>4</v>
      </c>
      <c r="H39" s="41"/>
      <c r="I39" s="42"/>
      <c r="J39" s="39">
        <f>F39</f>
        <v>0</v>
      </c>
      <c r="K39" s="26" t="s">
        <v>4</v>
      </c>
      <c r="L39" s="3"/>
      <c r="M39" s="3"/>
      <c r="N39" s="3"/>
      <c r="O39" s="3"/>
      <c r="P39" s="3"/>
      <c r="Q39" s="4"/>
    </row>
    <row r="40" spans="2:17" s="1" customFormat="1" ht="14.1" hidden="1" customHeight="1" x14ac:dyDescent="0.25">
      <c r="B40" s="14"/>
      <c r="C40" s="22" t="s">
        <v>42</v>
      </c>
      <c r="D40" s="474" t="s">
        <v>57</v>
      </c>
      <c r="E40" s="474"/>
      <c r="F40" s="121">
        <f>(0)-(0)</f>
        <v>0</v>
      </c>
      <c r="G40" s="23" t="s">
        <v>4</v>
      </c>
      <c r="H40" s="41"/>
      <c r="I40" s="42"/>
      <c r="J40" s="39">
        <f>F40</f>
        <v>0</v>
      </c>
      <c r="K40" s="26" t="s">
        <v>4</v>
      </c>
      <c r="L40" s="3"/>
      <c r="M40" s="3"/>
      <c r="N40" s="3"/>
      <c r="O40" s="3"/>
      <c r="P40" s="3"/>
      <c r="Q40" s="4"/>
    </row>
    <row r="41" spans="2:17" s="1" customFormat="1" ht="9.4" hidden="1" customHeight="1" x14ac:dyDescent="0.25">
      <c r="B41" s="14"/>
      <c r="C41" s="22"/>
      <c r="D41" s="178"/>
      <c r="E41" s="178"/>
      <c r="F41" s="121"/>
      <c r="G41" s="23"/>
      <c r="H41" s="41"/>
      <c r="I41" s="42"/>
      <c r="J41" s="39"/>
      <c r="K41" s="26"/>
      <c r="L41" s="3"/>
      <c r="M41" s="3"/>
      <c r="N41" s="3"/>
      <c r="O41" s="3"/>
      <c r="P41" s="3"/>
      <c r="Q41" s="4"/>
    </row>
    <row r="42" spans="2:17" s="1" customFormat="1" ht="14.1" hidden="1" customHeight="1" x14ac:dyDescent="0.25">
      <c r="B42" s="14"/>
      <c r="C42" s="22" t="s">
        <v>22</v>
      </c>
      <c r="D42" s="24" t="s">
        <v>1</v>
      </c>
      <c r="E42" s="22"/>
      <c r="F42" s="39">
        <v>0</v>
      </c>
      <c r="G42" s="23" t="s">
        <v>1</v>
      </c>
      <c r="H42" s="41"/>
      <c r="I42" s="42"/>
      <c r="J42" s="39">
        <f>F42*F8</f>
        <v>0</v>
      </c>
      <c r="K42" s="26" t="s">
        <v>4</v>
      </c>
      <c r="L42" s="3"/>
      <c r="M42" s="3"/>
      <c r="N42" s="3"/>
      <c r="O42" s="3"/>
      <c r="P42" s="3"/>
      <c r="Q42" s="4"/>
    </row>
    <row r="43" spans="2:17" s="1" customFormat="1" ht="14.1" hidden="1" customHeight="1" x14ac:dyDescent="0.25">
      <c r="B43" s="14"/>
      <c r="C43" s="22" t="s">
        <v>23</v>
      </c>
      <c r="D43" s="474" t="s">
        <v>58</v>
      </c>
      <c r="E43" s="474"/>
      <c r="F43" s="39">
        <v>0</v>
      </c>
      <c r="G43" s="23" t="s">
        <v>1</v>
      </c>
      <c r="H43" s="41"/>
      <c r="I43" s="42"/>
      <c r="J43" s="39">
        <f>F43*F8</f>
        <v>0</v>
      </c>
      <c r="K43" s="26" t="s">
        <v>4</v>
      </c>
      <c r="L43" s="3"/>
      <c r="M43" s="3"/>
      <c r="N43" s="3"/>
      <c r="O43" s="3"/>
      <c r="P43" s="3"/>
      <c r="Q43" s="4"/>
    </row>
    <row r="44" spans="2:17" s="1" customFormat="1" ht="9.4" hidden="1" customHeight="1" x14ac:dyDescent="0.25">
      <c r="B44" s="14"/>
      <c r="C44" s="22"/>
      <c r="D44" s="178"/>
      <c r="E44" s="178"/>
      <c r="F44" s="39"/>
      <c r="G44" s="23"/>
      <c r="H44" s="41"/>
      <c r="I44" s="42"/>
      <c r="J44" s="39"/>
      <c r="K44" s="26"/>
      <c r="L44" s="3"/>
      <c r="M44" s="3"/>
      <c r="N44" s="3"/>
      <c r="O44" s="3"/>
      <c r="P44" s="3"/>
      <c r="Q44" s="4"/>
    </row>
    <row r="45" spans="2:17" s="1" customFormat="1" ht="14.1" hidden="1" customHeight="1" x14ac:dyDescent="0.25">
      <c r="B45" s="14"/>
      <c r="C45" s="22" t="s">
        <v>22</v>
      </c>
      <c r="D45" s="22" t="s">
        <v>2</v>
      </c>
      <c r="E45" s="22"/>
      <c r="F45" s="39">
        <f>0</f>
        <v>0</v>
      </c>
      <c r="G45" s="23" t="s">
        <v>2</v>
      </c>
      <c r="H45" s="41"/>
      <c r="I45" s="42"/>
      <c r="J45" s="39">
        <f>F45*J8</f>
        <v>0</v>
      </c>
      <c r="K45" s="26" t="s">
        <v>4</v>
      </c>
      <c r="L45" s="3"/>
      <c r="M45" s="3"/>
      <c r="N45" s="3"/>
      <c r="O45" s="3"/>
      <c r="P45" s="3"/>
      <c r="Q45" s="4"/>
    </row>
    <row r="46" spans="2:17" s="1" customFormat="1" ht="14.1" hidden="1" customHeight="1" x14ac:dyDescent="0.25">
      <c r="B46" s="14"/>
      <c r="C46" s="22" t="s">
        <v>23</v>
      </c>
      <c r="D46" s="474" t="s">
        <v>59</v>
      </c>
      <c r="E46" s="474"/>
      <c r="F46" s="121">
        <v>0</v>
      </c>
      <c r="G46" s="23" t="s">
        <v>2</v>
      </c>
      <c r="H46" s="41"/>
      <c r="I46" s="42"/>
      <c r="J46" s="39">
        <f>F46*J8</f>
        <v>0</v>
      </c>
      <c r="K46" s="26" t="s">
        <v>4</v>
      </c>
      <c r="L46" s="3"/>
      <c r="M46" s="3"/>
      <c r="N46" s="3"/>
      <c r="O46" s="3"/>
      <c r="P46" s="3"/>
      <c r="Q46" s="4"/>
    </row>
    <row r="47" spans="2:17" s="1" customFormat="1" ht="4.5" hidden="1" customHeight="1" x14ac:dyDescent="0.25">
      <c r="B47" s="14"/>
      <c r="C47" s="22"/>
      <c r="D47" s="178"/>
      <c r="E47" s="178"/>
      <c r="F47" s="121"/>
      <c r="G47" s="23"/>
      <c r="H47" s="41"/>
      <c r="I47" s="42"/>
      <c r="J47" s="39"/>
      <c r="K47" s="26"/>
      <c r="L47" s="3"/>
      <c r="M47" s="3"/>
      <c r="N47" s="3"/>
      <c r="O47" s="3"/>
      <c r="P47" s="3"/>
      <c r="Q47" s="4"/>
    </row>
    <row r="48" spans="2:17" s="1" customFormat="1" ht="14.1" hidden="1" customHeight="1" x14ac:dyDescent="0.25">
      <c r="B48" s="14"/>
      <c r="C48" s="22" t="s">
        <v>39</v>
      </c>
      <c r="D48" s="22"/>
      <c r="E48" s="22"/>
      <c r="F48" s="39"/>
      <c r="G48" s="23"/>
      <c r="H48" s="41"/>
      <c r="I48" s="42"/>
      <c r="J48" s="39"/>
      <c r="K48" s="26"/>
      <c r="L48" s="3"/>
      <c r="M48" s="3"/>
      <c r="N48" s="3"/>
      <c r="O48" s="3"/>
      <c r="P48" s="3"/>
      <c r="Q48" s="4"/>
    </row>
    <row r="49" spans="2:17" s="1" customFormat="1" ht="14.1" hidden="1" customHeight="1" x14ac:dyDescent="0.25">
      <c r="B49" s="14"/>
      <c r="C49" s="22" t="s">
        <v>22</v>
      </c>
      <c r="D49" s="22" t="s">
        <v>4</v>
      </c>
      <c r="E49" s="22"/>
      <c r="F49" s="121">
        <v>0</v>
      </c>
      <c r="G49" s="23" t="s">
        <v>4</v>
      </c>
      <c r="H49" s="41"/>
      <c r="I49" s="42"/>
      <c r="J49" s="39">
        <f>F49</f>
        <v>0</v>
      </c>
      <c r="K49" s="26" t="s">
        <v>4</v>
      </c>
      <c r="L49" s="3"/>
      <c r="M49" s="3"/>
      <c r="N49" s="3"/>
      <c r="O49" s="3"/>
      <c r="P49" s="3"/>
      <c r="Q49" s="4"/>
    </row>
    <row r="50" spans="2:17" s="1" customFormat="1" ht="14.1" hidden="1" customHeight="1" x14ac:dyDescent="0.25">
      <c r="B50" s="14"/>
      <c r="C50" s="22" t="s">
        <v>24</v>
      </c>
      <c r="D50" s="22" t="s">
        <v>4</v>
      </c>
      <c r="E50" s="22"/>
      <c r="F50" s="39">
        <f>0</f>
        <v>0</v>
      </c>
      <c r="G50" s="23" t="s">
        <v>4</v>
      </c>
      <c r="H50" s="41"/>
      <c r="I50" s="42"/>
      <c r="J50" s="39">
        <f>F50</f>
        <v>0</v>
      </c>
      <c r="K50" s="26" t="s">
        <v>4</v>
      </c>
      <c r="L50" s="3"/>
      <c r="M50" s="3"/>
      <c r="N50" s="3"/>
      <c r="O50" s="3"/>
      <c r="P50" s="3"/>
      <c r="Q50" s="4"/>
    </row>
    <row r="51" spans="2:17" s="1" customFormat="1" ht="9.4" hidden="1" customHeight="1" x14ac:dyDescent="0.25">
      <c r="B51" s="14"/>
      <c r="C51" s="22"/>
      <c r="D51" s="22"/>
      <c r="E51" s="22"/>
      <c r="F51" s="39"/>
      <c r="G51" s="23"/>
      <c r="H51" s="41"/>
      <c r="I51" s="42"/>
      <c r="J51" s="39"/>
      <c r="K51" s="26"/>
      <c r="L51" s="3"/>
      <c r="M51" s="3"/>
      <c r="N51" s="3"/>
      <c r="O51" s="3"/>
      <c r="P51" s="3"/>
      <c r="Q51" s="4"/>
    </row>
    <row r="52" spans="2:17" s="1" customFormat="1" ht="14.1" hidden="1" customHeight="1" x14ac:dyDescent="0.25">
      <c r="B52" s="14"/>
      <c r="C52" s="22" t="s">
        <v>22</v>
      </c>
      <c r="D52" s="24" t="s">
        <v>1</v>
      </c>
      <c r="E52" s="22"/>
      <c r="F52" s="39">
        <v>0</v>
      </c>
      <c r="G52" s="23" t="s">
        <v>1</v>
      </c>
      <c r="H52" s="41"/>
      <c r="I52" s="42"/>
      <c r="J52" s="39">
        <f>F52*F8</f>
        <v>0</v>
      </c>
      <c r="K52" s="26" t="s">
        <v>4</v>
      </c>
      <c r="L52" s="3"/>
      <c r="M52" s="3"/>
      <c r="N52" s="3"/>
      <c r="O52" s="3"/>
      <c r="P52" s="3"/>
      <c r="Q52" s="4"/>
    </row>
    <row r="53" spans="2:17" s="1" customFormat="1" ht="14.1" hidden="1" customHeight="1" x14ac:dyDescent="0.25">
      <c r="B53" s="14"/>
      <c r="C53" s="22" t="s">
        <v>23</v>
      </c>
      <c r="D53" s="24" t="s">
        <v>1</v>
      </c>
      <c r="E53" s="22"/>
      <c r="F53" s="39">
        <v>0</v>
      </c>
      <c r="G53" s="23" t="s">
        <v>1</v>
      </c>
      <c r="H53" s="41"/>
      <c r="I53" s="42"/>
      <c r="J53" s="39">
        <f>F53*F8</f>
        <v>0</v>
      </c>
      <c r="K53" s="26" t="s">
        <v>4</v>
      </c>
      <c r="L53" s="3"/>
      <c r="M53" s="3"/>
      <c r="N53" s="3"/>
      <c r="O53" s="3"/>
      <c r="P53" s="3"/>
      <c r="Q53" s="4"/>
    </row>
    <row r="54" spans="2:17" s="1" customFormat="1" ht="9.4" hidden="1" customHeight="1" x14ac:dyDescent="0.25">
      <c r="B54" s="14"/>
      <c r="C54" s="22"/>
      <c r="D54" s="22"/>
      <c r="E54" s="22"/>
      <c r="F54" s="39"/>
      <c r="G54" s="23"/>
      <c r="H54" s="41"/>
      <c r="I54" s="42"/>
      <c r="J54" s="39"/>
      <c r="K54" s="26"/>
      <c r="L54" s="3"/>
      <c r="M54" s="3"/>
      <c r="N54" s="3"/>
      <c r="O54" s="3"/>
      <c r="P54" s="3"/>
      <c r="Q54" s="4"/>
    </row>
    <row r="55" spans="2:17" s="1" customFormat="1" ht="14.1" hidden="1" customHeight="1" x14ac:dyDescent="0.25">
      <c r="B55" s="14"/>
      <c r="C55" s="22" t="s">
        <v>22</v>
      </c>
      <c r="D55" s="22" t="s">
        <v>2</v>
      </c>
      <c r="E55" s="22"/>
      <c r="F55" s="39">
        <v>0</v>
      </c>
      <c r="G55" s="23" t="s">
        <v>2</v>
      </c>
      <c r="H55" s="41"/>
      <c r="I55" s="42"/>
      <c r="J55" s="39">
        <f>F55*J8</f>
        <v>0</v>
      </c>
      <c r="K55" s="26" t="s">
        <v>4</v>
      </c>
      <c r="L55" s="3"/>
      <c r="M55" s="3"/>
      <c r="N55" s="3"/>
      <c r="O55" s="3"/>
      <c r="P55" s="3"/>
      <c r="Q55" s="4"/>
    </row>
    <row r="56" spans="2:17" s="1" customFormat="1" ht="14.1" hidden="1" customHeight="1" x14ac:dyDescent="0.25">
      <c r="B56" s="14"/>
      <c r="C56" s="22" t="s">
        <v>24</v>
      </c>
      <c r="D56" s="22" t="s">
        <v>2</v>
      </c>
      <c r="E56" s="22"/>
      <c r="F56" s="39">
        <f>0</f>
        <v>0</v>
      </c>
      <c r="G56" s="23" t="s">
        <v>2</v>
      </c>
      <c r="H56" s="41"/>
      <c r="I56" s="42"/>
      <c r="J56" s="39">
        <f>F56*J8</f>
        <v>0</v>
      </c>
      <c r="K56" s="26" t="s">
        <v>4</v>
      </c>
      <c r="L56" s="3"/>
      <c r="M56" s="3"/>
      <c r="N56" s="3"/>
      <c r="O56" s="3"/>
      <c r="P56" s="3"/>
      <c r="Q56" s="4"/>
    </row>
    <row r="57" spans="2:17" s="1" customFormat="1" ht="9.4" hidden="1" customHeight="1" x14ac:dyDescent="0.25">
      <c r="B57" s="14"/>
      <c r="C57" s="22"/>
      <c r="D57" s="22"/>
      <c r="E57" s="22"/>
      <c r="F57" s="39"/>
      <c r="G57" s="23"/>
      <c r="H57" s="41"/>
      <c r="I57" s="42"/>
      <c r="J57" s="39"/>
      <c r="K57" s="26"/>
      <c r="L57" s="3"/>
      <c r="M57" s="3"/>
      <c r="N57" s="3"/>
      <c r="O57" s="3"/>
      <c r="P57" s="3"/>
      <c r="Q57" s="4"/>
    </row>
    <row r="58" spans="2:17" s="1" customFormat="1" ht="15.75" hidden="1" thickBot="1" x14ac:dyDescent="0.3">
      <c r="B58" s="78"/>
      <c r="C58" s="79" t="s">
        <v>49</v>
      </c>
      <c r="D58" s="80"/>
      <c r="E58" s="80"/>
      <c r="F58" s="80"/>
      <c r="G58" s="81"/>
      <c r="H58" s="80"/>
      <c r="I58" s="80"/>
      <c r="J58" s="119">
        <f>SUM(J36:J56)</f>
        <v>0</v>
      </c>
      <c r="K58" s="82" t="s">
        <v>4</v>
      </c>
      <c r="L58" s="3"/>
      <c r="M58" s="3"/>
      <c r="N58" s="3"/>
      <c r="O58" s="3"/>
      <c r="P58" s="3"/>
      <c r="Q58" s="4"/>
    </row>
    <row r="59" spans="2:17" ht="15.75" x14ac:dyDescent="0.25">
      <c r="B59" s="20" t="s">
        <v>9</v>
      </c>
      <c r="C59" s="84" t="s">
        <v>113</v>
      </c>
      <c r="D59" s="22"/>
      <c r="E59" s="22"/>
      <c r="F59" s="22"/>
      <c r="G59" s="25"/>
      <c r="H59" s="22"/>
      <c r="I59" s="22"/>
      <c r="J59" s="22"/>
      <c r="K59" s="43"/>
      <c r="L59" s="3"/>
      <c r="M59" s="3"/>
      <c r="N59" s="3"/>
      <c r="O59" s="3"/>
      <c r="P59" s="3"/>
      <c r="Q59" s="4"/>
    </row>
    <row r="60" spans="2:17" ht="15.75" x14ac:dyDescent="0.25">
      <c r="B60" s="20"/>
      <c r="C60" s="152" t="s">
        <v>133</v>
      </c>
      <c r="D60" s="22"/>
      <c r="E60" s="177">
        <v>42566</v>
      </c>
      <c r="F60" s="181">
        <f>F22+F23</f>
        <v>3000000000</v>
      </c>
      <c r="G60" s="24" t="s">
        <v>62</v>
      </c>
      <c r="H60" s="214"/>
      <c r="I60" s="34"/>
      <c r="J60" s="39">
        <f>F60/J$6</f>
        <v>45454545.454545453</v>
      </c>
      <c r="K60" s="26" t="s">
        <v>4</v>
      </c>
      <c r="L60" s="10"/>
      <c r="M60" s="3"/>
      <c r="N60" s="163"/>
      <c r="O60" s="3"/>
      <c r="P60" s="3"/>
      <c r="Q60" s="4"/>
    </row>
    <row r="61" spans="2:17" ht="15.75" x14ac:dyDescent="0.25">
      <c r="B61" s="20"/>
      <c r="C61" s="152" t="s">
        <v>134</v>
      </c>
      <c r="D61" s="22"/>
      <c r="E61" s="177">
        <v>42633</v>
      </c>
      <c r="F61" s="181">
        <v>112500000</v>
      </c>
      <c r="G61" s="24" t="s">
        <v>62</v>
      </c>
      <c r="H61" s="215"/>
      <c r="I61" s="34"/>
      <c r="J61" s="39">
        <f>F61/J$6</f>
        <v>1704545.4545454546</v>
      </c>
      <c r="K61" s="26" t="s">
        <v>4</v>
      </c>
      <c r="L61" s="10"/>
      <c r="M61" s="3"/>
      <c r="N61" s="163"/>
      <c r="O61" s="3"/>
      <c r="P61" s="3"/>
      <c r="Q61" s="4"/>
    </row>
    <row r="62" spans="2:17" ht="15.75" x14ac:dyDescent="0.25">
      <c r="B62" s="20"/>
      <c r="C62" s="152" t="s">
        <v>134</v>
      </c>
      <c r="D62" s="22"/>
      <c r="E62" s="177">
        <v>42694</v>
      </c>
      <c r="F62" s="181">
        <v>75000000</v>
      </c>
      <c r="G62" s="24" t="s">
        <v>62</v>
      </c>
      <c r="H62" s="214"/>
      <c r="I62" s="34"/>
      <c r="J62" s="39">
        <f>F62/J$6</f>
        <v>1136363.6363636365</v>
      </c>
      <c r="K62" s="26" t="s">
        <v>4</v>
      </c>
      <c r="L62" s="10"/>
      <c r="M62" s="3"/>
      <c r="N62" s="163"/>
      <c r="O62" s="3"/>
      <c r="P62" s="3"/>
      <c r="Q62" s="4"/>
    </row>
    <row r="63" spans="2:17" ht="15.75" x14ac:dyDescent="0.25">
      <c r="B63" s="20"/>
      <c r="C63" s="152" t="s">
        <v>134</v>
      </c>
      <c r="D63" s="22"/>
      <c r="E63" s="177">
        <v>42814</v>
      </c>
      <c r="F63" s="181">
        <v>112500000</v>
      </c>
      <c r="G63" s="24" t="s">
        <v>62</v>
      </c>
      <c r="H63" s="215"/>
      <c r="I63" s="34"/>
      <c r="J63" s="39">
        <f t="shared" ref="J63:J68" si="1">F63/J$6</f>
        <v>1704545.4545454546</v>
      </c>
      <c r="K63" s="26" t="s">
        <v>4</v>
      </c>
      <c r="L63" s="10"/>
      <c r="M63" s="3"/>
      <c r="N63" s="163"/>
      <c r="O63" s="3"/>
      <c r="P63" s="3"/>
      <c r="Q63" s="4"/>
    </row>
    <row r="64" spans="2:17" ht="15.75" x14ac:dyDescent="0.25">
      <c r="B64" s="20"/>
      <c r="C64" s="152" t="s">
        <v>134</v>
      </c>
      <c r="D64" s="22"/>
      <c r="E64" s="177">
        <v>42845</v>
      </c>
      <c r="F64" s="181">
        <v>64080000.000000007</v>
      </c>
      <c r="G64" s="24" t="s">
        <v>62</v>
      </c>
      <c r="H64" s="215"/>
      <c r="I64" s="34"/>
      <c r="J64" s="39">
        <f t="shared" si="1"/>
        <v>970909.09090909106</v>
      </c>
      <c r="K64" s="26" t="s">
        <v>4</v>
      </c>
      <c r="L64" s="10"/>
      <c r="M64" s="3"/>
      <c r="N64" s="163"/>
      <c r="O64" s="3"/>
      <c r="P64" s="3"/>
      <c r="Q64" s="4"/>
    </row>
    <row r="65" spans="2:17" ht="15.75" x14ac:dyDescent="0.25">
      <c r="B65" s="20"/>
      <c r="C65" s="152" t="s">
        <v>134</v>
      </c>
      <c r="D65" s="22"/>
      <c r="E65" s="177">
        <v>42875</v>
      </c>
      <c r="F65" s="181">
        <v>75000000</v>
      </c>
      <c r="G65" s="24" t="s">
        <v>62</v>
      </c>
      <c r="H65" s="215"/>
      <c r="I65" s="34"/>
      <c r="J65" s="39">
        <f t="shared" si="1"/>
        <v>1136363.6363636365</v>
      </c>
      <c r="K65" s="26" t="s">
        <v>4</v>
      </c>
      <c r="L65" s="10"/>
      <c r="M65" s="3"/>
      <c r="N65" s="163"/>
      <c r="O65" s="3"/>
      <c r="P65" s="3"/>
      <c r="Q65" s="4"/>
    </row>
    <row r="66" spans="2:17" ht="15.75" x14ac:dyDescent="0.25">
      <c r="B66" s="20"/>
      <c r="C66" s="152" t="s">
        <v>134</v>
      </c>
      <c r="D66" s="22"/>
      <c r="E66" s="177">
        <v>42998</v>
      </c>
      <c r="F66" s="161">
        <v>112500000</v>
      </c>
      <c r="G66" s="24" t="s">
        <v>62</v>
      </c>
      <c r="H66" s="207"/>
      <c r="I66" s="34"/>
      <c r="J66" s="39">
        <f t="shared" si="1"/>
        <v>1704545.4545454546</v>
      </c>
      <c r="K66" s="26" t="s">
        <v>4</v>
      </c>
      <c r="L66" s="10"/>
      <c r="M66" s="3"/>
      <c r="N66" s="163"/>
      <c r="O66" s="3"/>
      <c r="P66" s="3"/>
      <c r="Q66" s="4"/>
    </row>
    <row r="67" spans="2:17" ht="15.75" x14ac:dyDescent="0.25">
      <c r="B67" s="20"/>
      <c r="C67" s="152" t="s">
        <v>134</v>
      </c>
      <c r="D67" s="22"/>
      <c r="E67" s="177">
        <v>43028</v>
      </c>
      <c r="F67" s="161">
        <v>64080000.000000007</v>
      </c>
      <c r="G67" s="24" t="s">
        <v>62</v>
      </c>
      <c r="H67" s="207"/>
      <c r="I67" s="34"/>
      <c r="J67" s="39">
        <f t="shared" si="1"/>
        <v>970909.09090909106</v>
      </c>
      <c r="K67" s="26" t="s">
        <v>4</v>
      </c>
      <c r="L67" s="10"/>
      <c r="M67" s="3"/>
      <c r="N67" s="163"/>
      <c r="O67" s="3"/>
      <c r="P67" s="3"/>
      <c r="Q67" s="4"/>
    </row>
    <row r="68" spans="2:17" ht="15.75" x14ac:dyDescent="0.25">
      <c r="B68" s="20"/>
      <c r="C68" s="152" t="s">
        <v>134</v>
      </c>
      <c r="D68" s="22"/>
      <c r="E68" s="177">
        <v>43059</v>
      </c>
      <c r="F68" s="161">
        <v>75000000</v>
      </c>
      <c r="G68" s="24" t="s">
        <v>62</v>
      </c>
      <c r="H68" s="110"/>
      <c r="I68" s="34"/>
      <c r="J68" s="39">
        <f t="shared" si="1"/>
        <v>1136363.6363636365</v>
      </c>
      <c r="K68" s="26" t="s">
        <v>4</v>
      </c>
      <c r="L68" s="10"/>
      <c r="M68" s="3"/>
      <c r="N68" s="163"/>
      <c r="O68" s="3"/>
      <c r="P68" s="3"/>
      <c r="Q68" s="4"/>
    </row>
    <row r="69" spans="2:17" ht="15.75" x14ac:dyDescent="0.25">
      <c r="B69" s="20"/>
      <c r="C69" s="152" t="s">
        <v>134</v>
      </c>
      <c r="D69" s="22"/>
      <c r="E69" s="177">
        <v>43187</v>
      </c>
      <c r="F69" s="161">
        <v>112500000</v>
      </c>
      <c r="G69" s="24" t="s">
        <v>62</v>
      </c>
      <c r="H69" s="22"/>
      <c r="I69" s="34"/>
      <c r="J69" s="39">
        <f>F69/J$6</f>
        <v>1704545.4545454546</v>
      </c>
      <c r="K69" s="26" t="s">
        <v>4</v>
      </c>
      <c r="L69" s="10"/>
      <c r="M69" s="3"/>
      <c r="N69" s="163"/>
      <c r="O69" s="3"/>
      <c r="P69" s="3"/>
      <c r="Q69" s="4"/>
    </row>
    <row r="70" spans="2:17" ht="15.75" x14ac:dyDescent="0.25">
      <c r="B70" s="20"/>
      <c r="C70" s="152" t="s">
        <v>134</v>
      </c>
      <c r="D70" s="22"/>
      <c r="E70" s="177">
        <v>43210</v>
      </c>
      <c r="F70" s="161">
        <v>64080000.000000007</v>
      </c>
      <c r="G70" s="24" t="s">
        <v>62</v>
      </c>
      <c r="H70" s="22"/>
      <c r="I70" s="34"/>
      <c r="J70" s="39">
        <f t="shared" ref="J70:J75" si="2">F70/J$6</f>
        <v>970909.09090909106</v>
      </c>
      <c r="K70" s="26" t="s">
        <v>4</v>
      </c>
      <c r="L70" s="10"/>
      <c r="M70" s="3"/>
      <c r="N70" s="163"/>
      <c r="O70" s="3"/>
      <c r="P70" s="3"/>
      <c r="Q70" s="4"/>
    </row>
    <row r="71" spans="2:17" ht="15.75" x14ac:dyDescent="0.25">
      <c r="B71" s="20"/>
      <c r="C71" s="152" t="s">
        <v>134</v>
      </c>
      <c r="D71" s="22"/>
      <c r="E71" s="177">
        <v>43240</v>
      </c>
      <c r="F71" s="161">
        <v>75000000</v>
      </c>
      <c r="G71" s="24" t="s">
        <v>62</v>
      </c>
      <c r="H71" s="22"/>
      <c r="I71" s="34"/>
      <c r="J71" s="39">
        <f t="shared" si="2"/>
        <v>1136363.6363636365</v>
      </c>
      <c r="K71" s="26" t="s">
        <v>4</v>
      </c>
      <c r="L71" s="10"/>
      <c r="M71" s="3"/>
      <c r="N71" s="163"/>
      <c r="O71" s="3"/>
      <c r="P71" s="3"/>
      <c r="Q71" s="4"/>
    </row>
    <row r="72" spans="2:17" ht="15.75" x14ac:dyDescent="0.25">
      <c r="B72" s="20"/>
      <c r="C72" s="152" t="s">
        <v>134</v>
      </c>
      <c r="D72" s="22"/>
      <c r="E72" s="177">
        <v>43301</v>
      </c>
      <c r="F72" s="161">
        <v>100000000</v>
      </c>
      <c r="G72" s="24" t="s">
        <v>62</v>
      </c>
      <c r="H72" s="22"/>
      <c r="I72" s="34"/>
      <c r="J72" s="39">
        <f t="shared" si="2"/>
        <v>1515151.5151515151</v>
      </c>
      <c r="K72" s="26" t="s">
        <v>4</v>
      </c>
      <c r="L72" s="10"/>
      <c r="M72" s="3"/>
      <c r="N72" s="163"/>
      <c r="O72" s="3"/>
      <c r="P72" s="3"/>
      <c r="Q72" s="4"/>
    </row>
    <row r="73" spans="2:17" ht="15.75" x14ac:dyDescent="0.25">
      <c r="B73" s="20"/>
      <c r="C73" s="152" t="s">
        <v>134</v>
      </c>
      <c r="D73" s="22"/>
      <c r="E73" s="177">
        <v>43363</v>
      </c>
      <c r="F73" s="161">
        <v>112500000</v>
      </c>
      <c r="G73" s="24" t="s">
        <v>62</v>
      </c>
      <c r="H73" s="22"/>
      <c r="I73" s="34"/>
      <c r="J73" s="39">
        <f t="shared" si="2"/>
        <v>1704545.4545454546</v>
      </c>
      <c r="K73" s="26" t="s">
        <v>4</v>
      </c>
      <c r="L73" s="10"/>
      <c r="M73" s="3"/>
      <c r="N73" s="163"/>
      <c r="O73" s="3"/>
      <c r="P73" s="3"/>
      <c r="Q73" s="4"/>
    </row>
    <row r="74" spans="2:17" ht="15.75" x14ac:dyDescent="0.25">
      <c r="B74" s="20"/>
      <c r="C74" s="152" t="s">
        <v>134</v>
      </c>
      <c r="D74" s="22"/>
      <c r="E74" s="177">
        <v>43393</v>
      </c>
      <c r="F74" s="161">
        <f>64080000+100000000</f>
        <v>164080000</v>
      </c>
      <c r="G74" s="24" t="s">
        <v>62</v>
      </c>
      <c r="H74" s="22"/>
      <c r="I74" s="34"/>
      <c r="J74" s="39">
        <f t="shared" si="2"/>
        <v>2486060.606060606</v>
      </c>
      <c r="K74" s="26" t="s">
        <v>4</v>
      </c>
      <c r="L74" s="10"/>
      <c r="M74" s="3"/>
      <c r="N74" s="163"/>
      <c r="O74" s="3"/>
      <c r="P74" s="3"/>
      <c r="Q74" s="4"/>
    </row>
    <row r="75" spans="2:17" ht="15.75" x14ac:dyDescent="0.25">
      <c r="B75" s="20"/>
      <c r="C75" s="152" t="s">
        <v>134</v>
      </c>
      <c r="D75" s="22"/>
      <c r="E75" s="177">
        <v>43424</v>
      </c>
      <c r="F75" s="161">
        <v>75000000</v>
      </c>
      <c r="G75" s="24" t="s">
        <v>62</v>
      </c>
      <c r="H75" s="22"/>
      <c r="I75" s="34"/>
      <c r="J75" s="39">
        <f t="shared" si="2"/>
        <v>1136363.6363636365</v>
      </c>
      <c r="K75" s="26" t="s">
        <v>4</v>
      </c>
      <c r="L75" s="10"/>
      <c r="M75" s="3"/>
      <c r="N75" s="163"/>
      <c r="O75" s="3"/>
      <c r="P75" s="3"/>
      <c r="Q75" s="4"/>
    </row>
    <row r="76" spans="2:17" ht="15.75" x14ac:dyDescent="0.25">
      <c r="B76" s="20"/>
      <c r="C76" s="152" t="s">
        <v>134</v>
      </c>
      <c r="D76" s="22"/>
      <c r="E76" s="177">
        <v>43485</v>
      </c>
      <c r="F76" s="161">
        <v>100000000</v>
      </c>
      <c r="G76" s="24" t="s">
        <v>62</v>
      </c>
      <c r="H76" s="22"/>
      <c r="I76" s="34"/>
      <c r="J76" s="39">
        <f t="shared" ref="J76:J84" si="3">F76/J$6</f>
        <v>1515151.5151515151</v>
      </c>
      <c r="K76" s="26" t="s">
        <v>4</v>
      </c>
      <c r="L76" s="10"/>
      <c r="M76" s="3"/>
      <c r="N76" s="163"/>
      <c r="O76" s="3"/>
      <c r="P76" s="3"/>
      <c r="Q76" s="4"/>
    </row>
    <row r="77" spans="2:17" ht="15.75" x14ac:dyDescent="0.25">
      <c r="B77" s="20"/>
      <c r="C77" s="152" t="s">
        <v>134</v>
      </c>
      <c r="D77" s="22"/>
      <c r="E77" s="177">
        <v>43544</v>
      </c>
      <c r="F77" s="161">
        <v>112500000</v>
      </c>
      <c r="G77" s="24" t="s">
        <v>62</v>
      </c>
      <c r="H77" s="22"/>
      <c r="I77" s="34"/>
      <c r="J77" s="39">
        <f t="shared" si="3"/>
        <v>1704545.4545454546</v>
      </c>
      <c r="K77" s="26" t="s">
        <v>4</v>
      </c>
      <c r="L77" s="10"/>
      <c r="M77" s="3"/>
      <c r="N77" s="163"/>
      <c r="O77" s="3"/>
      <c r="P77" s="3"/>
      <c r="Q77" s="4"/>
    </row>
    <row r="78" spans="2:17" ht="15.75" x14ac:dyDescent="0.25">
      <c r="B78" s="20"/>
      <c r="C78" s="152" t="s">
        <v>134</v>
      </c>
      <c r="D78" s="22"/>
      <c r="E78" s="177">
        <v>43575</v>
      </c>
      <c r="F78" s="161">
        <f>64080000+75000000</f>
        <v>139080000</v>
      </c>
      <c r="G78" s="24" t="s">
        <v>62</v>
      </c>
      <c r="H78" s="22"/>
      <c r="I78" s="34"/>
      <c r="J78" s="39">
        <f t="shared" si="3"/>
        <v>2107272.7272727271</v>
      </c>
      <c r="K78" s="26" t="s">
        <v>4</v>
      </c>
      <c r="L78" s="10"/>
      <c r="M78" s="3"/>
      <c r="N78" s="163"/>
      <c r="O78" s="3"/>
      <c r="P78" s="3"/>
      <c r="Q78" s="4"/>
    </row>
    <row r="79" spans="2:17" ht="15.75" x14ac:dyDescent="0.25">
      <c r="B79" s="20"/>
      <c r="C79" s="152" t="s">
        <v>134</v>
      </c>
      <c r="D79" s="22"/>
      <c r="E79" s="177">
        <v>43616</v>
      </c>
      <c r="F79" s="161">
        <v>100000000</v>
      </c>
      <c r="G79" s="24" t="s">
        <v>62</v>
      </c>
      <c r="H79" s="22"/>
      <c r="I79" s="34"/>
      <c r="J79" s="39">
        <f t="shared" si="3"/>
        <v>1515151.5151515151</v>
      </c>
      <c r="K79" s="26" t="s">
        <v>4</v>
      </c>
      <c r="L79" s="10"/>
      <c r="M79" s="3"/>
      <c r="N79" s="163"/>
      <c r="O79" s="3"/>
      <c r="P79" s="3"/>
      <c r="Q79" s="4"/>
    </row>
    <row r="80" spans="2:17" ht="15.75" x14ac:dyDescent="0.25">
      <c r="B80" s="20"/>
      <c r="C80" s="152" t="s">
        <v>134</v>
      </c>
      <c r="D80" s="22"/>
      <c r="E80" s="177">
        <v>43692</v>
      </c>
      <c r="F80" s="161">
        <v>112500000</v>
      </c>
      <c r="G80" s="24" t="s">
        <v>62</v>
      </c>
      <c r="H80" s="22"/>
      <c r="I80" s="34"/>
      <c r="J80" s="39">
        <f t="shared" si="3"/>
        <v>1704545.4545454546</v>
      </c>
      <c r="K80" s="26" t="s">
        <v>4</v>
      </c>
      <c r="L80" s="10"/>
      <c r="M80" s="3"/>
      <c r="N80" s="163"/>
      <c r="O80" s="3"/>
      <c r="P80" s="3"/>
      <c r="Q80" s="4"/>
    </row>
    <row r="81" spans="2:17" ht="15.75" x14ac:dyDescent="0.25">
      <c r="B81" s="20"/>
      <c r="C81" s="152" t="s">
        <v>134</v>
      </c>
      <c r="D81" s="22"/>
      <c r="E81" s="177">
        <v>43758</v>
      </c>
      <c r="F81" s="161">
        <v>64080000.000000007</v>
      </c>
      <c r="G81" s="24" t="s">
        <v>62</v>
      </c>
      <c r="H81" s="22"/>
      <c r="I81" s="34"/>
      <c r="J81" s="39">
        <f t="shared" si="3"/>
        <v>970909.09090909106</v>
      </c>
      <c r="K81" s="26" t="s">
        <v>4</v>
      </c>
      <c r="L81" s="10"/>
      <c r="M81" s="3"/>
      <c r="N81" s="163"/>
      <c r="O81" s="3"/>
      <c r="P81" s="3"/>
      <c r="Q81" s="4"/>
    </row>
    <row r="82" spans="2:17" ht="15.75" x14ac:dyDescent="0.25">
      <c r="B82" s="20"/>
      <c r="C82" s="152" t="s">
        <v>134</v>
      </c>
      <c r="D82" s="22"/>
      <c r="E82" s="177">
        <v>43789</v>
      </c>
      <c r="F82" s="161">
        <v>75000000</v>
      </c>
      <c r="G82" s="24" t="s">
        <v>62</v>
      </c>
      <c r="H82" s="22"/>
      <c r="I82" s="34"/>
      <c r="J82" s="39">
        <f t="shared" si="3"/>
        <v>1136363.6363636365</v>
      </c>
      <c r="K82" s="26" t="s">
        <v>4</v>
      </c>
      <c r="L82" s="10"/>
      <c r="M82" s="3"/>
      <c r="N82" s="163"/>
      <c r="O82" s="3"/>
      <c r="P82" s="3"/>
      <c r="Q82" s="4"/>
    </row>
    <row r="83" spans="2:17" ht="15.75" x14ac:dyDescent="0.25">
      <c r="B83" s="20"/>
      <c r="C83" s="152" t="s">
        <v>134</v>
      </c>
      <c r="D83" s="22"/>
      <c r="E83" s="177">
        <v>43917</v>
      </c>
      <c r="F83" s="161">
        <v>75000000</v>
      </c>
      <c r="G83" s="24" t="s">
        <v>62</v>
      </c>
      <c r="H83" s="22"/>
      <c r="I83" s="34"/>
      <c r="J83" s="39">
        <f t="shared" si="3"/>
        <v>1136363.6363636365</v>
      </c>
      <c r="K83" s="26" t="s">
        <v>4</v>
      </c>
      <c r="L83" s="10"/>
      <c r="M83" s="3"/>
      <c r="N83" s="163"/>
      <c r="O83" s="3"/>
      <c r="P83" s="3"/>
      <c r="Q83" s="4"/>
    </row>
    <row r="84" spans="2:17" ht="15.75" x14ac:dyDescent="0.25">
      <c r="B84" s="20"/>
      <c r="C84" s="152" t="s">
        <v>134</v>
      </c>
      <c r="D84" s="22"/>
      <c r="E84" s="177">
        <v>43938</v>
      </c>
      <c r="F84" s="161">
        <v>60520000.000000007</v>
      </c>
      <c r="G84" s="24" t="s">
        <v>62</v>
      </c>
      <c r="H84" s="22"/>
      <c r="I84" s="34"/>
      <c r="J84" s="39">
        <f t="shared" si="3"/>
        <v>916969.69696969714</v>
      </c>
      <c r="K84" s="26" t="s">
        <v>4</v>
      </c>
      <c r="L84" s="10"/>
      <c r="M84" s="3"/>
      <c r="N84" s="163"/>
      <c r="O84" s="3"/>
      <c r="P84" s="3"/>
      <c r="Q84" s="4"/>
    </row>
    <row r="85" spans="2:17" ht="15.75" x14ac:dyDescent="0.25">
      <c r="B85" s="20"/>
      <c r="C85" s="22"/>
      <c r="D85" s="22"/>
      <c r="E85" s="177"/>
      <c r="F85" s="161"/>
      <c r="G85" s="24"/>
      <c r="H85" s="22"/>
      <c r="I85" s="34"/>
      <c r="J85" s="161">
        <f>F85/J$6</f>
        <v>0</v>
      </c>
      <c r="K85" s="26" t="s">
        <v>4</v>
      </c>
      <c r="L85" s="10"/>
      <c r="M85" s="3"/>
      <c r="N85" s="163"/>
      <c r="O85" s="3"/>
      <c r="P85" s="3"/>
      <c r="Q85" s="4"/>
    </row>
    <row r="86" spans="2:17" ht="15.75" x14ac:dyDescent="0.25">
      <c r="B86" s="154"/>
      <c r="C86" s="64"/>
      <c r="D86" s="64"/>
      <c r="E86" s="64"/>
      <c r="F86" s="155"/>
      <c r="G86" s="156"/>
      <c r="H86" s="155"/>
      <c r="I86" s="157"/>
      <c r="J86" s="155"/>
      <c r="K86" s="158"/>
      <c r="L86" s="3"/>
      <c r="M86" s="3"/>
      <c r="N86" s="3"/>
      <c r="O86" s="3"/>
      <c r="P86" s="3"/>
      <c r="Q86" s="4"/>
    </row>
    <row r="87" spans="2:17" ht="16.5" thickBot="1" x14ac:dyDescent="0.3">
      <c r="B87" s="14"/>
      <c r="C87" s="44" t="s">
        <v>46</v>
      </c>
      <c r="D87" s="45"/>
      <c r="E87" s="45"/>
      <c r="F87" s="45"/>
      <c r="G87" s="46" t="s">
        <v>0</v>
      </c>
      <c r="H87" s="45"/>
      <c r="I87" s="45" t="s">
        <v>0</v>
      </c>
      <c r="J87" s="120">
        <f>SUM(J60:J86)</f>
        <v>79280303.030303031</v>
      </c>
      <c r="K87" s="47" t="s">
        <v>4</v>
      </c>
      <c r="L87" s="3"/>
      <c r="M87" s="3"/>
      <c r="N87" s="3"/>
      <c r="O87" s="3"/>
      <c r="P87" s="3"/>
      <c r="Q87" s="4"/>
    </row>
    <row r="88" spans="2:17" ht="15" x14ac:dyDescent="0.25">
      <c r="B88" s="86"/>
      <c r="C88" s="86"/>
      <c r="D88" s="86"/>
      <c r="E88" s="86"/>
      <c r="F88" s="86"/>
      <c r="G88" s="87"/>
      <c r="H88" s="86"/>
      <c r="I88" s="86"/>
      <c r="J88" s="86"/>
      <c r="K88" s="86"/>
      <c r="L88" s="3"/>
      <c r="M88" s="3"/>
      <c r="N88" s="3"/>
      <c r="O88" s="3"/>
      <c r="P88" s="3"/>
      <c r="Q88" s="4"/>
    </row>
    <row r="89" spans="2:17" ht="15" x14ac:dyDescent="0.25">
      <c r="B89" s="88" t="s">
        <v>30</v>
      </c>
      <c r="C89" s="89" t="s">
        <v>26</v>
      </c>
      <c r="D89" s="122" t="s">
        <v>0</v>
      </c>
      <c r="E89" s="91" t="s">
        <v>0</v>
      </c>
      <c r="F89" s="168">
        <v>0</v>
      </c>
      <c r="G89" s="90" t="s">
        <v>62</v>
      </c>
      <c r="H89" s="91"/>
      <c r="I89" s="91" t="s">
        <v>0</v>
      </c>
      <c r="J89" s="124">
        <f>F89/J6</f>
        <v>0</v>
      </c>
      <c r="K89" s="92" t="s">
        <v>4</v>
      </c>
      <c r="L89" s="3"/>
      <c r="M89" s="3"/>
      <c r="N89" s="3"/>
      <c r="O89" s="3"/>
      <c r="P89" s="3"/>
      <c r="Q89" s="4"/>
    </row>
    <row r="90" spans="2:17" ht="14.25" customHeight="1" x14ac:dyDescent="0.25">
      <c r="B90" s="93"/>
      <c r="C90" s="94" t="s">
        <v>25</v>
      </c>
      <c r="D90" s="123">
        <v>0</v>
      </c>
      <c r="E90" s="96" t="s">
        <v>0</v>
      </c>
      <c r="F90" s="169">
        <v>0</v>
      </c>
      <c r="G90" s="95" t="s">
        <v>62</v>
      </c>
      <c r="H90" s="96"/>
      <c r="I90" s="96" t="s">
        <v>0</v>
      </c>
      <c r="J90" s="125">
        <f>F90/J6</f>
        <v>0</v>
      </c>
      <c r="K90" s="97" t="s">
        <v>4</v>
      </c>
      <c r="L90" s="3"/>
      <c r="M90" s="3"/>
      <c r="N90" s="3"/>
      <c r="O90" s="3"/>
      <c r="P90" s="3"/>
      <c r="Q90" s="4"/>
    </row>
    <row r="91" spans="2:17" ht="15.75" thickBot="1" x14ac:dyDescent="0.3">
      <c r="L91" s="3"/>
      <c r="M91" s="3"/>
      <c r="N91" s="3"/>
      <c r="O91" s="3"/>
      <c r="P91" s="3"/>
      <c r="Q91" s="4"/>
    </row>
    <row r="92" spans="2:17" ht="15.75" x14ac:dyDescent="0.25">
      <c r="B92" s="144" t="s">
        <v>31</v>
      </c>
      <c r="C92" s="98" t="s">
        <v>70</v>
      </c>
      <c r="D92" s="126"/>
      <c r="E92" s="126"/>
      <c r="F92" s="127"/>
      <c r="G92" s="126"/>
      <c r="H92" s="171" t="s">
        <v>52</v>
      </c>
      <c r="I92" s="128"/>
      <c r="J92" s="162"/>
      <c r="K92" s="160"/>
      <c r="L92" s="3"/>
      <c r="M92" s="3"/>
      <c r="N92" s="3"/>
      <c r="O92" s="3"/>
      <c r="P92" s="3"/>
      <c r="Q92" s="4"/>
    </row>
    <row r="93" spans="2:17" ht="15" x14ac:dyDescent="0.25">
      <c r="B93" s="145"/>
      <c r="C93" s="83" t="s">
        <v>56</v>
      </c>
      <c r="D93" s="104" t="s">
        <v>36</v>
      </c>
      <c r="E93" s="104" t="s">
        <v>37</v>
      </c>
      <c r="F93" s="135" t="s">
        <v>32</v>
      </c>
      <c r="G93" s="104" t="s">
        <v>33</v>
      </c>
      <c r="H93" s="172">
        <v>2013</v>
      </c>
      <c r="I93" s="104">
        <v>2014</v>
      </c>
      <c r="J93" s="142">
        <v>2015</v>
      </c>
      <c r="K93" s="142" t="s">
        <v>165</v>
      </c>
      <c r="L93" s="3"/>
      <c r="M93" s="3"/>
      <c r="N93" s="3"/>
      <c r="O93" s="3"/>
      <c r="P93" s="3"/>
      <c r="Q93" s="4"/>
    </row>
    <row r="94" spans="2:17" ht="6.95" customHeight="1" x14ac:dyDescent="0.25">
      <c r="B94" s="145"/>
      <c r="C94" s="22"/>
      <c r="D94" s="104"/>
      <c r="E94" s="104"/>
      <c r="F94" s="135"/>
      <c r="G94" s="104"/>
      <c r="H94" s="172"/>
      <c r="I94" s="104"/>
      <c r="J94" s="142"/>
      <c r="K94" s="142"/>
      <c r="L94" s="3"/>
      <c r="M94" s="3"/>
      <c r="N94" s="3"/>
      <c r="O94" s="3"/>
      <c r="P94" s="3"/>
      <c r="Q94" s="4"/>
    </row>
    <row r="95" spans="2:17" ht="15.75" customHeight="1" x14ac:dyDescent="0.25">
      <c r="B95" s="145"/>
      <c r="C95" s="170" t="s">
        <v>69</v>
      </c>
      <c r="D95" s="101">
        <v>0.1076</v>
      </c>
      <c r="E95" s="101">
        <v>0.10859999999999999</v>
      </c>
      <c r="F95" s="102">
        <v>0.1096</v>
      </c>
      <c r="G95" s="101" t="s">
        <v>71</v>
      </c>
      <c r="H95" s="172"/>
      <c r="I95" s="104"/>
      <c r="J95" s="142"/>
      <c r="K95" s="142"/>
      <c r="L95" s="3"/>
      <c r="M95" s="3"/>
      <c r="N95" s="3"/>
      <c r="O95" s="3"/>
      <c r="P95" s="3"/>
      <c r="Q95" s="4"/>
    </row>
    <row r="96" spans="2:17" ht="15" x14ac:dyDescent="0.25">
      <c r="B96" s="145"/>
      <c r="C96" s="22" t="s">
        <v>4</v>
      </c>
      <c r="D96" s="101" t="s">
        <v>149</v>
      </c>
      <c r="E96" s="101" t="s">
        <v>150</v>
      </c>
      <c r="F96" s="102" t="s">
        <v>151</v>
      </c>
      <c r="G96" s="101" t="s">
        <v>152</v>
      </c>
      <c r="H96" s="173">
        <v>32.729199999999999</v>
      </c>
      <c r="I96" s="132">
        <v>56.258400000000002</v>
      </c>
      <c r="J96" s="143">
        <v>72.8827</v>
      </c>
      <c r="K96" s="143">
        <f>U3</f>
        <v>63.853099999999998</v>
      </c>
      <c r="L96" s="3"/>
      <c r="M96" s="3"/>
      <c r="N96" s="3"/>
      <c r="O96" s="3"/>
      <c r="P96" s="3"/>
      <c r="Q96" s="4"/>
    </row>
    <row r="97" spans="2:17" ht="15" x14ac:dyDescent="0.25">
      <c r="B97" s="145"/>
      <c r="C97" s="22" t="s">
        <v>1</v>
      </c>
      <c r="D97" s="101" t="s">
        <v>153</v>
      </c>
      <c r="E97" s="101" t="s">
        <v>154</v>
      </c>
      <c r="F97" s="102" t="s">
        <v>155</v>
      </c>
      <c r="G97" s="101" t="s">
        <v>156</v>
      </c>
      <c r="H97" s="173">
        <v>44.969900000000003</v>
      </c>
      <c r="I97" s="132">
        <v>68.342699999999994</v>
      </c>
      <c r="J97" s="143">
        <v>79.697199999999995</v>
      </c>
      <c r="K97" s="143">
        <f>X3</f>
        <v>70.557699999999997</v>
      </c>
      <c r="L97" s="3"/>
      <c r="M97" s="3"/>
      <c r="N97" s="3"/>
      <c r="O97" s="3"/>
      <c r="P97" s="3"/>
      <c r="Q97" s="4"/>
    </row>
    <row r="98" spans="2:17" ht="15" x14ac:dyDescent="0.25">
      <c r="B98" s="145"/>
      <c r="C98" s="22" t="s">
        <v>2</v>
      </c>
      <c r="D98" s="101" t="s">
        <v>157</v>
      </c>
      <c r="E98" s="101" t="s">
        <v>158</v>
      </c>
      <c r="F98" s="102" t="s">
        <v>159</v>
      </c>
      <c r="G98" s="101" t="s">
        <v>160</v>
      </c>
      <c r="H98" s="173">
        <v>53.9574</v>
      </c>
      <c r="I98" s="132">
        <v>87.419899999999998</v>
      </c>
      <c r="J98" s="143">
        <v>107.983</v>
      </c>
      <c r="K98" s="143">
        <f>AD3</f>
        <v>84.471299999999999</v>
      </c>
      <c r="L98" s="3"/>
      <c r="M98" s="3"/>
      <c r="N98" s="3"/>
      <c r="O98" s="3"/>
      <c r="P98" s="3"/>
      <c r="Q98" s="4"/>
    </row>
    <row r="99" spans="2:17" ht="15" x14ac:dyDescent="0.25">
      <c r="B99" s="146"/>
      <c r="C99" s="48" t="s">
        <v>67</v>
      </c>
      <c r="D99" s="101" t="s">
        <v>161</v>
      </c>
      <c r="E99" s="101" t="s">
        <v>162</v>
      </c>
      <c r="F99" s="102" t="s">
        <v>163</v>
      </c>
      <c r="G99" s="101" t="s">
        <v>164</v>
      </c>
      <c r="H99" s="174">
        <v>31.056799999999999</v>
      </c>
      <c r="I99" s="134">
        <v>47.064399999999999</v>
      </c>
      <c r="J99" s="143">
        <v>60.508699999999997</v>
      </c>
      <c r="K99" s="159">
        <v>63.374099999999999</v>
      </c>
      <c r="L99" s="3"/>
      <c r="M99" s="3"/>
      <c r="N99" s="3"/>
      <c r="O99" s="3"/>
      <c r="P99" s="3"/>
      <c r="Q99" s="4"/>
    </row>
    <row r="100" spans="2:17" ht="15.75" thickBot="1" x14ac:dyDescent="0.3">
      <c r="B100" s="147"/>
      <c r="C100" s="80" t="s">
        <v>54</v>
      </c>
      <c r="D100" s="140" t="s">
        <v>0</v>
      </c>
      <c r="E100" s="140"/>
      <c r="F100" s="141"/>
      <c r="G100" s="140"/>
      <c r="H100" s="175">
        <v>1.3739993644818695</v>
      </c>
      <c r="I100" s="175">
        <v>1.214799923211467</v>
      </c>
      <c r="J100" s="175">
        <v>1.0934995547640249</v>
      </c>
      <c r="K100" s="175">
        <f>K97/K96</f>
        <v>1.1050003836931959</v>
      </c>
      <c r="L100" s="3"/>
      <c r="M100" s="3"/>
      <c r="N100" s="3"/>
      <c r="O100" s="3"/>
      <c r="P100" s="3"/>
      <c r="Q100" s="4"/>
    </row>
    <row r="101" spans="2:17" ht="6.95" customHeight="1" x14ac:dyDescent="0.25">
      <c r="B101" s="20"/>
      <c r="C101" s="22"/>
      <c r="D101" s="101"/>
      <c r="E101" s="101"/>
      <c r="F101" s="102"/>
      <c r="G101" s="101"/>
      <c r="H101" s="210"/>
      <c r="I101" s="209"/>
      <c r="J101" s="132"/>
      <c r="K101" s="133"/>
      <c r="L101" s="3"/>
      <c r="M101" s="3"/>
      <c r="N101" s="3"/>
      <c r="O101" s="3"/>
      <c r="P101" s="3"/>
      <c r="Q101" s="4"/>
    </row>
    <row r="102" spans="2:17" ht="15.75" x14ac:dyDescent="0.25">
      <c r="B102" s="20" t="s">
        <v>50</v>
      </c>
      <c r="C102" s="100" t="s">
        <v>51</v>
      </c>
      <c r="D102" s="104"/>
      <c r="E102" s="104"/>
      <c r="F102" s="104" t="s">
        <v>0</v>
      </c>
      <c r="G102" s="104"/>
      <c r="H102" s="103"/>
      <c r="I102" s="104">
        <v>2016</v>
      </c>
      <c r="J102" s="104">
        <v>2016</v>
      </c>
      <c r="K102" s="103">
        <v>2016</v>
      </c>
      <c r="L102" s="3"/>
      <c r="M102" s="3"/>
      <c r="N102" s="3"/>
      <c r="O102" s="3"/>
      <c r="P102" s="3"/>
      <c r="Q102" s="4"/>
    </row>
    <row r="103" spans="2:17" ht="15" x14ac:dyDescent="0.25">
      <c r="B103" s="20"/>
      <c r="C103" s="49"/>
      <c r="D103" s="104">
        <v>2011</v>
      </c>
      <c r="E103" s="104">
        <v>2012</v>
      </c>
      <c r="F103" s="104">
        <v>2013</v>
      </c>
      <c r="G103" s="104">
        <v>2014</v>
      </c>
      <c r="H103" s="103">
        <v>2015</v>
      </c>
      <c r="I103" s="104" t="s">
        <v>131</v>
      </c>
      <c r="J103" s="104" t="s">
        <v>55</v>
      </c>
      <c r="K103" s="103" t="s">
        <v>38</v>
      </c>
      <c r="L103" s="3"/>
      <c r="M103" s="3"/>
      <c r="N103" s="3"/>
      <c r="O103" s="3"/>
      <c r="P103" s="3"/>
      <c r="Q103" s="4"/>
    </row>
    <row r="104" spans="2:17" ht="15" x14ac:dyDescent="0.25">
      <c r="B104" s="20"/>
      <c r="C104" s="130" t="s">
        <v>34</v>
      </c>
      <c r="D104" s="129">
        <v>6.0999999999999999E-2</v>
      </c>
      <c r="E104" s="129">
        <v>6.6000000000000003E-2</v>
      </c>
      <c r="F104" s="129">
        <v>6.5000000000000002E-2</v>
      </c>
      <c r="G104" s="129">
        <v>0.114</v>
      </c>
      <c r="H104" s="138">
        <v>0.129</v>
      </c>
      <c r="I104" s="149">
        <v>7.4999999999999997E-2</v>
      </c>
      <c r="J104" s="129"/>
      <c r="K104" s="138"/>
    </row>
    <row r="105" spans="2:17" ht="15" x14ac:dyDescent="0.25">
      <c r="B105" s="21"/>
      <c r="C105" s="136" t="s">
        <v>35</v>
      </c>
      <c r="D105" s="137">
        <v>0.12</v>
      </c>
      <c r="E105" s="137">
        <v>5.0999999999999997E-2</v>
      </c>
      <c r="F105" s="137">
        <v>3.6999999999999998E-2</v>
      </c>
      <c r="G105" s="137">
        <v>5.8999999999999997E-2</v>
      </c>
      <c r="H105" s="139">
        <v>0.107</v>
      </c>
      <c r="I105" s="150"/>
      <c r="J105" s="137"/>
      <c r="K105" s="139"/>
    </row>
    <row r="107" spans="2:17" ht="14.25" x14ac:dyDescent="0.2">
      <c r="D107" s="180"/>
      <c r="E107" s="180"/>
      <c r="F107" s="180"/>
      <c r="G107" s="180"/>
    </row>
    <row r="108" spans="2:17" ht="14.25" x14ac:dyDescent="0.2">
      <c r="C108" s="2"/>
      <c r="D108" s="180"/>
      <c r="E108" s="180"/>
      <c r="F108" s="180"/>
      <c r="G108" s="180"/>
      <c r="H108" s="2"/>
      <c r="I108" s="2"/>
      <c r="J108" s="2"/>
      <c r="K108" s="2"/>
    </row>
    <row r="109" spans="2:17" ht="14.25" x14ac:dyDescent="0.2">
      <c r="C109" s="2"/>
      <c r="D109" s="180"/>
      <c r="E109" s="180"/>
      <c r="F109" s="180"/>
      <c r="G109" s="180"/>
      <c r="H109" s="2"/>
      <c r="I109" s="2"/>
      <c r="J109" s="2"/>
      <c r="K109" s="2"/>
    </row>
    <row r="110" spans="2:17" x14ac:dyDescent="0.2">
      <c r="C110" s="2"/>
      <c r="D110" s="2"/>
      <c r="E110" s="2"/>
      <c r="F110" s="2"/>
      <c r="G110" s="5"/>
      <c r="H110" s="2"/>
      <c r="I110" s="2"/>
      <c r="J110" s="2"/>
      <c r="K110" s="2"/>
    </row>
    <row r="111" spans="2:17" x14ac:dyDescent="0.2">
      <c r="C111" s="2"/>
      <c r="D111" s="2"/>
      <c r="E111" s="2"/>
      <c r="F111" s="2"/>
      <c r="G111" s="5"/>
      <c r="H111" s="2"/>
      <c r="I111" s="2"/>
      <c r="J111" s="2"/>
      <c r="K111" s="2"/>
    </row>
    <row r="112" spans="2:17" x14ac:dyDescent="0.2">
      <c r="C112" s="2"/>
      <c r="D112" s="2"/>
      <c r="E112" s="2"/>
      <c r="F112" s="2"/>
      <c r="G112" s="5"/>
      <c r="H112" s="2"/>
      <c r="I112" s="2"/>
      <c r="J112" s="2"/>
      <c r="K112" s="2"/>
    </row>
    <row r="113" spans="3:11" x14ac:dyDescent="0.2">
      <c r="C113" s="2"/>
      <c r="D113" s="2"/>
      <c r="E113" s="2"/>
      <c r="F113" s="2"/>
      <c r="G113" s="5"/>
      <c r="H113" s="2"/>
      <c r="I113" s="2"/>
      <c r="J113" s="2"/>
      <c r="K113" s="2"/>
    </row>
    <row r="114" spans="3:11" x14ac:dyDescent="0.2">
      <c r="C114" s="2"/>
      <c r="D114" s="2"/>
      <c r="E114" s="2"/>
      <c r="F114" s="2"/>
      <c r="G114" s="5"/>
      <c r="H114" s="2"/>
      <c r="I114" s="2"/>
      <c r="J114" s="2"/>
      <c r="K114" s="2"/>
    </row>
    <row r="115" spans="3:11" x14ac:dyDescent="0.2">
      <c r="C115" s="2"/>
      <c r="D115" s="2"/>
      <c r="E115" s="2"/>
      <c r="F115" s="2"/>
      <c r="G115" s="5"/>
      <c r="H115" s="2"/>
      <c r="I115" s="2"/>
      <c r="J115" s="2"/>
      <c r="K115" s="2"/>
    </row>
    <row r="116" spans="3:11" x14ac:dyDescent="0.2">
      <c r="C116" s="2"/>
      <c r="D116" s="2"/>
      <c r="E116" s="2"/>
      <c r="F116" s="2"/>
      <c r="G116" s="5"/>
      <c r="H116" s="2"/>
      <c r="I116" s="2"/>
      <c r="J116" s="2"/>
      <c r="K116" s="2"/>
    </row>
    <row r="117" spans="3:11" x14ac:dyDescent="0.2">
      <c r="C117" s="2"/>
      <c r="D117" s="2"/>
      <c r="E117" s="2"/>
      <c r="F117" s="2"/>
      <c r="G117" s="5"/>
      <c r="H117" s="2"/>
      <c r="I117" s="2"/>
      <c r="J117" s="2"/>
      <c r="K117" s="2"/>
    </row>
    <row r="118" spans="3:11" x14ac:dyDescent="0.2">
      <c r="C118" s="2"/>
      <c r="D118" s="2"/>
      <c r="E118" s="2"/>
      <c r="F118" s="2"/>
      <c r="G118" s="5"/>
      <c r="H118" s="2"/>
      <c r="I118" s="2"/>
      <c r="J118" s="2"/>
      <c r="K118" s="2"/>
    </row>
    <row r="119" spans="3:11" x14ac:dyDescent="0.2">
      <c r="C119" s="2"/>
      <c r="D119" s="2"/>
      <c r="E119" s="2"/>
      <c r="F119" s="2"/>
      <c r="G119" s="5"/>
      <c r="H119" s="2"/>
      <c r="I119" s="2"/>
      <c r="J119" s="2"/>
      <c r="K119" s="2"/>
    </row>
    <row r="120" spans="3:11" x14ac:dyDescent="0.2">
      <c r="C120" s="2"/>
      <c r="D120" s="2"/>
      <c r="E120" s="2"/>
      <c r="F120" s="2"/>
      <c r="G120" s="5"/>
      <c r="H120" s="2"/>
      <c r="I120" s="2"/>
      <c r="J120" s="2"/>
      <c r="K120" s="2"/>
    </row>
    <row r="121" spans="3:11" x14ac:dyDescent="0.2">
      <c r="C121" s="2"/>
      <c r="D121" s="2"/>
      <c r="E121" s="2"/>
      <c r="F121" s="2"/>
      <c r="G121" s="5"/>
      <c r="H121" s="2"/>
      <c r="I121" s="2"/>
      <c r="J121" s="2"/>
      <c r="K121" s="2"/>
    </row>
    <row r="122" spans="3:11" x14ac:dyDescent="0.2">
      <c r="C122" s="2"/>
      <c r="D122" s="2"/>
      <c r="E122" s="2"/>
      <c r="F122" s="2"/>
      <c r="G122" s="5"/>
      <c r="H122" s="2"/>
      <c r="I122" s="2"/>
      <c r="J122" s="2"/>
      <c r="K122" s="2"/>
    </row>
    <row r="123" spans="3:11" x14ac:dyDescent="0.2">
      <c r="C123" s="2"/>
      <c r="D123" s="2"/>
      <c r="E123" s="2"/>
      <c r="F123" s="2"/>
      <c r="G123" s="5"/>
      <c r="H123" s="2"/>
      <c r="I123" s="2"/>
      <c r="J123" s="2"/>
      <c r="K123" s="2"/>
    </row>
    <row r="124" spans="3:11" x14ac:dyDescent="0.2">
      <c r="C124" s="2"/>
      <c r="D124" s="2"/>
      <c r="E124" s="2"/>
      <c r="F124" s="2"/>
      <c r="G124" s="5"/>
      <c r="H124" s="2"/>
      <c r="I124" s="2"/>
      <c r="J124" s="2"/>
      <c r="K124" s="2"/>
    </row>
    <row r="125" spans="3:11" x14ac:dyDescent="0.2">
      <c r="C125" s="2"/>
      <c r="D125" s="2"/>
      <c r="E125" s="2"/>
      <c r="F125" s="2"/>
      <c r="G125" s="5"/>
      <c r="H125" s="2"/>
      <c r="I125" s="2"/>
      <c r="J125" s="2"/>
      <c r="K125" s="2"/>
    </row>
    <row r="126" spans="3:11" x14ac:dyDescent="0.2">
      <c r="C126" s="2"/>
      <c r="D126" s="2"/>
      <c r="E126" s="2"/>
      <c r="F126" s="2"/>
      <c r="G126" s="5"/>
      <c r="H126" s="2"/>
      <c r="I126" s="2"/>
      <c r="J126" s="2"/>
      <c r="K126" s="2"/>
    </row>
    <row r="127" spans="3:11" x14ac:dyDescent="0.2">
      <c r="C127" s="2"/>
      <c r="D127" s="2"/>
      <c r="E127" s="2"/>
      <c r="F127" s="2"/>
      <c r="G127" s="5"/>
      <c r="H127" s="2"/>
      <c r="I127" s="2"/>
      <c r="J127" s="2"/>
      <c r="K127" s="2"/>
    </row>
    <row r="128" spans="3:11" x14ac:dyDescent="0.2">
      <c r="C128" s="2"/>
      <c r="D128" s="2"/>
      <c r="E128" s="2"/>
      <c r="F128" s="2"/>
      <c r="G128" s="5"/>
      <c r="H128" s="2"/>
      <c r="I128" s="2"/>
      <c r="J128" s="2"/>
      <c r="K128" s="2"/>
    </row>
    <row r="129" spans="3:11" x14ac:dyDescent="0.2">
      <c r="C129" s="2"/>
      <c r="D129" s="2"/>
      <c r="E129" s="2"/>
      <c r="F129" s="2"/>
      <c r="G129" s="5"/>
      <c r="H129" s="2"/>
      <c r="I129" s="2"/>
      <c r="J129" s="2"/>
      <c r="K129" s="2"/>
    </row>
    <row r="130" spans="3:11" x14ac:dyDescent="0.2">
      <c r="C130" s="2"/>
      <c r="D130" s="2"/>
      <c r="E130" s="2"/>
      <c r="F130" s="2"/>
      <c r="G130" s="5"/>
      <c r="H130" s="2"/>
      <c r="I130" s="2"/>
      <c r="J130" s="2"/>
      <c r="K130" s="2"/>
    </row>
    <row r="131" spans="3:11" x14ac:dyDescent="0.2">
      <c r="C131" s="2"/>
      <c r="D131" s="2"/>
      <c r="E131" s="2"/>
      <c r="F131" s="2"/>
      <c r="G131" s="5"/>
      <c r="H131" s="2"/>
      <c r="I131" s="2"/>
      <c r="J131" s="2"/>
      <c r="K131" s="2"/>
    </row>
    <row r="132" spans="3:11" x14ac:dyDescent="0.2">
      <c r="C132" s="2"/>
      <c r="D132" s="2"/>
      <c r="E132" s="2"/>
      <c r="F132" s="2"/>
      <c r="G132" s="5"/>
      <c r="H132" s="2"/>
      <c r="I132" s="2"/>
      <c r="J132" s="2"/>
      <c r="K132" s="2"/>
    </row>
    <row r="133" spans="3:11" x14ac:dyDescent="0.2">
      <c r="C133" s="2"/>
      <c r="D133" s="2"/>
      <c r="E133" s="2"/>
      <c r="F133" s="2"/>
      <c r="G133" s="5"/>
      <c r="H133" s="2"/>
      <c r="I133" s="2"/>
      <c r="J133" s="2"/>
      <c r="K133" s="2"/>
    </row>
    <row r="134" spans="3:11" x14ac:dyDescent="0.2">
      <c r="C134" s="2"/>
      <c r="D134" s="2"/>
      <c r="E134" s="2"/>
      <c r="F134" s="2"/>
      <c r="G134" s="5"/>
      <c r="H134" s="2"/>
      <c r="I134" s="2"/>
      <c r="J134" s="2"/>
      <c r="K134" s="2"/>
    </row>
    <row r="135" spans="3:11" x14ac:dyDescent="0.2">
      <c r="C135" s="2"/>
      <c r="D135" s="2"/>
      <c r="E135" s="2"/>
      <c r="F135" s="2"/>
      <c r="G135" s="5"/>
      <c r="H135" s="2"/>
      <c r="I135" s="2"/>
      <c r="J135" s="2"/>
      <c r="K135" s="2"/>
    </row>
    <row r="136" spans="3:11" x14ac:dyDescent="0.2">
      <c r="C136" s="2"/>
      <c r="D136" s="2"/>
      <c r="E136" s="2"/>
      <c r="F136" s="2"/>
      <c r="G136" s="5"/>
      <c r="H136" s="2"/>
      <c r="I136" s="2"/>
      <c r="J136" s="2"/>
      <c r="K136" s="2"/>
    </row>
    <row r="137" spans="3:11" x14ac:dyDescent="0.2">
      <c r="C137" s="2"/>
      <c r="D137" s="2"/>
      <c r="E137" s="2"/>
      <c r="F137" s="2"/>
      <c r="G137" s="5"/>
      <c r="H137" s="2"/>
      <c r="I137" s="2"/>
      <c r="J137" s="2"/>
      <c r="K137" s="2"/>
    </row>
    <row r="138" spans="3:11" x14ac:dyDescent="0.2">
      <c r="C138" s="2"/>
      <c r="D138" s="2"/>
      <c r="E138" s="2"/>
      <c r="F138" s="2"/>
      <c r="G138" s="5"/>
      <c r="H138" s="2"/>
      <c r="I138" s="2"/>
      <c r="J138" s="2"/>
      <c r="K138" s="2"/>
    </row>
    <row r="139" spans="3:11" x14ac:dyDescent="0.2">
      <c r="C139" s="2"/>
      <c r="D139" s="2"/>
      <c r="E139" s="2"/>
      <c r="F139" s="2"/>
      <c r="G139" s="5"/>
      <c r="H139" s="2"/>
      <c r="I139" s="2"/>
      <c r="J139" s="2"/>
      <c r="K139" s="2"/>
    </row>
    <row r="140" spans="3:11" x14ac:dyDescent="0.2">
      <c r="C140" s="2"/>
      <c r="D140" s="2"/>
      <c r="E140" s="2"/>
      <c r="F140" s="2"/>
      <c r="G140" s="5"/>
      <c r="H140" s="2"/>
      <c r="I140" s="2"/>
      <c r="J140" s="2"/>
      <c r="K140" s="2"/>
    </row>
    <row r="141" spans="3:11" x14ac:dyDescent="0.2">
      <c r="C141" s="2"/>
      <c r="D141" s="2"/>
      <c r="E141" s="2"/>
      <c r="F141" s="2"/>
      <c r="G141" s="5"/>
      <c r="H141" s="2"/>
      <c r="I141" s="2"/>
      <c r="J141" s="2"/>
      <c r="K141" s="2"/>
    </row>
    <row r="142" spans="3:11" x14ac:dyDescent="0.2">
      <c r="C142" s="2"/>
      <c r="D142" s="2"/>
      <c r="E142" s="2"/>
      <c r="F142" s="2"/>
      <c r="G142" s="5"/>
      <c r="H142" s="2"/>
      <c r="I142" s="2"/>
      <c r="J142" s="2"/>
      <c r="K142" s="2"/>
    </row>
    <row r="143" spans="3:11" x14ac:dyDescent="0.2">
      <c r="C143" s="2"/>
      <c r="D143" s="2"/>
      <c r="E143" s="2"/>
      <c r="F143" s="2"/>
      <c r="G143" s="5"/>
      <c r="H143" s="2"/>
      <c r="I143" s="2"/>
      <c r="J143" s="2"/>
      <c r="K143" s="2"/>
    </row>
    <row r="144" spans="3:11" x14ac:dyDescent="0.2">
      <c r="C144" s="2"/>
      <c r="D144" s="2"/>
      <c r="E144" s="2"/>
      <c r="F144" s="2"/>
      <c r="G144" s="5"/>
      <c r="H144" s="2"/>
      <c r="I144" s="2"/>
      <c r="J144" s="2"/>
      <c r="K144" s="2"/>
    </row>
    <row r="145" spans="3:11" x14ac:dyDescent="0.2">
      <c r="C145" s="2"/>
      <c r="D145" s="2"/>
      <c r="E145" s="2"/>
      <c r="F145" s="2"/>
      <c r="G145" s="5"/>
      <c r="H145" s="2"/>
      <c r="I145" s="2"/>
      <c r="J145" s="2"/>
      <c r="K145" s="2"/>
    </row>
    <row r="146" spans="3:11" x14ac:dyDescent="0.2">
      <c r="C146" s="2"/>
      <c r="D146" s="2"/>
      <c r="E146" s="2"/>
      <c r="F146" s="2"/>
      <c r="G146" s="5"/>
      <c r="H146" s="2"/>
      <c r="I146" s="2"/>
      <c r="J146" s="2"/>
      <c r="K146" s="2"/>
    </row>
    <row r="147" spans="3:11" x14ac:dyDescent="0.2">
      <c r="C147" s="2"/>
      <c r="D147" s="2"/>
      <c r="E147" s="2"/>
      <c r="F147" s="2"/>
      <c r="G147" s="5"/>
      <c r="H147" s="2"/>
      <c r="I147" s="2"/>
      <c r="J147" s="2"/>
      <c r="K147" s="2"/>
    </row>
    <row r="148" spans="3:11" x14ac:dyDescent="0.2">
      <c r="C148" s="2"/>
      <c r="D148" s="2"/>
      <c r="E148" s="2"/>
      <c r="F148" s="2"/>
      <c r="G148" s="5"/>
      <c r="H148" s="2"/>
      <c r="I148" s="2"/>
      <c r="J148" s="2"/>
      <c r="K148" s="2"/>
    </row>
    <row r="149" spans="3:11" x14ac:dyDescent="0.2">
      <c r="C149" s="2"/>
      <c r="D149" s="2"/>
      <c r="E149" s="2"/>
      <c r="F149" s="2"/>
      <c r="G149" s="5"/>
      <c r="H149" s="2"/>
      <c r="I149" s="2"/>
      <c r="J149" s="2"/>
      <c r="K149" s="2"/>
    </row>
    <row r="150" spans="3:11" x14ac:dyDescent="0.2">
      <c r="C150" s="2"/>
      <c r="D150" s="2"/>
      <c r="E150" s="2"/>
      <c r="F150" s="2"/>
      <c r="G150" s="5"/>
      <c r="H150" s="2"/>
      <c r="I150" s="2"/>
      <c r="J150" s="2"/>
      <c r="K150" s="2"/>
    </row>
    <row r="151" spans="3:11" x14ac:dyDescent="0.2">
      <c r="C151" s="2"/>
      <c r="D151" s="2"/>
      <c r="E151" s="2"/>
      <c r="F151" s="2"/>
      <c r="G151" s="5"/>
      <c r="H151" s="2"/>
      <c r="I151" s="2"/>
      <c r="J151" s="2"/>
      <c r="K151" s="2"/>
    </row>
    <row r="152" spans="3:11" x14ac:dyDescent="0.2">
      <c r="C152" s="2"/>
      <c r="D152" s="2"/>
      <c r="E152" s="2"/>
      <c r="F152" s="2"/>
      <c r="G152" s="5"/>
      <c r="H152" s="2"/>
      <c r="I152" s="2"/>
      <c r="J152" s="2"/>
      <c r="K152" s="2"/>
    </row>
    <row r="153" spans="3:11" x14ac:dyDescent="0.2">
      <c r="C153" s="2"/>
      <c r="D153" s="2"/>
      <c r="E153" s="2"/>
      <c r="F153" s="2"/>
      <c r="G153" s="5"/>
      <c r="H153" s="2"/>
      <c r="I153" s="2"/>
      <c r="J153" s="2"/>
      <c r="K153" s="2"/>
    </row>
    <row r="154" spans="3:11" x14ac:dyDescent="0.2">
      <c r="C154" s="2"/>
      <c r="D154" s="2"/>
      <c r="E154" s="2"/>
      <c r="F154" s="2"/>
      <c r="G154" s="5"/>
      <c r="H154" s="2"/>
      <c r="I154" s="2"/>
      <c r="J154" s="2"/>
      <c r="K154" s="2"/>
    </row>
    <row r="155" spans="3:11" x14ac:dyDescent="0.2">
      <c r="C155" s="2"/>
      <c r="D155" s="2"/>
      <c r="E155" s="2"/>
      <c r="F155" s="2"/>
      <c r="G155" s="5"/>
      <c r="H155" s="2"/>
      <c r="I155" s="2"/>
      <c r="J155" s="2"/>
      <c r="K155" s="2"/>
    </row>
    <row r="156" spans="3:11" x14ac:dyDescent="0.2">
      <c r="C156" s="2"/>
      <c r="D156" s="2"/>
      <c r="E156" s="2"/>
      <c r="F156" s="2"/>
      <c r="G156" s="5"/>
      <c r="H156" s="2"/>
      <c r="I156" s="2"/>
      <c r="J156" s="2"/>
      <c r="K156" s="2"/>
    </row>
    <row r="157" spans="3:11" x14ac:dyDescent="0.2">
      <c r="C157" s="2"/>
      <c r="D157" s="2"/>
      <c r="E157" s="2"/>
      <c r="F157" s="2"/>
      <c r="G157" s="5"/>
      <c r="H157" s="2"/>
      <c r="I157" s="2"/>
      <c r="J157" s="2"/>
      <c r="K157" s="2"/>
    </row>
    <row r="158" spans="3:11" x14ac:dyDescent="0.2">
      <c r="C158" s="2"/>
      <c r="D158" s="2"/>
      <c r="E158" s="2"/>
      <c r="F158" s="2"/>
      <c r="G158" s="5"/>
      <c r="H158" s="2"/>
      <c r="I158" s="2"/>
      <c r="J158" s="2"/>
      <c r="K158" s="2"/>
    </row>
    <row r="159" spans="3:11" x14ac:dyDescent="0.2">
      <c r="C159" s="2"/>
      <c r="D159" s="2"/>
      <c r="E159" s="2"/>
      <c r="F159" s="2"/>
      <c r="G159" s="5"/>
      <c r="H159" s="2"/>
      <c r="I159" s="2"/>
      <c r="J159" s="2"/>
      <c r="K159" s="2"/>
    </row>
    <row r="160" spans="3:11" x14ac:dyDescent="0.2">
      <c r="C160" s="2"/>
      <c r="D160" s="2"/>
      <c r="E160" s="2"/>
      <c r="F160" s="2"/>
      <c r="G160" s="5"/>
      <c r="H160" s="2"/>
      <c r="I160" s="2"/>
      <c r="J160" s="2"/>
      <c r="K160" s="2"/>
    </row>
    <row r="161" spans="3:11" x14ac:dyDescent="0.2">
      <c r="C161" s="2"/>
      <c r="D161" s="2"/>
      <c r="E161" s="2"/>
      <c r="F161" s="2"/>
      <c r="G161" s="5"/>
      <c r="H161" s="2"/>
      <c r="I161" s="2"/>
      <c r="J161" s="2"/>
      <c r="K161" s="2"/>
    </row>
    <row r="162" spans="3:11" x14ac:dyDescent="0.2">
      <c r="C162" s="2"/>
      <c r="D162" s="2"/>
      <c r="E162" s="2"/>
      <c r="F162" s="2"/>
      <c r="G162" s="5"/>
      <c r="H162" s="2"/>
      <c r="I162" s="2"/>
      <c r="J162" s="2"/>
      <c r="K162" s="2"/>
    </row>
    <row r="163" spans="3:11" x14ac:dyDescent="0.2">
      <c r="C163" s="2"/>
      <c r="D163" s="2"/>
      <c r="E163" s="2"/>
      <c r="F163" s="2"/>
      <c r="G163" s="5"/>
      <c r="H163" s="2"/>
      <c r="I163" s="2"/>
      <c r="J163" s="2"/>
      <c r="K163" s="2"/>
    </row>
    <row r="164" spans="3:11" x14ac:dyDescent="0.2">
      <c r="C164" s="2"/>
      <c r="D164" s="2"/>
      <c r="E164" s="2"/>
      <c r="F164" s="2"/>
      <c r="G164" s="5"/>
      <c r="H164" s="2"/>
      <c r="I164" s="2"/>
      <c r="J164" s="2"/>
      <c r="K164" s="2"/>
    </row>
    <row r="165" spans="3:11" x14ac:dyDescent="0.2">
      <c r="C165" s="2"/>
      <c r="D165" s="2"/>
      <c r="E165" s="2"/>
      <c r="F165" s="2"/>
      <c r="G165" s="5"/>
      <c r="H165" s="2"/>
      <c r="I165" s="2"/>
      <c r="J165" s="2"/>
      <c r="K165" s="2"/>
    </row>
    <row r="166" spans="3:11" x14ac:dyDescent="0.2">
      <c r="C166" s="2"/>
      <c r="D166" s="2"/>
      <c r="E166" s="2"/>
      <c r="F166" s="2"/>
      <c r="G166" s="5"/>
      <c r="H166" s="2"/>
      <c r="I166" s="2"/>
      <c r="J166" s="2"/>
      <c r="K166" s="2"/>
    </row>
    <row r="167" spans="3:11" x14ac:dyDescent="0.2">
      <c r="C167" s="2"/>
      <c r="D167" s="2"/>
      <c r="E167" s="2"/>
      <c r="F167" s="2"/>
      <c r="G167" s="5"/>
      <c r="H167" s="2"/>
      <c r="I167" s="2"/>
      <c r="J167" s="2"/>
      <c r="K167" s="2"/>
    </row>
    <row r="168" spans="3:11" x14ac:dyDescent="0.2">
      <c r="C168" s="2"/>
      <c r="D168" s="2"/>
      <c r="E168" s="2"/>
      <c r="F168" s="2"/>
      <c r="G168" s="5"/>
      <c r="H168" s="2"/>
      <c r="I168" s="2"/>
      <c r="J168" s="2"/>
      <c r="K168" s="2"/>
    </row>
    <row r="169" spans="3:11" x14ac:dyDescent="0.2">
      <c r="C169" s="2"/>
      <c r="D169" s="2"/>
      <c r="E169" s="2"/>
      <c r="F169" s="2"/>
      <c r="G169" s="5"/>
      <c r="H169" s="2"/>
      <c r="I169" s="2"/>
      <c r="J169" s="2"/>
      <c r="K169" s="2"/>
    </row>
    <row r="170" spans="3:11" x14ac:dyDescent="0.2">
      <c r="C170" s="2"/>
      <c r="D170" s="2"/>
      <c r="E170" s="2"/>
      <c r="F170" s="2"/>
      <c r="G170" s="5"/>
      <c r="H170" s="2"/>
      <c r="I170" s="2"/>
      <c r="J170" s="2"/>
      <c r="K170" s="2"/>
    </row>
    <row r="171" spans="3:11" x14ac:dyDescent="0.2">
      <c r="C171" s="2"/>
      <c r="D171" s="2"/>
      <c r="E171" s="2"/>
      <c r="F171" s="2"/>
      <c r="G171" s="5"/>
      <c r="H171" s="2"/>
      <c r="I171" s="2"/>
      <c r="J171" s="2"/>
      <c r="K171" s="2"/>
    </row>
    <row r="172" spans="3:11" x14ac:dyDescent="0.2">
      <c r="C172" s="2"/>
      <c r="D172" s="2"/>
      <c r="E172" s="2"/>
      <c r="F172" s="2"/>
      <c r="G172" s="5"/>
      <c r="H172" s="2"/>
      <c r="I172" s="2"/>
      <c r="J172" s="2"/>
      <c r="K172" s="2"/>
    </row>
    <row r="173" spans="3:11" x14ac:dyDescent="0.2">
      <c r="C173" s="2"/>
      <c r="D173" s="2"/>
      <c r="E173" s="2"/>
      <c r="F173" s="2"/>
      <c r="G173" s="5"/>
      <c r="H173" s="2"/>
      <c r="I173" s="2"/>
      <c r="J173" s="2"/>
      <c r="K173" s="2"/>
    </row>
    <row r="174" spans="3:11" x14ac:dyDescent="0.2">
      <c r="C174" s="2"/>
      <c r="D174" s="2"/>
      <c r="E174" s="2"/>
      <c r="F174" s="2"/>
      <c r="G174" s="5"/>
      <c r="H174" s="2"/>
      <c r="I174" s="2"/>
      <c r="J174" s="2"/>
      <c r="K174" s="2"/>
    </row>
    <row r="175" spans="3:11" x14ac:dyDescent="0.2">
      <c r="C175" s="2"/>
      <c r="D175" s="2"/>
      <c r="E175" s="2"/>
      <c r="F175" s="2"/>
      <c r="G175" s="5"/>
      <c r="H175" s="2"/>
      <c r="I175" s="2"/>
      <c r="J175" s="2"/>
      <c r="K175" s="2"/>
    </row>
    <row r="176" spans="3:11" x14ac:dyDescent="0.2">
      <c r="C176" s="2"/>
      <c r="D176" s="2"/>
      <c r="E176" s="2"/>
      <c r="F176" s="2"/>
      <c r="G176" s="5"/>
      <c r="H176" s="2"/>
      <c r="I176" s="2"/>
      <c r="J176" s="2"/>
      <c r="K176" s="2"/>
    </row>
    <row r="177" spans="3:11" x14ac:dyDescent="0.2">
      <c r="C177" s="2"/>
      <c r="D177" s="2"/>
      <c r="E177" s="2"/>
      <c r="F177" s="2"/>
      <c r="G177" s="5"/>
      <c r="H177" s="2"/>
      <c r="I177" s="2"/>
      <c r="J177" s="2"/>
      <c r="K177" s="2"/>
    </row>
    <row r="178" spans="3:11" x14ac:dyDescent="0.2">
      <c r="C178" s="2"/>
      <c r="D178" s="2"/>
      <c r="E178" s="2"/>
      <c r="F178" s="2"/>
      <c r="G178" s="5"/>
      <c r="H178" s="2"/>
      <c r="I178" s="2"/>
      <c r="J178" s="2"/>
      <c r="K178" s="2"/>
    </row>
    <row r="179" spans="3:11" x14ac:dyDescent="0.2">
      <c r="C179" s="2"/>
      <c r="D179" s="2"/>
      <c r="E179" s="2"/>
      <c r="F179" s="2"/>
      <c r="G179" s="5"/>
      <c r="H179" s="2"/>
      <c r="I179" s="2"/>
      <c r="J179" s="2"/>
      <c r="K179" s="2"/>
    </row>
    <row r="180" spans="3:11" x14ac:dyDescent="0.2">
      <c r="C180" s="2"/>
      <c r="D180" s="2"/>
      <c r="E180" s="2"/>
      <c r="F180" s="2"/>
      <c r="G180" s="5"/>
      <c r="H180" s="2"/>
      <c r="I180" s="2"/>
      <c r="J180" s="2"/>
      <c r="K180" s="2"/>
    </row>
    <row r="181" spans="3:11" x14ac:dyDescent="0.2">
      <c r="C181" s="2"/>
      <c r="D181" s="2"/>
      <c r="E181" s="2"/>
      <c r="F181" s="2"/>
      <c r="G181" s="5"/>
      <c r="H181" s="2"/>
      <c r="I181" s="2"/>
      <c r="J181" s="2"/>
      <c r="K181" s="2"/>
    </row>
    <row r="182" spans="3:11" x14ac:dyDescent="0.2">
      <c r="C182" s="2"/>
      <c r="D182" s="2"/>
      <c r="E182" s="2"/>
      <c r="F182" s="2"/>
      <c r="G182" s="5"/>
      <c r="H182" s="2"/>
      <c r="I182" s="2"/>
      <c r="J182" s="2"/>
      <c r="K182" s="2"/>
    </row>
    <row r="183" spans="3:11" x14ac:dyDescent="0.2">
      <c r="C183" s="2"/>
      <c r="D183" s="2"/>
      <c r="E183" s="2"/>
      <c r="F183" s="2"/>
      <c r="G183" s="5"/>
      <c r="H183" s="2"/>
      <c r="I183" s="2"/>
      <c r="J183" s="2"/>
      <c r="K183" s="2"/>
    </row>
    <row r="184" spans="3:11" x14ac:dyDescent="0.2">
      <c r="C184" s="2"/>
      <c r="D184" s="2"/>
      <c r="E184" s="2"/>
      <c r="F184" s="2"/>
      <c r="G184" s="5"/>
      <c r="H184" s="2"/>
      <c r="I184" s="2"/>
      <c r="J184" s="2"/>
      <c r="K184" s="2"/>
    </row>
    <row r="185" spans="3:11" x14ac:dyDescent="0.2">
      <c r="C185" s="2"/>
      <c r="D185" s="2"/>
      <c r="E185" s="2"/>
      <c r="F185" s="2"/>
      <c r="G185" s="5"/>
      <c r="H185" s="2"/>
      <c r="I185" s="2"/>
      <c r="J185" s="2"/>
      <c r="K185" s="2"/>
    </row>
    <row r="186" spans="3:11" x14ac:dyDescent="0.2">
      <c r="C186" s="2"/>
      <c r="D186" s="2"/>
      <c r="E186" s="2"/>
      <c r="F186" s="2"/>
      <c r="G186" s="5"/>
      <c r="H186" s="2"/>
      <c r="I186" s="2"/>
      <c r="J186" s="2"/>
      <c r="K186" s="2"/>
    </row>
    <row r="187" spans="3:11" x14ac:dyDescent="0.2">
      <c r="C187" s="2"/>
      <c r="D187" s="2"/>
      <c r="E187" s="2"/>
      <c r="F187" s="2"/>
      <c r="G187" s="5"/>
      <c r="H187" s="2"/>
      <c r="I187" s="2"/>
      <c r="J187" s="2"/>
      <c r="K187" s="2"/>
    </row>
    <row r="188" spans="3:11" x14ac:dyDescent="0.2">
      <c r="C188" s="2"/>
      <c r="D188" s="2"/>
      <c r="E188" s="2"/>
      <c r="F188" s="2"/>
      <c r="G188" s="5"/>
      <c r="H188" s="2"/>
      <c r="I188" s="2"/>
      <c r="J188" s="2"/>
      <c r="K188" s="2"/>
    </row>
    <row r="189" spans="3:11" x14ac:dyDescent="0.2">
      <c r="C189" s="2"/>
      <c r="D189" s="2"/>
      <c r="E189" s="2"/>
      <c r="F189" s="2"/>
      <c r="G189" s="5"/>
      <c r="H189" s="2"/>
      <c r="I189" s="2"/>
      <c r="J189" s="2"/>
      <c r="K189" s="2"/>
    </row>
    <row r="190" spans="3:11" x14ac:dyDescent="0.2">
      <c r="C190" s="2"/>
      <c r="D190" s="2"/>
      <c r="E190" s="2"/>
      <c r="F190" s="2"/>
      <c r="G190" s="5"/>
      <c r="H190" s="2"/>
      <c r="I190" s="2"/>
      <c r="J190" s="2"/>
      <c r="K190" s="2"/>
    </row>
    <row r="191" spans="3:11" x14ac:dyDescent="0.2">
      <c r="C191" s="2"/>
      <c r="D191" s="2"/>
      <c r="E191" s="2"/>
      <c r="F191" s="2"/>
      <c r="G191" s="5"/>
      <c r="H191" s="2"/>
      <c r="I191" s="2"/>
      <c r="J191" s="2"/>
      <c r="K191" s="2"/>
    </row>
    <row r="192" spans="3:11" x14ac:dyDescent="0.2">
      <c r="C192" s="2"/>
      <c r="D192" s="2"/>
      <c r="E192" s="2"/>
      <c r="F192" s="2"/>
      <c r="G192" s="5"/>
      <c r="H192" s="2"/>
      <c r="I192" s="2"/>
      <c r="J192" s="2"/>
      <c r="K192" s="2"/>
    </row>
    <row r="193" spans="3:11" x14ac:dyDescent="0.2">
      <c r="C193" s="2"/>
      <c r="D193" s="2"/>
      <c r="E193" s="2"/>
      <c r="F193" s="2"/>
      <c r="G193" s="5"/>
      <c r="H193" s="2"/>
      <c r="I193" s="2"/>
      <c r="J193" s="2"/>
      <c r="K193" s="2"/>
    </row>
    <row r="194" spans="3:11" x14ac:dyDescent="0.2">
      <c r="C194" s="2"/>
      <c r="D194" s="2"/>
      <c r="E194" s="2"/>
      <c r="F194" s="2"/>
      <c r="G194" s="5"/>
      <c r="H194" s="2"/>
      <c r="I194" s="2"/>
      <c r="J194" s="2"/>
      <c r="K194" s="2"/>
    </row>
    <row r="195" spans="3:11" x14ac:dyDescent="0.2">
      <c r="C195" s="2"/>
      <c r="D195" s="2"/>
      <c r="E195" s="2"/>
      <c r="F195" s="2"/>
      <c r="G195" s="5"/>
      <c r="H195" s="2"/>
      <c r="I195" s="2"/>
      <c r="J195" s="2"/>
      <c r="K195" s="2"/>
    </row>
    <row r="196" spans="3:11" x14ac:dyDescent="0.2">
      <c r="C196" s="2"/>
      <c r="D196" s="2"/>
      <c r="E196" s="2"/>
      <c r="F196" s="2"/>
      <c r="G196" s="5"/>
      <c r="H196" s="2"/>
      <c r="I196" s="2"/>
      <c r="J196" s="2"/>
      <c r="K196" s="2"/>
    </row>
    <row r="197" spans="3:11" x14ac:dyDescent="0.2">
      <c r="C197" s="2"/>
      <c r="D197" s="2"/>
      <c r="E197" s="2"/>
      <c r="F197" s="2"/>
      <c r="G197" s="5"/>
      <c r="H197" s="2"/>
      <c r="I197" s="2"/>
      <c r="J197" s="2"/>
      <c r="K197" s="2"/>
    </row>
    <row r="198" spans="3:11" x14ac:dyDescent="0.2">
      <c r="C198" s="2"/>
      <c r="D198" s="2"/>
      <c r="E198" s="2"/>
      <c r="F198" s="2"/>
      <c r="G198" s="5"/>
      <c r="H198" s="2"/>
      <c r="I198" s="2"/>
      <c r="J198" s="2"/>
      <c r="K198" s="2"/>
    </row>
    <row r="199" spans="3:11" x14ac:dyDescent="0.2">
      <c r="C199" s="2"/>
      <c r="D199" s="2"/>
      <c r="E199" s="2"/>
      <c r="F199" s="2"/>
      <c r="G199" s="5"/>
      <c r="H199" s="2"/>
      <c r="I199" s="2"/>
      <c r="J199" s="2"/>
      <c r="K199" s="2"/>
    </row>
    <row r="200" spans="3:11" x14ac:dyDescent="0.2">
      <c r="C200" s="2"/>
      <c r="D200" s="2"/>
      <c r="E200" s="2"/>
      <c r="F200" s="2"/>
      <c r="G200" s="5"/>
      <c r="H200" s="2"/>
      <c r="I200" s="2"/>
      <c r="J200" s="2"/>
      <c r="K200" s="2"/>
    </row>
    <row r="201" spans="3:11" x14ac:dyDescent="0.2">
      <c r="C201" s="2"/>
      <c r="D201" s="2"/>
      <c r="E201" s="2"/>
      <c r="F201" s="2"/>
      <c r="G201" s="5"/>
      <c r="H201" s="2"/>
      <c r="I201" s="2"/>
      <c r="J201" s="2"/>
      <c r="K201" s="2"/>
    </row>
    <row r="202" spans="3:11" x14ac:dyDescent="0.2">
      <c r="C202" s="2"/>
      <c r="D202" s="2"/>
      <c r="E202" s="2"/>
      <c r="F202" s="2"/>
      <c r="G202" s="5"/>
      <c r="H202" s="2"/>
      <c r="I202" s="2"/>
      <c r="J202" s="2"/>
      <c r="K202" s="2"/>
    </row>
    <row r="203" spans="3:11" x14ac:dyDescent="0.2">
      <c r="C203" s="2"/>
      <c r="D203" s="2"/>
      <c r="E203" s="2"/>
      <c r="F203" s="2"/>
      <c r="G203" s="5"/>
      <c r="H203" s="2"/>
      <c r="I203" s="2"/>
      <c r="J203" s="2"/>
      <c r="K203" s="2"/>
    </row>
    <row r="204" spans="3:11" x14ac:dyDescent="0.2">
      <c r="C204" s="2"/>
      <c r="D204" s="2"/>
      <c r="E204" s="2"/>
      <c r="F204" s="2"/>
      <c r="G204" s="5"/>
      <c r="H204" s="2"/>
      <c r="I204" s="2"/>
      <c r="J204" s="2"/>
      <c r="K204" s="2"/>
    </row>
    <row r="205" spans="3:11" x14ac:dyDescent="0.2">
      <c r="C205" s="2"/>
      <c r="D205" s="2"/>
      <c r="E205" s="2"/>
      <c r="F205" s="2"/>
      <c r="G205" s="5"/>
      <c r="H205" s="2"/>
      <c r="I205" s="2"/>
      <c r="J205" s="2"/>
      <c r="K205" s="2"/>
    </row>
    <row r="206" spans="3:11" x14ac:dyDescent="0.2">
      <c r="C206" s="2"/>
      <c r="D206" s="2"/>
      <c r="E206" s="2"/>
      <c r="F206" s="2"/>
      <c r="G206" s="5"/>
      <c r="H206" s="2"/>
      <c r="I206" s="2"/>
      <c r="J206" s="2"/>
      <c r="K206" s="2"/>
    </row>
    <row r="207" spans="3:11" x14ac:dyDescent="0.2">
      <c r="C207" s="2"/>
      <c r="D207" s="2"/>
      <c r="E207" s="2"/>
      <c r="F207" s="2"/>
      <c r="G207" s="5"/>
      <c r="H207" s="2"/>
      <c r="I207" s="2"/>
      <c r="J207" s="2"/>
      <c r="K207" s="2"/>
    </row>
    <row r="208" spans="3:11" x14ac:dyDescent="0.2">
      <c r="C208" s="2"/>
      <c r="D208" s="2"/>
      <c r="E208" s="2"/>
      <c r="F208" s="2"/>
      <c r="G208" s="5"/>
      <c r="H208" s="2"/>
      <c r="I208" s="2"/>
      <c r="J208" s="2"/>
      <c r="K208" s="2"/>
    </row>
    <row r="209" spans="3:11" x14ac:dyDescent="0.2">
      <c r="C209" s="2"/>
      <c r="D209" s="2"/>
      <c r="E209" s="2"/>
      <c r="F209" s="2"/>
      <c r="G209" s="5"/>
      <c r="H209" s="2"/>
      <c r="I209" s="2"/>
      <c r="J209" s="2"/>
      <c r="K209" s="2"/>
    </row>
    <row r="210" spans="3:11" x14ac:dyDescent="0.2">
      <c r="C210" s="2"/>
      <c r="D210" s="2"/>
      <c r="E210" s="2"/>
      <c r="F210" s="2"/>
      <c r="G210" s="5"/>
      <c r="H210" s="2"/>
      <c r="I210" s="2"/>
      <c r="J210" s="2"/>
      <c r="K210" s="2"/>
    </row>
    <row r="211" spans="3:11" x14ac:dyDescent="0.2">
      <c r="C211" s="2"/>
      <c r="D211" s="2"/>
      <c r="E211" s="2"/>
      <c r="F211" s="2"/>
      <c r="G211" s="5"/>
      <c r="H211" s="2"/>
      <c r="I211" s="2"/>
      <c r="J211" s="2"/>
      <c r="K211" s="2"/>
    </row>
    <row r="212" spans="3:11" x14ac:dyDescent="0.2">
      <c r="C212" s="2"/>
      <c r="D212" s="2"/>
      <c r="E212" s="2"/>
      <c r="F212" s="2"/>
      <c r="G212" s="5"/>
      <c r="H212" s="2"/>
      <c r="I212" s="2"/>
      <c r="J212" s="2"/>
      <c r="K212" s="2"/>
    </row>
    <row r="213" spans="3:11" x14ac:dyDescent="0.2">
      <c r="C213" s="2"/>
      <c r="D213" s="2"/>
      <c r="E213" s="2"/>
      <c r="F213" s="2"/>
      <c r="G213" s="5"/>
      <c r="H213" s="2"/>
      <c r="I213" s="2"/>
      <c r="J213" s="2"/>
      <c r="K213" s="2"/>
    </row>
    <row r="214" spans="3:11" x14ac:dyDescent="0.2">
      <c r="C214" s="2"/>
      <c r="D214" s="2"/>
      <c r="E214" s="2"/>
      <c r="F214" s="2"/>
      <c r="G214" s="5"/>
      <c r="H214" s="2"/>
      <c r="I214" s="2"/>
      <c r="J214" s="2"/>
      <c r="K214" s="2"/>
    </row>
    <row r="215" spans="3:11" x14ac:dyDescent="0.2">
      <c r="C215" s="2"/>
      <c r="D215" s="2"/>
      <c r="E215" s="2"/>
      <c r="F215" s="2"/>
      <c r="G215" s="5"/>
      <c r="H215" s="2"/>
      <c r="I215" s="2"/>
      <c r="J215" s="2"/>
      <c r="K215" s="2"/>
    </row>
    <row r="216" spans="3:11" x14ac:dyDescent="0.2">
      <c r="C216" s="2"/>
      <c r="D216" s="2"/>
      <c r="E216" s="2"/>
      <c r="F216" s="2"/>
      <c r="G216" s="5"/>
      <c r="H216" s="2"/>
      <c r="I216" s="2"/>
      <c r="J216" s="2"/>
      <c r="K216" s="2"/>
    </row>
    <row r="217" spans="3:11" x14ac:dyDescent="0.2">
      <c r="C217" s="2"/>
      <c r="D217" s="2"/>
      <c r="E217" s="2"/>
      <c r="F217" s="2"/>
      <c r="G217" s="5"/>
      <c r="H217" s="2"/>
      <c r="I217" s="2"/>
      <c r="J217" s="2"/>
      <c r="K217" s="2"/>
    </row>
    <row r="218" spans="3:11" x14ac:dyDescent="0.2">
      <c r="C218" s="2"/>
      <c r="D218" s="2"/>
      <c r="E218" s="2"/>
      <c r="F218" s="2"/>
      <c r="G218" s="5"/>
      <c r="H218" s="2"/>
      <c r="I218" s="2"/>
      <c r="J218" s="2"/>
      <c r="K218" s="2"/>
    </row>
    <row r="219" spans="3:11" x14ac:dyDescent="0.2">
      <c r="C219" s="2"/>
      <c r="D219" s="2"/>
      <c r="E219" s="2"/>
      <c r="F219" s="2"/>
      <c r="G219" s="5"/>
      <c r="H219" s="2"/>
      <c r="I219" s="2"/>
      <c r="J219" s="2"/>
      <c r="K219" s="2"/>
    </row>
    <row r="220" spans="3:11" x14ac:dyDescent="0.2">
      <c r="C220" s="2"/>
      <c r="D220" s="2"/>
      <c r="E220" s="2"/>
      <c r="F220" s="2"/>
      <c r="G220" s="5"/>
      <c r="H220" s="2"/>
      <c r="I220" s="2"/>
      <c r="J220" s="2"/>
      <c r="K220" s="2"/>
    </row>
    <row r="221" spans="3:11" x14ac:dyDescent="0.2">
      <c r="C221" s="2"/>
      <c r="D221" s="2"/>
      <c r="E221" s="2"/>
      <c r="F221" s="2"/>
      <c r="G221" s="5"/>
      <c r="H221" s="2"/>
      <c r="I221" s="2"/>
      <c r="J221" s="2"/>
      <c r="K221" s="2"/>
    </row>
    <row r="222" spans="3:11" x14ac:dyDescent="0.2">
      <c r="C222" s="2"/>
      <c r="D222" s="2"/>
      <c r="E222" s="2"/>
      <c r="F222" s="2"/>
      <c r="G222" s="5"/>
      <c r="H222" s="2"/>
      <c r="I222" s="2"/>
      <c r="J222" s="2"/>
      <c r="K222" s="2"/>
    </row>
    <row r="223" spans="3:11" x14ac:dyDescent="0.2">
      <c r="C223" s="2"/>
      <c r="D223" s="2"/>
      <c r="E223" s="2"/>
      <c r="F223" s="2"/>
      <c r="G223" s="5"/>
      <c r="H223" s="2"/>
      <c r="I223" s="2"/>
      <c r="J223" s="2"/>
      <c r="K223" s="2"/>
    </row>
    <row r="224" spans="3:11" x14ac:dyDescent="0.2">
      <c r="C224" s="2"/>
      <c r="D224" s="2"/>
      <c r="E224" s="2"/>
      <c r="F224" s="2"/>
      <c r="G224" s="5"/>
      <c r="H224" s="2"/>
      <c r="I224" s="2"/>
      <c r="J224" s="2"/>
      <c r="K224" s="2"/>
    </row>
    <row r="225" spans="3:11" x14ac:dyDescent="0.2">
      <c r="C225" s="2"/>
      <c r="D225" s="2"/>
      <c r="E225" s="2"/>
      <c r="F225" s="2"/>
      <c r="G225" s="5"/>
      <c r="H225" s="2"/>
      <c r="I225" s="2"/>
      <c r="J225" s="2"/>
      <c r="K225" s="2"/>
    </row>
    <row r="226" spans="3:11" x14ac:dyDescent="0.2">
      <c r="C226" s="2"/>
      <c r="D226" s="2"/>
      <c r="E226" s="2"/>
      <c r="F226" s="2"/>
      <c r="G226" s="5"/>
      <c r="H226" s="2"/>
      <c r="I226" s="2"/>
      <c r="J226" s="2"/>
      <c r="K226" s="2"/>
    </row>
    <row r="227" spans="3:11" x14ac:dyDescent="0.2">
      <c r="C227" s="2"/>
      <c r="D227" s="2"/>
      <c r="E227" s="2"/>
      <c r="F227" s="2"/>
      <c r="G227" s="5"/>
      <c r="H227" s="2"/>
      <c r="I227" s="2"/>
      <c r="J227" s="2"/>
      <c r="K227" s="2"/>
    </row>
    <row r="228" spans="3:11" x14ac:dyDescent="0.2">
      <c r="C228" s="2"/>
      <c r="D228" s="2"/>
      <c r="E228" s="2"/>
      <c r="F228" s="2"/>
      <c r="G228" s="5"/>
      <c r="H228" s="2"/>
      <c r="I228" s="2"/>
      <c r="J228" s="2"/>
      <c r="K228" s="2"/>
    </row>
    <row r="229" spans="3:11" x14ac:dyDescent="0.2">
      <c r="C229" s="2"/>
      <c r="D229" s="2"/>
      <c r="E229" s="2"/>
      <c r="F229" s="2"/>
      <c r="G229" s="5"/>
      <c r="H229" s="2"/>
      <c r="I229" s="2"/>
      <c r="J229" s="2"/>
      <c r="K229" s="2"/>
    </row>
    <row r="230" spans="3:11" x14ac:dyDescent="0.2">
      <c r="C230" s="2"/>
      <c r="D230" s="2"/>
      <c r="E230" s="2"/>
      <c r="F230" s="2"/>
      <c r="G230" s="5"/>
      <c r="H230" s="2"/>
      <c r="I230" s="2"/>
      <c r="J230" s="2"/>
      <c r="K230" s="2"/>
    </row>
    <row r="231" spans="3:11" x14ac:dyDescent="0.2">
      <c r="C231" s="2"/>
      <c r="D231" s="2"/>
      <c r="E231" s="2"/>
      <c r="F231" s="2"/>
      <c r="G231" s="5"/>
      <c r="H231" s="2"/>
      <c r="I231" s="2"/>
      <c r="J231" s="2"/>
      <c r="K231" s="2"/>
    </row>
    <row r="232" spans="3:11" x14ac:dyDescent="0.2">
      <c r="C232" s="2"/>
      <c r="D232" s="2"/>
      <c r="E232" s="2"/>
      <c r="F232" s="2"/>
      <c r="G232" s="5"/>
      <c r="H232" s="2"/>
      <c r="I232" s="2"/>
      <c r="J232" s="2"/>
      <c r="K232" s="2"/>
    </row>
    <row r="233" spans="3:11" x14ac:dyDescent="0.2">
      <c r="C233" s="2"/>
      <c r="D233" s="2"/>
      <c r="E233" s="2"/>
      <c r="F233" s="2"/>
      <c r="G233" s="5"/>
      <c r="H233" s="2"/>
      <c r="I233" s="2"/>
      <c r="J233" s="2"/>
      <c r="K233" s="2"/>
    </row>
    <row r="234" spans="3:11" x14ac:dyDescent="0.2">
      <c r="C234" s="2"/>
      <c r="D234" s="2"/>
      <c r="E234" s="2"/>
      <c r="F234" s="2"/>
      <c r="G234" s="5"/>
      <c r="H234" s="2"/>
      <c r="I234" s="2"/>
      <c r="J234" s="2"/>
      <c r="K234" s="2"/>
    </row>
    <row r="235" spans="3:11" x14ac:dyDescent="0.2">
      <c r="C235" s="2"/>
      <c r="D235" s="2"/>
      <c r="E235" s="2"/>
      <c r="F235" s="2"/>
      <c r="G235" s="5"/>
      <c r="H235" s="2"/>
      <c r="I235" s="2"/>
      <c r="J235" s="2"/>
      <c r="K235" s="2"/>
    </row>
    <row r="236" spans="3:11" x14ac:dyDescent="0.2">
      <c r="C236" s="2"/>
      <c r="D236" s="2"/>
      <c r="E236" s="2"/>
      <c r="F236" s="2"/>
      <c r="G236" s="5"/>
      <c r="H236" s="2"/>
      <c r="I236" s="2"/>
      <c r="J236" s="2"/>
      <c r="K236" s="2"/>
    </row>
    <row r="237" spans="3:11" x14ac:dyDescent="0.2">
      <c r="C237" s="2"/>
      <c r="D237" s="2"/>
      <c r="E237" s="2"/>
      <c r="F237" s="2"/>
      <c r="G237" s="5"/>
      <c r="H237" s="2"/>
      <c r="I237" s="2"/>
      <c r="J237" s="2"/>
      <c r="K237" s="2"/>
    </row>
    <row r="238" spans="3:11" x14ac:dyDescent="0.2">
      <c r="C238" s="2"/>
      <c r="D238" s="2"/>
      <c r="E238" s="2"/>
      <c r="F238" s="2"/>
      <c r="G238" s="5"/>
      <c r="H238" s="2"/>
      <c r="I238" s="2"/>
      <c r="J238" s="2"/>
      <c r="K238" s="2"/>
    </row>
    <row r="239" spans="3:11" x14ac:dyDescent="0.2">
      <c r="C239" s="2"/>
      <c r="D239" s="2"/>
      <c r="E239" s="2"/>
      <c r="F239" s="2"/>
      <c r="G239" s="5"/>
      <c r="H239" s="2"/>
      <c r="I239" s="2"/>
      <c r="J239" s="2"/>
      <c r="K239" s="2"/>
    </row>
    <row r="240" spans="3:11" x14ac:dyDescent="0.2">
      <c r="C240" s="2"/>
      <c r="D240" s="2"/>
      <c r="E240" s="2"/>
      <c r="F240" s="2"/>
      <c r="G240" s="5"/>
      <c r="H240" s="2"/>
      <c r="I240" s="2"/>
      <c r="J240" s="2"/>
      <c r="K240" s="2"/>
    </row>
    <row r="241" spans="3:11" x14ac:dyDescent="0.2">
      <c r="C241" s="2"/>
      <c r="D241" s="2"/>
      <c r="E241" s="2"/>
      <c r="F241" s="2"/>
      <c r="G241" s="5"/>
      <c r="H241" s="2"/>
      <c r="I241" s="2"/>
      <c r="J241" s="2"/>
      <c r="K241" s="2"/>
    </row>
    <row r="242" spans="3:11" x14ac:dyDescent="0.2">
      <c r="C242" s="2"/>
      <c r="D242" s="2"/>
      <c r="E242" s="2"/>
      <c r="F242" s="2"/>
      <c r="G242" s="5"/>
      <c r="H242" s="2"/>
      <c r="I242" s="2"/>
      <c r="J242" s="2"/>
      <c r="K242" s="2"/>
    </row>
    <row r="243" spans="3:11" x14ac:dyDescent="0.2">
      <c r="C243" s="2"/>
      <c r="D243" s="2"/>
      <c r="E243" s="2"/>
      <c r="F243" s="2"/>
      <c r="G243" s="5"/>
      <c r="H243" s="2"/>
      <c r="I243" s="2"/>
      <c r="J243" s="2"/>
      <c r="K243" s="2"/>
    </row>
    <row r="244" spans="3:11" x14ac:dyDescent="0.2">
      <c r="C244" s="2"/>
      <c r="D244" s="2"/>
      <c r="E244" s="2"/>
      <c r="F244" s="2"/>
      <c r="G244" s="5"/>
      <c r="H244" s="2"/>
      <c r="I244" s="2"/>
      <c r="J244" s="2"/>
      <c r="K244" s="2"/>
    </row>
    <row r="245" spans="3:11" x14ac:dyDescent="0.2">
      <c r="C245" s="2"/>
      <c r="D245" s="2"/>
      <c r="E245" s="2"/>
      <c r="F245" s="2"/>
      <c r="G245" s="5"/>
      <c r="H245" s="2"/>
      <c r="I245" s="2"/>
      <c r="J245" s="2"/>
      <c r="K245" s="2"/>
    </row>
    <row r="246" spans="3:11" x14ac:dyDescent="0.2">
      <c r="C246" s="2"/>
      <c r="D246" s="2"/>
      <c r="E246" s="2"/>
      <c r="F246" s="2"/>
      <c r="G246" s="5"/>
      <c r="H246" s="2"/>
      <c r="I246" s="2"/>
      <c r="J246" s="2"/>
      <c r="K246" s="2"/>
    </row>
    <row r="247" spans="3:11" x14ac:dyDescent="0.2">
      <c r="C247" s="2"/>
      <c r="D247" s="2"/>
      <c r="E247" s="2"/>
      <c r="F247" s="2"/>
      <c r="G247" s="5"/>
      <c r="H247" s="2"/>
      <c r="I247" s="2"/>
      <c r="J247" s="2"/>
      <c r="K247" s="2"/>
    </row>
    <row r="248" spans="3:11" x14ac:dyDescent="0.2">
      <c r="C248" s="2"/>
      <c r="D248" s="2"/>
      <c r="E248" s="2"/>
      <c r="F248" s="2"/>
      <c r="G248" s="5"/>
      <c r="H248" s="2"/>
      <c r="I248" s="2"/>
      <c r="J248" s="2"/>
      <c r="K248" s="2"/>
    </row>
    <row r="249" spans="3:11" x14ac:dyDescent="0.2">
      <c r="C249" s="2"/>
      <c r="D249" s="2"/>
      <c r="E249" s="2"/>
      <c r="F249" s="2"/>
      <c r="G249" s="5"/>
      <c r="H249" s="2"/>
      <c r="I249" s="2"/>
      <c r="J249" s="2"/>
      <c r="K249" s="2"/>
    </row>
    <row r="250" spans="3:11" x14ac:dyDescent="0.2">
      <c r="C250" s="2"/>
      <c r="D250" s="2"/>
      <c r="E250" s="2"/>
      <c r="F250" s="2"/>
      <c r="G250" s="5"/>
      <c r="H250" s="2"/>
      <c r="I250" s="2"/>
      <c r="J250" s="2"/>
      <c r="K250" s="2"/>
    </row>
    <row r="251" spans="3:11" x14ac:dyDescent="0.2">
      <c r="C251" s="2"/>
      <c r="D251" s="2"/>
      <c r="E251" s="2"/>
      <c r="F251" s="2"/>
      <c r="G251" s="5"/>
      <c r="H251" s="2"/>
      <c r="I251" s="2"/>
      <c r="J251" s="2"/>
      <c r="K251" s="2"/>
    </row>
    <row r="252" spans="3:11" x14ac:dyDescent="0.2">
      <c r="C252" s="2"/>
      <c r="D252" s="2"/>
      <c r="E252" s="2"/>
      <c r="F252" s="2"/>
      <c r="G252" s="5"/>
      <c r="H252" s="2"/>
      <c r="I252" s="2"/>
      <c r="J252" s="2"/>
      <c r="K252" s="2"/>
    </row>
    <row r="253" spans="3:11" x14ac:dyDescent="0.2">
      <c r="C253" s="2"/>
      <c r="D253" s="2"/>
      <c r="E253" s="2"/>
      <c r="F253" s="2"/>
      <c r="G253" s="5"/>
      <c r="H253" s="2"/>
      <c r="I253" s="2"/>
      <c r="J253" s="2"/>
      <c r="K253" s="2"/>
    </row>
    <row r="254" spans="3:11" x14ac:dyDescent="0.2">
      <c r="C254" s="2"/>
      <c r="D254" s="2"/>
      <c r="E254" s="2"/>
      <c r="F254" s="2"/>
      <c r="G254" s="5"/>
      <c r="H254" s="2"/>
      <c r="I254" s="2"/>
      <c r="J254" s="2"/>
      <c r="K254" s="2"/>
    </row>
    <row r="255" spans="3:11" x14ac:dyDescent="0.2">
      <c r="C255" s="2"/>
      <c r="D255" s="2"/>
      <c r="E255" s="2"/>
      <c r="F255" s="2"/>
      <c r="G255" s="5"/>
      <c r="H255" s="2"/>
      <c r="I255" s="2"/>
      <c r="J255" s="2"/>
      <c r="K255" s="2"/>
    </row>
    <row r="256" spans="3:11" x14ac:dyDescent="0.2">
      <c r="C256" s="2"/>
      <c r="D256" s="2"/>
      <c r="E256" s="2"/>
      <c r="F256" s="2"/>
      <c r="G256" s="5"/>
      <c r="H256" s="2"/>
      <c r="I256" s="2"/>
      <c r="J256" s="2"/>
      <c r="K256" s="2"/>
    </row>
    <row r="257" spans="3:11" x14ac:dyDescent="0.2">
      <c r="C257" s="2"/>
      <c r="D257" s="2"/>
      <c r="E257" s="2"/>
      <c r="F257" s="2"/>
      <c r="G257" s="5"/>
      <c r="H257" s="2"/>
      <c r="I257" s="2"/>
      <c r="J257" s="2"/>
      <c r="K257" s="2"/>
    </row>
    <row r="258" spans="3:11" x14ac:dyDescent="0.2">
      <c r="C258" s="2"/>
      <c r="D258" s="2"/>
      <c r="E258" s="2"/>
      <c r="F258" s="2"/>
      <c r="G258" s="5"/>
      <c r="H258" s="2"/>
      <c r="I258" s="2"/>
      <c r="J258" s="2"/>
      <c r="K258" s="2"/>
    </row>
    <row r="259" spans="3:11" x14ac:dyDescent="0.2">
      <c r="C259" s="2"/>
      <c r="D259" s="2"/>
      <c r="E259" s="2"/>
      <c r="F259" s="2"/>
      <c r="G259" s="5"/>
      <c r="H259" s="2"/>
      <c r="I259" s="2"/>
      <c r="J259" s="2"/>
      <c r="K259" s="2"/>
    </row>
    <row r="260" spans="3:11" x14ac:dyDescent="0.2">
      <c r="C260" s="2"/>
      <c r="D260" s="2"/>
      <c r="E260" s="2"/>
      <c r="F260" s="2"/>
      <c r="G260" s="5"/>
      <c r="H260" s="2"/>
      <c r="I260" s="2"/>
      <c r="J260" s="2"/>
      <c r="K260" s="2"/>
    </row>
    <row r="261" spans="3:11" x14ac:dyDescent="0.2">
      <c r="C261" s="2"/>
      <c r="D261" s="2"/>
      <c r="E261" s="2"/>
      <c r="F261" s="2"/>
      <c r="G261" s="5"/>
      <c r="H261" s="2"/>
      <c r="I261" s="2"/>
      <c r="J261" s="2"/>
      <c r="K261" s="2"/>
    </row>
    <row r="262" spans="3:11" x14ac:dyDescent="0.2">
      <c r="C262" s="2"/>
      <c r="D262" s="2"/>
      <c r="E262" s="2"/>
      <c r="F262" s="2"/>
      <c r="G262" s="5"/>
      <c r="H262" s="2"/>
      <c r="I262" s="2"/>
      <c r="J262" s="2"/>
      <c r="K262" s="2"/>
    </row>
    <row r="263" spans="3:11" x14ac:dyDescent="0.2">
      <c r="C263" s="2"/>
      <c r="D263" s="2"/>
      <c r="E263" s="2"/>
      <c r="F263" s="2"/>
      <c r="G263" s="5"/>
      <c r="H263" s="2"/>
      <c r="I263" s="2"/>
      <c r="J263" s="2"/>
      <c r="K263" s="2"/>
    </row>
    <row r="264" spans="3:11" x14ac:dyDescent="0.2">
      <c r="C264" s="2"/>
      <c r="D264" s="2"/>
      <c r="E264" s="2"/>
      <c r="F264" s="2"/>
      <c r="G264" s="5"/>
      <c r="H264" s="2"/>
      <c r="I264" s="2"/>
      <c r="J264" s="2"/>
      <c r="K264" s="2"/>
    </row>
    <row r="265" spans="3:11" x14ac:dyDescent="0.2">
      <c r="C265" s="2"/>
      <c r="D265" s="2"/>
      <c r="E265" s="2"/>
      <c r="F265" s="2"/>
      <c r="G265" s="5"/>
      <c r="H265" s="2"/>
      <c r="I265" s="2"/>
      <c r="J265" s="2"/>
      <c r="K265" s="2"/>
    </row>
    <row r="266" spans="3:11" x14ac:dyDescent="0.2">
      <c r="C266" s="2"/>
      <c r="D266" s="2"/>
      <c r="E266" s="2"/>
      <c r="F266" s="2"/>
      <c r="G266" s="5"/>
      <c r="H266" s="2"/>
      <c r="I266" s="2"/>
      <c r="J266" s="2"/>
      <c r="K266" s="2"/>
    </row>
    <row r="267" spans="3:11" x14ac:dyDescent="0.2">
      <c r="C267" s="2"/>
      <c r="D267" s="2"/>
      <c r="E267" s="2"/>
      <c r="F267" s="2"/>
      <c r="G267" s="5"/>
      <c r="H267" s="2"/>
      <c r="I267" s="2"/>
      <c r="J267" s="2"/>
      <c r="K267" s="2"/>
    </row>
    <row r="268" spans="3:11" x14ac:dyDescent="0.2">
      <c r="C268" s="2"/>
      <c r="D268" s="2"/>
      <c r="E268" s="2"/>
      <c r="F268" s="2"/>
      <c r="G268" s="5"/>
      <c r="H268" s="2"/>
      <c r="I268" s="2"/>
      <c r="J268" s="2"/>
      <c r="K268" s="2"/>
    </row>
    <row r="269" spans="3:11" x14ac:dyDescent="0.2">
      <c r="C269" s="2"/>
      <c r="D269" s="2"/>
      <c r="E269" s="2"/>
      <c r="F269" s="2"/>
      <c r="G269" s="5"/>
      <c r="H269" s="2"/>
      <c r="I269" s="2"/>
      <c r="J269" s="2"/>
      <c r="K269" s="2"/>
    </row>
    <row r="270" spans="3:11" x14ac:dyDescent="0.2">
      <c r="C270" s="2"/>
      <c r="D270" s="2"/>
      <c r="E270" s="2"/>
      <c r="F270" s="2"/>
      <c r="G270" s="5"/>
      <c r="H270" s="2"/>
      <c r="I270" s="2"/>
      <c r="J270" s="2"/>
      <c r="K270" s="2"/>
    </row>
    <row r="271" spans="3:11" x14ac:dyDescent="0.2">
      <c r="C271" s="2"/>
      <c r="D271" s="2"/>
      <c r="E271" s="2"/>
      <c r="F271" s="2"/>
      <c r="G271" s="5"/>
      <c r="H271" s="2"/>
      <c r="I271" s="2"/>
      <c r="J271" s="2"/>
      <c r="K271" s="2"/>
    </row>
    <row r="272" spans="3:11" x14ac:dyDescent="0.2">
      <c r="C272" s="2"/>
      <c r="D272" s="2"/>
      <c r="E272" s="2"/>
      <c r="F272" s="2"/>
      <c r="G272" s="5"/>
      <c r="H272" s="2"/>
      <c r="I272" s="2"/>
      <c r="J272" s="2"/>
      <c r="K272" s="2"/>
    </row>
    <row r="273" spans="3:11" x14ac:dyDescent="0.2">
      <c r="C273" s="2"/>
      <c r="D273" s="2"/>
      <c r="E273" s="2"/>
      <c r="F273" s="2"/>
      <c r="G273" s="5"/>
      <c r="H273" s="2"/>
      <c r="I273" s="2"/>
      <c r="J273" s="2"/>
      <c r="K273" s="2"/>
    </row>
    <row r="274" spans="3:11" x14ac:dyDescent="0.2">
      <c r="C274" s="2"/>
      <c r="D274" s="2"/>
      <c r="E274" s="2"/>
      <c r="F274" s="2"/>
      <c r="G274" s="5"/>
      <c r="H274" s="2"/>
      <c r="I274" s="2"/>
      <c r="J274" s="2"/>
      <c r="K274" s="2"/>
    </row>
    <row r="275" spans="3:11" x14ac:dyDescent="0.2">
      <c r="C275" s="2"/>
      <c r="D275" s="2"/>
      <c r="E275" s="2"/>
      <c r="F275" s="2"/>
      <c r="G275" s="5"/>
      <c r="H275" s="2"/>
      <c r="I275" s="2"/>
      <c r="J275" s="2"/>
      <c r="K275" s="2"/>
    </row>
    <row r="276" spans="3:11" x14ac:dyDescent="0.2">
      <c r="C276" s="2"/>
      <c r="D276" s="2"/>
      <c r="E276" s="2"/>
      <c r="F276" s="2"/>
      <c r="G276" s="5"/>
      <c r="H276" s="2"/>
      <c r="I276" s="2"/>
      <c r="J276" s="2"/>
      <c r="K276" s="2"/>
    </row>
    <row r="277" spans="3:11" x14ac:dyDescent="0.2">
      <c r="C277" s="2"/>
      <c r="D277" s="2"/>
      <c r="E277" s="2"/>
      <c r="F277" s="2"/>
      <c r="G277" s="5"/>
      <c r="H277" s="2"/>
      <c r="I277" s="2"/>
      <c r="J277" s="2"/>
      <c r="K277" s="2"/>
    </row>
    <row r="278" spans="3:11" x14ac:dyDescent="0.2">
      <c r="C278" s="2"/>
      <c r="D278" s="2"/>
      <c r="E278" s="2"/>
      <c r="F278" s="2"/>
      <c r="G278" s="5"/>
      <c r="H278" s="2"/>
      <c r="I278" s="2"/>
      <c r="J278" s="2"/>
      <c r="K278" s="2"/>
    </row>
    <row r="279" spans="3:11" x14ac:dyDescent="0.2">
      <c r="C279" s="2"/>
      <c r="D279" s="2"/>
      <c r="E279" s="2"/>
      <c r="F279" s="2"/>
      <c r="G279" s="5"/>
      <c r="H279" s="2"/>
      <c r="I279" s="2"/>
      <c r="J279" s="2"/>
      <c r="K279" s="2"/>
    </row>
    <row r="280" spans="3:11" x14ac:dyDescent="0.2">
      <c r="C280" s="2"/>
      <c r="D280" s="2"/>
      <c r="E280" s="2"/>
      <c r="F280" s="2"/>
      <c r="G280" s="5"/>
      <c r="H280" s="2"/>
      <c r="I280" s="2"/>
      <c r="J280" s="2"/>
      <c r="K280" s="2"/>
    </row>
    <row r="281" spans="3:11" x14ac:dyDescent="0.2">
      <c r="C281" s="2"/>
      <c r="D281" s="2"/>
      <c r="E281" s="2"/>
      <c r="F281" s="2"/>
      <c r="G281" s="5"/>
      <c r="H281" s="2"/>
      <c r="I281" s="2"/>
      <c r="J281" s="2"/>
      <c r="K281" s="2"/>
    </row>
    <row r="282" spans="3:11" x14ac:dyDescent="0.2">
      <c r="C282" s="2"/>
      <c r="D282" s="2"/>
      <c r="E282" s="2"/>
      <c r="F282" s="2"/>
      <c r="G282" s="5"/>
      <c r="H282" s="2"/>
      <c r="I282" s="2"/>
      <c r="J282" s="2"/>
      <c r="K282" s="2"/>
    </row>
    <row r="283" spans="3:11" x14ac:dyDescent="0.2">
      <c r="C283" s="2"/>
      <c r="D283" s="2"/>
      <c r="E283" s="2"/>
      <c r="F283" s="2"/>
      <c r="G283" s="5"/>
      <c r="H283" s="2"/>
      <c r="I283" s="2"/>
      <c r="J283" s="2"/>
      <c r="K283" s="2"/>
    </row>
    <row r="284" spans="3:11" x14ac:dyDescent="0.2">
      <c r="C284" s="2"/>
      <c r="D284" s="2"/>
      <c r="E284" s="2"/>
      <c r="F284" s="2"/>
      <c r="G284" s="5"/>
      <c r="H284" s="2"/>
      <c r="I284" s="2"/>
      <c r="J284" s="2"/>
      <c r="K284" s="2"/>
    </row>
    <row r="285" spans="3:11" x14ac:dyDescent="0.2">
      <c r="C285" s="2"/>
      <c r="D285" s="2"/>
      <c r="E285" s="2"/>
      <c r="F285" s="2"/>
      <c r="G285" s="5"/>
      <c r="H285" s="2"/>
      <c r="I285" s="2"/>
      <c r="J285" s="2"/>
      <c r="K285" s="2"/>
    </row>
    <row r="286" spans="3:11" x14ac:dyDescent="0.2">
      <c r="C286" s="2"/>
      <c r="D286" s="2"/>
      <c r="E286" s="2"/>
      <c r="F286" s="2"/>
      <c r="G286" s="5"/>
      <c r="H286" s="2"/>
      <c r="I286" s="2"/>
      <c r="J286" s="2"/>
      <c r="K286" s="2"/>
    </row>
    <row r="287" spans="3:11" x14ac:dyDescent="0.2">
      <c r="C287" s="2"/>
      <c r="D287" s="2"/>
      <c r="E287" s="2"/>
      <c r="F287" s="2"/>
      <c r="G287" s="5"/>
      <c r="H287" s="2"/>
      <c r="I287" s="2"/>
      <c r="J287" s="2"/>
      <c r="K287" s="2"/>
    </row>
    <row r="288" spans="3:11" x14ac:dyDescent="0.2">
      <c r="C288" s="2"/>
      <c r="D288" s="2"/>
      <c r="E288" s="2"/>
      <c r="F288" s="2"/>
      <c r="G288" s="5"/>
      <c r="H288" s="2"/>
      <c r="I288" s="2"/>
      <c r="J288" s="2"/>
      <c r="K288" s="2"/>
    </row>
    <row r="289" spans="3:11" x14ac:dyDescent="0.2">
      <c r="C289" s="2"/>
      <c r="D289" s="2"/>
      <c r="E289" s="2"/>
      <c r="F289" s="2"/>
      <c r="G289" s="5"/>
      <c r="H289" s="2"/>
      <c r="I289" s="2"/>
      <c r="J289" s="2"/>
      <c r="K289" s="2"/>
    </row>
    <row r="290" spans="3:11" x14ac:dyDescent="0.2">
      <c r="C290" s="2"/>
      <c r="D290" s="2"/>
      <c r="E290" s="2"/>
      <c r="F290" s="2"/>
      <c r="G290" s="5"/>
      <c r="H290" s="2"/>
      <c r="I290" s="2"/>
      <c r="J290" s="2"/>
      <c r="K290" s="2"/>
    </row>
    <row r="291" spans="3:11" x14ac:dyDescent="0.2">
      <c r="C291" s="2"/>
      <c r="D291" s="2"/>
      <c r="E291" s="2"/>
      <c r="F291" s="2"/>
      <c r="G291" s="5"/>
      <c r="H291" s="2"/>
      <c r="I291" s="2"/>
      <c r="J291" s="2"/>
      <c r="K291" s="2"/>
    </row>
    <row r="292" spans="3:11" x14ac:dyDescent="0.2">
      <c r="C292" s="2"/>
      <c r="D292" s="2"/>
      <c r="E292" s="2"/>
      <c r="F292" s="2"/>
      <c r="G292" s="5"/>
      <c r="H292" s="2"/>
      <c r="I292" s="2"/>
      <c r="J292" s="2"/>
      <c r="K292" s="2"/>
    </row>
    <row r="293" spans="3:11" x14ac:dyDescent="0.2">
      <c r="C293" s="2"/>
      <c r="D293" s="2"/>
      <c r="E293" s="2"/>
      <c r="F293" s="2"/>
      <c r="G293" s="5"/>
      <c r="H293" s="2"/>
      <c r="I293" s="2"/>
      <c r="J293" s="2"/>
      <c r="K293" s="2"/>
    </row>
    <row r="294" spans="3:11" x14ac:dyDescent="0.2">
      <c r="C294" s="2"/>
      <c r="D294" s="2"/>
      <c r="E294" s="2"/>
      <c r="F294" s="2"/>
      <c r="G294" s="5"/>
      <c r="H294" s="2"/>
      <c r="I294" s="2"/>
      <c r="J294" s="2"/>
      <c r="K294" s="2"/>
    </row>
    <row r="295" spans="3:11" x14ac:dyDescent="0.2">
      <c r="C295" s="2"/>
      <c r="D295" s="2"/>
      <c r="E295" s="2"/>
      <c r="F295" s="2"/>
      <c r="G295" s="5"/>
      <c r="H295" s="2"/>
      <c r="I295" s="2"/>
      <c r="J295" s="2"/>
      <c r="K295" s="2"/>
    </row>
    <row r="296" spans="3:11" x14ac:dyDescent="0.2">
      <c r="C296" s="2"/>
      <c r="D296" s="2"/>
      <c r="E296" s="2"/>
      <c r="F296" s="2"/>
      <c r="G296" s="5"/>
      <c r="H296" s="2"/>
      <c r="I296" s="2"/>
      <c r="J296" s="2"/>
      <c r="K296" s="2"/>
    </row>
    <row r="297" spans="3:11" x14ac:dyDescent="0.2">
      <c r="C297" s="2"/>
      <c r="D297" s="2"/>
      <c r="E297" s="2"/>
      <c r="F297" s="2"/>
      <c r="G297" s="5"/>
      <c r="H297" s="2"/>
      <c r="I297" s="2"/>
      <c r="J297" s="2"/>
      <c r="K297" s="2"/>
    </row>
    <row r="298" spans="3:11" x14ac:dyDescent="0.2">
      <c r="C298" s="2"/>
      <c r="D298" s="2"/>
      <c r="E298" s="2"/>
      <c r="F298" s="2"/>
      <c r="G298" s="5"/>
      <c r="H298" s="2"/>
      <c r="I298" s="2"/>
      <c r="J298" s="2"/>
      <c r="K298" s="2"/>
    </row>
    <row r="299" spans="3:11" x14ac:dyDescent="0.2">
      <c r="C299" s="2"/>
      <c r="D299" s="2"/>
      <c r="E299" s="2"/>
      <c r="F299" s="2"/>
      <c r="G299" s="5"/>
      <c r="H299" s="2"/>
      <c r="I299" s="2"/>
      <c r="J299" s="2"/>
      <c r="K299" s="2"/>
    </row>
    <row r="300" spans="3:11" x14ac:dyDescent="0.2">
      <c r="C300" s="2"/>
      <c r="D300" s="2"/>
      <c r="E300" s="2"/>
      <c r="F300" s="2"/>
      <c r="G300" s="5"/>
      <c r="H300" s="2"/>
      <c r="I300" s="2"/>
      <c r="J300" s="2"/>
      <c r="K300" s="2"/>
    </row>
    <row r="301" spans="3:11" x14ac:dyDescent="0.2">
      <c r="C301" s="2"/>
      <c r="D301" s="2"/>
      <c r="E301" s="2"/>
      <c r="F301" s="2"/>
      <c r="G301" s="5"/>
      <c r="H301" s="2"/>
      <c r="I301" s="2"/>
      <c r="J301" s="2"/>
      <c r="K301" s="2"/>
    </row>
    <row r="302" spans="3:11" x14ac:dyDescent="0.2">
      <c r="C302" s="2"/>
      <c r="D302" s="2"/>
      <c r="E302" s="2"/>
      <c r="F302" s="2"/>
      <c r="G302" s="5"/>
      <c r="H302" s="2"/>
      <c r="I302" s="2"/>
      <c r="J302" s="2"/>
      <c r="K302" s="2"/>
    </row>
    <row r="303" spans="3:11" x14ac:dyDescent="0.2">
      <c r="C303" s="2"/>
      <c r="D303" s="2"/>
      <c r="E303" s="2"/>
      <c r="F303" s="2"/>
      <c r="G303" s="5"/>
      <c r="H303" s="2"/>
      <c r="I303" s="2"/>
      <c r="J303" s="2"/>
      <c r="K303" s="2"/>
    </row>
    <row r="304" spans="3:11" x14ac:dyDescent="0.2">
      <c r="C304" s="2"/>
      <c r="D304" s="2"/>
      <c r="E304" s="2"/>
      <c r="F304" s="2"/>
      <c r="G304" s="5"/>
      <c r="H304" s="2"/>
      <c r="I304" s="2"/>
      <c r="J304" s="2"/>
      <c r="K304" s="2"/>
    </row>
    <row r="305" spans="3:11" x14ac:dyDescent="0.2">
      <c r="C305" s="2"/>
      <c r="D305" s="2"/>
      <c r="E305" s="2"/>
      <c r="F305" s="2"/>
      <c r="G305" s="5"/>
      <c r="H305" s="2"/>
      <c r="I305" s="2"/>
      <c r="J305" s="2"/>
      <c r="K305" s="2"/>
    </row>
    <row r="306" spans="3:11" x14ac:dyDescent="0.2">
      <c r="C306" s="2"/>
      <c r="D306" s="2"/>
      <c r="E306" s="2"/>
      <c r="F306" s="2"/>
      <c r="G306" s="5"/>
      <c r="H306" s="2"/>
      <c r="I306" s="2"/>
      <c r="J306" s="2"/>
      <c r="K306" s="2"/>
    </row>
    <row r="307" spans="3:11" x14ac:dyDescent="0.2">
      <c r="C307" s="2"/>
      <c r="D307" s="2"/>
      <c r="E307" s="2"/>
      <c r="F307" s="2"/>
      <c r="G307" s="5"/>
      <c r="H307" s="2"/>
      <c r="I307" s="2"/>
      <c r="J307" s="2"/>
      <c r="K307" s="2"/>
    </row>
    <row r="308" spans="3:11" x14ac:dyDescent="0.2">
      <c r="C308" s="2"/>
      <c r="D308" s="2"/>
      <c r="E308" s="2"/>
      <c r="F308" s="2"/>
      <c r="G308" s="5"/>
      <c r="H308" s="2"/>
      <c r="I308" s="2"/>
      <c r="J308" s="2"/>
      <c r="K308" s="2"/>
    </row>
    <row r="309" spans="3:11" x14ac:dyDescent="0.2">
      <c r="C309" s="2"/>
      <c r="D309" s="2"/>
      <c r="E309" s="2"/>
      <c r="F309" s="2"/>
      <c r="G309" s="5"/>
      <c r="H309" s="2"/>
      <c r="I309" s="2"/>
      <c r="J309" s="2"/>
      <c r="K309" s="2"/>
    </row>
    <row r="310" spans="3:11" x14ac:dyDescent="0.2">
      <c r="C310" s="2"/>
      <c r="D310" s="2"/>
      <c r="E310" s="2"/>
      <c r="F310" s="2"/>
      <c r="G310" s="5"/>
      <c r="H310" s="2"/>
      <c r="I310" s="2"/>
      <c r="J310" s="2"/>
      <c r="K310" s="2"/>
    </row>
    <row r="311" spans="3:11" x14ac:dyDescent="0.2">
      <c r="C311" s="2"/>
      <c r="D311" s="2"/>
      <c r="E311" s="2"/>
      <c r="F311" s="2"/>
      <c r="G311" s="5"/>
      <c r="H311" s="2"/>
      <c r="I311" s="2"/>
      <c r="J311" s="2"/>
      <c r="K311" s="2"/>
    </row>
    <row r="312" spans="3:11" x14ac:dyDescent="0.2">
      <c r="C312" s="2"/>
      <c r="D312" s="2"/>
      <c r="E312" s="2"/>
      <c r="F312" s="2"/>
      <c r="G312" s="5"/>
      <c r="H312" s="2"/>
      <c r="I312" s="2"/>
      <c r="J312" s="2"/>
      <c r="K312" s="2"/>
    </row>
    <row r="313" spans="3:11" x14ac:dyDescent="0.2">
      <c r="C313" s="2"/>
      <c r="D313" s="2"/>
      <c r="E313" s="2"/>
      <c r="F313" s="2"/>
      <c r="G313" s="5"/>
      <c r="H313" s="2"/>
      <c r="I313" s="2"/>
      <c r="J313" s="2"/>
      <c r="K313" s="2"/>
    </row>
    <row r="314" spans="3:11" x14ac:dyDescent="0.2">
      <c r="C314" s="2"/>
      <c r="D314" s="2"/>
      <c r="E314" s="2"/>
      <c r="F314" s="2"/>
      <c r="G314" s="5"/>
      <c r="H314" s="2"/>
      <c r="I314" s="2"/>
      <c r="J314" s="2"/>
      <c r="K314" s="2"/>
    </row>
    <row r="315" spans="3:11" x14ac:dyDescent="0.2">
      <c r="C315" s="2"/>
      <c r="D315" s="2"/>
      <c r="E315" s="2"/>
      <c r="F315" s="2"/>
      <c r="G315" s="5"/>
      <c r="H315" s="2"/>
      <c r="I315" s="2"/>
      <c r="J315" s="2"/>
      <c r="K315" s="2"/>
    </row>
    <row r="316" spans="3:11" x14ac:dyDescent="0.2">
      <c r="C316" s="2"/>
      <c r="D316" s="2"/>
      <c r="E316" s="2"/>
      <c r="F316" s="2"/>
      <c r="G316" s="5"/>
      <c r="H316" s="2"/>
      <c r="I316" s="2"/>
      <c r="J316" s="2"/>
      <c r="K316" s="2"/>
    </row>
    <row r="317" spans="3:11" x14ac:dyDescent="0.2">
      <c r="C317" s="2"/>
      <c r="D317" s="2"/>
      <c r="E317" s="2"/>
      <c r="F317" s="2"/>
      <c r="G317" s="5"/>
      <c r="H317" s="2"/>
      <c r="I317" s="2"/>
      <c r="J317" s="2"/>
      <c r="K317" s="2"/>
    </row>
    <row r="318" spans="3:11" x14ac:dyDescent="0.2">
      <c r="C318" s="2"/>
      <c r="D318" s="2"/>
      <c r="E318" s="2"/>
      <c r="F318" s="2"/>
      <c r="G318" s="5"/>
      <c r="H318" s="2"/>
      <c r="I318" s="2"/>
      <c r="J318" s="2"/>
      <c r="K318" s="2"/>
    </row>
    <row r="319" spans="3:11" x14ac:dyDescent="0.2">
      <c r="C319" s="2"/>
      <c r="D319" s="2"/>
      <c r="E319" s="2"/>
      <c r="F319" s="2"/>
      <c r="G319" s="5"/>
      <c r="H319" s="2"/>
      <c r="I319" s="2"/>
      <c r="J319" s="2"/>
      <c r="K319" s="2"/>
    </row>
    <row r="320" spans="3:11" x14ac:dyDescent="0.2">
      <c r="C320" s="2"/>
      <c r="D320" s="2"/>
      <c r="E320" s="2"/>
      <c r="F320" s="2"/>
      <c r="G320" s="5"/>
      <c r="H320" s="2"/>
      <c r="I320" s="2"/>
      <c r="J320" s="2"/>
      <c r="K320" s="2"/>
    </row>
    <row r="321" spans="3:11" x14ac:dyDescent="0.2">
      <c r="C321" s="2"/>
      <c r="D321" s="2"/>
      <c r="E321" s="2"/>
      <c r="F321" s="2"/>
      <c r="G321" s="5"/>
      <c r="H321" s="2"/>
      <c r="I321" s="2"/>
      <c r="J321" s="2"/>
      <c r="K321" s="2"/>
    </row>
    <row r="322" spans="3:11" x14ac:dyDescent="0.2">
      <c r="C322" s="2"/>
      <c r="D322" s="2"/>
      <c r="E322" s="2"/>
      <c r="F322" s="2"/>
      <c r="G322" s="5"/>
      <c r="H322" s="2"/>
      <c r="I322" s="2"/>
      <c r="J322" s="2"/>
      <c r="K322" s="2"/>
    </row>
    <row r="323" spans="3:11" x14ac:dyDescent="0.2">
      <c r="C323" s="2"/>
      <c r="D323" s="2"/>
      <c r="E323" s="2"/>
      <c r="F323" s="2"/>
      <c r="G323" s="5"/>
      <c r="H323" s="2"/>
      <c r="I323" s="2"/>
      <c r="J323" s="2"/>
      <c r="K323" s="2"/>
    </row>
    <row r="324" spans="3:11" x14ac:dyDescent="0.2">
      <c r="C324" s="2"/>
      <c r="D324" s="2"/>
      <c r="E324" s="2"/>
      <c r="F324" s="2"/>
      <c r="G324" s="5"/>
      <c r="H324" s="2"/>
      <c r="I324" s="2"/>
      <c r="J324" s="2"/>
      <c r="K324" s="2"/>
    </row>
    <row r="325" spans="3:11" x14ac:dyDescent="0.2">
      <c r="C325" s="2"/>
      <c r="D325" s="2"/>
      <c r="E325" s="2"/>
      <c r="F325" s="2"/>
      <c r="G325" s="5"/>
      <c r="H325" s="2"/>
      <c r="I325" s="2"/>
      <c r="J325" s="2"/>
      <c r="K325" s="2"/>
    </row>
    <row r="326" spans="3:11" x14ac:dyDescent="0.2">
      <c r="C326" s="2"/>
      <c r="D326" s="2"/>
      <c r="E326" s="2"/>
      <c r="F326" s="2"/>
      <c r="G326" s="5"/>
      <c r="H326" s="2"/>
      <c r="I326" s="2"/>
      <c r="J326" s="2"/>
      <c r="K326" s="2"/>
    </row>
    <row r="327" spans="3:11" x14ac:dyDescent="0.2">
      <c r="C327" s="2"/>
      <c r="D327" s="2"/>
      <c r="E327" s="2"/>
      <c r="F327" s="2"/>
      <c r="G327" s="5"/>
      <c r="H327" s="2"/>
      <c r="I327" s="2"/>
      <c r="J327" s="2"/>
      <c r="K327" s="2"/>
    </row>
    <row r="328" spans="3:11" x14ac:dyDescent="0.2">
      <c r="C328" s="2"/>
      <c r="D328" s="2"/>
      <c r="E328" s="2"/>
      <c r="F328" s="2"/>
      <c r="G328" s="5"/>
      <c r="H328" s="2"/>
      <c r="I328" s="2"/>
      <c r="J328" s="2"/>
      <c r="K328" s="2"/>
    </row>
    <row r="329" spans="3:11" x14ac:dyDescent="0.2">
      <c r="C329" s="2"/>
      <c r="D329" s="2"/>
      <c r="E329" s="2"/>
      <c r="F329" s="2"/>
      <c r="G329" s="5"/>
      <c r="H329" s="2"/>
      <c r="I329" s="2"/>
      <c r="J329" s="2"/>
      <c r="K329" s="2"/>
    </row>
    <row r="330" spans="3:11" x14ac:dyDescent="0.2">
      <c r="C330" s="2"/>
      <c r="D330" s="2"/>
      <c r="E330" s="2"/>
      <c r="F330" s="2"/>
      <c r="G330" s="5"/>
      <c r="H330" s="2"/>
      <c r="I330" s="2"/>
      <c r="J330" s="2"/>
      <c r="K330" s="2"/>
    </row>
    <row r="331" spans="3:11" x14ac:dyDescent="0.2">
      <c r="C331" s="2"/>
      <c r="D331" s="2"/>
      <c r="E331" s="2"/>
      <c r="F331" s="2"/>
      <c r="G331" s="5"/>
      <c r="H331" s="2"/>
      <c r="I331" s="2"/>
      <c r="J331" s="2"/>
      <c r="K331" s="2"/>
    </row>
    <row r="332" spans="3:11" x14ac:dyDescent="0.2">
      <c r="C332" s="2"/>
      <c r="D332" s="2"/>
      <c r="E332" s="2"/>
      <c r="F332" s="2"/>
      <c r="G332" s="5"/>
      <c r="H332" s="2"/>
      <c r="I332" s="2"/>
      <c r="J332" s="2"/>
      <c r="K332" s="2"/>
    </row>
    <row r="333" spans="3:11" x14ac:dyDescent="0.2">
      <c r="C333" s="2"/>
      <c r="D333" s="2"/>
      <c r="E333" s="2"/>
      <c r="F333" s="2"/>
      <c r="G333" s="5"/>
      <c r="H333" s="2"/>
      <c r="I333" s="2"/>
      <c r="J333" s="2"/>
      <c r="K333" s="2"/>
    </row>
    <row r="334" spans="3:11" x14ac:dyDescent="0.2">
      <c r="C334" s="2"/>
      <c r="D334" s="2"/>
      <c r="E334" s="2"/>
      <c r="F334" s="2"/>
      <c r="G334" s="5"/>
      <c r="H334" s="2"/>
      <c r="I334" s="2"/>
      <c r="J334" s="2"/>
      <c r="K334" s="2"/>
    </row>
    <row r="335" spans="3:11" x14ac:dyDescent="0.2">
      <c r="C335" s="2"/>
      <c r="D335" s="2"/>
      <c r="E335" s="2"/>
      <c r="F335" s="2"/>
      <c r="G335" s="5"/>
      <c r="H335" s="2"/>
      <c r="I335" s="2"/>
      <c r="J335" s="2"/>
      <c r="K335" s="2"/>
    </row>
    <row r="336" spans="3:11" x14ac:dyDescent="0.2">
      <c r="C336" s="2"/>
      <c r="D336" s="2"/>
      <c r="E336" s="2"/>
      <c r="F336" s="2"/>
      <c r="G336" s="5"/>
      <c r="H336" s="2"/>
      <c r="I336" s="2"/>
      <c r="J336" s="2"/>
      <c r="K336" s="2"/>
    </row>
    <row r="337" spans="3:11" x14ac:dyDescent="0.2">
      <c r="C337" s="2"/>
      <c r="D337" s="2"/>
      <c r="E337" s="2"/>
      <c r="F337" s="2"/>
      <c r="G337" s="5"/>
      <c r="H337" s="2"/>
      <c r="I337" s="2"/>
      <c r="J337" s="2"/>
      <c r="K337" s="2"/>
    </row>
    <row r="338" spans="3:11" x14ac:dyDescent="0.2">
      <c r="C338" s="2"/>
      <c r="D338" s="2"/>
      <c r="E338" s="2"/>
      <c r="F338" s="2"/>
      <c r="G338" s="5"/>
      <c r="H338" s="2"/>
      <c r="I338" s="2"/>
      <c r="J338" s="2"/>
      <c r="K338" s="2"/>
    </row>
    <row r="339" spans="3:11" x14ac:dyDescent="0.2">
      <c r="C339" s="2"/>
      <c r="D339" s="2"/>
      <c r="E339" s="2"/>
      <c r="F339" s="2"/>
      <c r="G339" s="5"/>
      <c r="H339" s="2"/>
      <c r="I339" s="2"/>
      <c r="J339" s="2"/>
      <c r="K339" s="2"/>
    </row>
    <row r="340" spans="3:11" x14ac:dyDescent="0.2">
      <c r="C340" s="2"/>
      <c r="D340" s="2"/>
      <c r="E340" s="2"/>
      <c r="F340" s="2"/>
      <c r="G340" s="5"/>
      <c r="H340" s="2"/>
      <c r="I340" s="2"/>
      <c r="J340" s="2"/>
      <c r="K340" s="2"/>
    </row>
    <row r="341" spans="3:11" x14ac:dyDescent="0.2">
      <c r="C341" s="2"/>
      <c r="D341" s="2"/>
      <c r="E341" s="2"/>
      <c r="F341" s="2"/>
      <c r="G341" s="5"/>
      <c r="H341" s="2"/>
      <c r="I341" s="2"/>
      <c r="J341" s="2"/>
      <c r="K341" s="2"/>
    </row>
    <row r="342" spans="3:11" x14ac:dyDescent="0.2">
      <c r="C342" s="2"/>
      <c r="D342" s="2"/>
      <c r="E342" s="2"/>
      <c r="F342" s="2"/>
      <c r="G342" s="5"/>
      <c r="H342" s="2"/>
      <c r="I342" s="2"/>
      <c r="J342" s="2"/>
      <c r="K342" s="2"/>
    </row>
    <row r="343" spans="3:11" x14ac:dyDescent="0.2">
      <c r="C343" s="2"/>
      <c r="D343" s="2"/>
      <c r="E343" s="2"/>
      <c r="F343" s="2"/>
      <c r="G343" s="5"/>
      <c r="H343" s="2"/>
      <c r="I343" s="2"/>
      <c r="J343" s="2"/>
      <c r="K343" s="2"/>
    </row>
    <row r="344" spans="3:11" x14ac:dyDescent="0.2">
      <c r="C344" s="2"/>
      <c r="D344" s="2"/>
      <c r="E344" s="2"/>
      <c r="F344" s="2"/>
      <c r="G344" s="5"/>
      <c r="H344" s="2"/>
      <c r="I344" s="2"/>
      <c r="J344" s="2"/>
      <c r="K344" s="2"/>
    </row>
    <row r="345" spans="3:11" x14ac:dyDescent="0.2">
      <c r="C345" s="2"/>
      <c r="D345" s="2"/>
      <c r="E345" s="2"/>
      <c r="F345" s="2"/>
      <c r="G345" s="5"/>
      <c r="H345" s="2"/>
      <c r="I345" s="2"/>
      <c r="J345" s="2"/>
      <c r="K345" s="2"/>
    </row>
    <row r="346" spans="3:11" x14ac:dyDescent="0.2">
      <c r="C346" s="2"/>
      <c r="D346" s="2"/>
      <c r="E346" s="2"/>
      <c r="F346" s="2"/>
      <c r="G346" s="5"/>
      <c r="H346" s="2"/>
      <c r="I346" s="2"/>
      <c r="J346" s="2"/>
      <c r="K346" s="2"/>
    </row>
    <row r="347" spans="3:11" x14ac:dyDescent="0.2">
      <c r="C347" s="2"/>
      <c r="D347" s="2"/>
      <c r="E347" s="2"/>
      <c r="F347" s="2"/>
      <c r="G347" s="5"/>
      <c r="H347" s="2"/>
      <c r="I347" s="2"/>
      <c r="J347" s="2"/>
      <c r="K347" s="2"/>
    </row>
    <row r="348" spans="3:11" x14ac:dyDescent="0.2">
      <c r="C348" s="2"/>
      <c r="D348" s="2"/>
      <c r="E348" s="2"/>
      <c r="F348" s="2"/>
      <c r="G348" s="5"/>
      <c r="H348" s="2"/>
      <c r="I348" s="2"/>
      <c r="J348" s="2"/>
      <c r="K348" s="2"/>
    </row>
    <row r="349" spans="3:11" x14ac:dyDescent="0.2">
      <c r="C349" s="2"/>
      <c r="D349" s="2"/>
      <c r="E349" s="2"/>
      <c r="F349" s="2"/>
      <c r="G349" s="5"/>
      <c r="H349" s="2"/>
      <c r="I349" s="2"/>
      <c r="J349" s="2"/>
      <c r="K349" s="2"/>
    </row>
    <row r="350" spans="3:11" x14ac:dyDescent="0.2">
      <c r="C350" s="2"/>
      <c r="D350" s="2"/>
      <c r="E350" s="2"/>
      <c r="F350" s="2"/>
      <c r="G350" s="5"/>
      <c r="H350" s="2"/>
      <c r="I350" s="2"/>
      <c r="J350" s="2"/>
      <c r="K350" s="2"/>
    </row>
    <row r="351" spans="3:11" x14ac:dyDescent="0.2">
      <c r="C351" s="2"/>
      <c r="D351" s="2"/>
      <c r="E351" s="2"/>
      <c r="F351" s="2"/>
      <c r="G351" s="5"/>
      <c r="H351" s="2"/>
      <c r="I351" s="2"/>
      <c r="J351" s="2"/>
      <c r="K351" s="2"/>
    </row>
    <row r="352" spans="3:11" x14ac:dyDescent="0.2">
      <c r="C352" s="2"/>
      <c r="D352" s="2"/>
      <c r="E352" s="2"/>
      <c r="F352" s="2"/>
      <c r="G352" s="5"/>
      <c r="H352" s="2"/>
      <c r="I352" s="2"/>
      <c r="J352" s="2"/>
      <c r="K352" s="2"/>
    </row>
    <row r="353" spans="3:11" x14ac:dyDescent="0.2">
      <c r="C353" s="2"/>
      <c r="D353" s="2"/>
      <c r="E353" s="2"/>
      <c r="F353" s="2"/>
      <c r="G353" s="5"/>
      <c r="H353" s="2"/>
      <c r="I353" s="2"/>
      <c r="J353" s="2"/>
      <c r="K353" s="2"/>
    </row>
    <row r="354" spans="3:11" x14ac:dyDescent="0.2">
      <c r="C354" s="2"/>
      <c r="D354" s="2"/>
      <c r="E354" s="2"/>
      <c r="F354" s="2"/>
      <c r="G354" s="5"/>
      <c r="H354" s="2"/>
      <c r="I354" s="2"/>
      <c r="J354" s="2"/>
      <c r="K354" s="2"/>
    </row>
    <row r="355" spans="3:11" x14ac:dyDescent="0.2">
      <c r="C355" s="2"/>
      <c r="D355" s="2"/>
      <c r="E355" s="2"/>
      <c r="F355" s="2"/>
      <c r="G355" s="5"/>
      <c r="H355" s="2"/>
      <c r="I355" s="2"/>
      <c r="J355" s="2"/>
      <c r="K355" s="2"/>
    </row>
    <row r="356" spans="3:11" x14ac:dyDescent="0.2">
      <c r="C356" s="2"/>
      <c r="D356" s="2"/>
      <c r="E356" s="2"/>
      <c r="F356" s="2"/>
      <c r="G356" s="5"/>
      <c r="H356" s="2"/>
      <c r="I356" s="2"/>
      <c r="J356" s="2"/>
      <c r="K356" s="2"/>
    </row>
    <row r="357" spans="3:11" x14ac:dyDescent="0.2">
      <c r="C357" s="2"/>
      <c r="D357" s="2"/>
      <c r="E357" s="2"/>
      <c r="F357" s="2"/>
      <c r="G357" s="5"/>
      <c r="H357" s="2"/>
      <c r="I357" s="2"/>
      <c r="J357" s="2"/>
      <c r="K357" s="2"/>
    </row>
    <row r="358" spans="3:11" x14ac:dyDescent="0.2">
      <c r="C358" s="2"/>
      <c r="D358" s="2"/>
      <c r="E358" s="2"/>
      <c r="F358" s="2"/>
      <c r="G358" s="5"/>
      <c r="H358" s="2"/>
      <c r="I358" s="2"/>
      <c r="J358" s="2"/>
      <c r="K358" s="2"/>
    </row>
    <row r="359" spans="3:11" x14ac:dyDescent="0.2">
      <c r="C359" s="2"/>
      <c r="D359" s="2"/>
      <c r="E359" s="2"/>
      <c r="F359" s="2"/>
      <c r="G359" s="5"/>
      <c r="H359" s="2"/>
      <c r="I359" s="2"/>
      <c r="J359" s="2"/>
      <c r="K359" s="2"/>
    </row>
    <row r="360" spans="3:11" x14ac:dyDescent="0.2">
      <c r="C360" s="2"/>
      <c r="D360" s="2"/>
      <c r="E360" s="2"/>
      <c r="F360" s="2"/>
      <c r="G360" s="5"/>
      <c r="H360" s="2"/>
      <c r="I360" s="2"/>
      <c r="J360" s="2"/>
      <c r="K360" s="2"/>
    </row>
    <row r="361" spans="3:11" x14ac:dyDescent="0.2">
      <c r="C361" s="2"/>
      <c r="D361" s="2"/>
      <c r="E361" s="2"/>
      <c r="F361" s="2"/>
      <c r="G361" s="5"/>
      <c r="H361" s="2"/>
      <c r="I361" s="2"/>
      <c r="J361" s="2"/>
      <c r="K361" s="2"/>
    </row>
    <row r="362" spans="3:11" x14ac:dyDescent="0.2">
      <c r="C362" s="2"/>
      <c r="D362" s="2"/>
      <c r="E362" s="2"/>
      <c r="F362" s="2"/>
      <c r="G362" s="5"/>
      <c r="H362" s="2"/>
      <c r="I362" s="2"/>
      <c r="J362" s="2"/>
      <c r="K362" s="2"/>
    </row>
    <row r="363" spans="3:11" x14ac:dyDescent="0.2">
      <c r="C363" s="2"/>
      <c r="D363" s="2"/>
      <c r="E363" s="2"/>
      <c r="F363" s="2"/>
      <c r="G363" s="5"/>
      <c r="H363" s="2"/>
      <c r="I363" s="2"/>
      <c r="J363" s="2"/>
      <c r="K363" s="2"/>
    </row>
    <row r="364" spans="3:11" x14ac:dyDescent="0.2">
      <c r="C364" s="2"/>
      <c r="D364" s="2"/>
      <c r="E364" s="2"/>
      <c r="F364" s="2"/>
      <c r="G364" s="5"/>
      <c r="H364" s="2"/>
      <c r="I364" s="2"/>
      <c r="J364" s="2"/>
      <c r="K364" s="2"/>
    </row>
    <row r="365" spans="3:11" x14ac:dyDescent="0.2">
      <c r="C365" s="2"/>
      <c r="D365" s="2"/>
      <c r="E365" s="2"/>
      <c r="F365" s="2"/>
      <c r="G365" s="5"/>
      <c r="H365" s="2"/>
      <c r="I365" s="2"/>
      <c r="J365" s="2"/>
      <c r="K365" s="2"/>
    </row>
    <row r="366" spans="3:11" x14ac:dyDescent="0.2">
      <c r="C366" s="2"/>
      <c r="D366" s="2"/>
      <c r="E366" s="2"/>
      <c r="F366" s="2"/>
      <c r="G366" s="5"/>
      <c r="H366" s="2"/>
      <c r="I366" s="2"/>
      <c r="J366" s="2"/>
      <c r="K366" s="2"/>
    </row>
    <row r="367" spans="3:11" x14ac:dyDescent="0.2">
      <c r="C367" s="2"/>
      <c r="D367" s="2"/>
      <c r="E367" s="2"/>
      <c r="F367" s="2"/>
      <c r="G367" s="5"/>
      <c r="H367" s="2"/>
      <c r="I367" s="2"/>
      <c r="J367" s="2"/>
      <c r="K367" s="2"/>
    </row>
    <row r="368" spans="3:11" x14ac:dyDescent="0.2">
      <c r="C368" s="2"/>
      <c r="D368" s="2"/>
      <c r="E368" s="2"/>
      <c r="F368" s="2"/>
      <c r="G368" s="5"/>
      <c r="H368" s="2"/>
      <c r="I368" s="2"/>
      <c r="J368" s="2"/>
      <c r="K368" s="2"/>
    </row>
    <row r="369" spans="3:11" x14ac:dyDescent="0.2">
      <c r="C369" s="2"/>
      <c r="D369" s="2"/>
      <c r="E369" s="2"/>
      <c r="F369" s="2"/>
      <c r="G369" s="5"/>
      <c r="H369" s="2"/>
      <c r="I369" s="2"/>
      <c r="J369" s="2"/>
      <c r="K369" s="2"/>
    </row>
    <row r="370" spans="3:11" x14ac:dyDescent="0.2">
      <c r="C370" s="2"/>
      <c r="D370" s="2"/>
      <c r="E370" s="2"/>
      <c r="F370" s="2"/>
      <c r="G370" s="5"/>
      <c r="H370" s="2"/>
      <c r="I370" s="2"/>
      <c r="J370" s="2"/>
      <c r="K370" s="2"/>
    </row>
    <row r="371" spans="3:11" x14ac:dyDescent="0.2">
      <c r="C371" s="2"/>
      <c r="D371" s="2"/>
      <c r="E371" s="2"/>
      <c r="F371" s="2"/>
      <c r="G371" s="5"/>
      <c r="H371" s="2"/>
      <c r="I371" s="2"/>
      <c r="J371" s="2"/>
      <c r="K371" s="2"/>
    </row>
    <row r="372" spans="3:11" x14ac:dyDescent="0.2">
      <c r="C372" s="2"/>
      <c r="D372" s="2"/>
      <c r="E372" s="2"/>
      <c r="F372" s="2"/>
      <c r="G372" s="5"/>
      <c r="H372" s="2"/>
      <c r="I372" s="2"/>
      <c r="J372" s="2"/>
      <c r="K372" s="2"/>
    </row>
    <row r="373" spans="3:11" x14ac:dyDescent="0.2">
      <c r="C373" s="2"/>
      <c r="D373" s="2"/>
      <c r="E373" s="2"/>
      <c r="F373" s="2"/>
      <c r="G373" s="5"/>
      <c r="H373" s="2"/>
      <c r="I373" s="2"/>
      <c r="J373" s="2"/>
      <c r="K373" s="2"/>
    </row>
    <row r="374" spans="3:11" x14ac:dyDescent="0.2">
      <c r="C374" s="2"/>
      <c r="D374" s="2"/>
      <c r="E374" s="2"/>
      <c r="F374" s="2"/>
      <c r="G374" s="5"/>
      <c r="H374" s="2"/>
      <c r="I374" s="2"/>
      <c r="J374" s="2"/>
      <c r="K374" s="2"/>
    </row>
    <row r="375" spans="3:11" x14ac:dyDescent="0.2">
      <c r="C375" s="2"/>
      <c r="D375" s="2"/>
      <c r="E375" s="2"/>
      <c r="F375" s="2"/>
      <c r="G375" s="5"/>
      <c r="H375" s="2"/>
      <c r="I375" s="2"/>
      <c r="J375" s="2"/>
      <c r="K375" s="2"/>
    </row>
    <row r="376" spans="3:11" x14ac:dyDescent="0.2">
      <c r="C376" s="2"/>
      <c r="D376" s="2"/>
      <c r="E376" s="2"/>
      <c r="F376" s="2"/>
      <c r="G376" s="5"/>
      <c r="H376" s="2"/>
      <c r="I376" s="2"/>
      <c r="J376" s="2"/>
      <c r="K376" s="2"/>
    </row>
    <row r="377" spans="3:11" x14ac:dyDescent="0.2">
      <c r="C377" s="2"/>
      <c r="D377" s="2"/>
      <c r="E377" s="2"/>
      <c r="F377" s="2"/>
      <c r="G377" s="5"/>
      <c r="H377" s="2"/>
      <c r="I377" s="2"/>
      <c r="J377" s="2"/>
      <c r="K377" s="2"/>
    </row>
    <row r="378" spans="3:11" x14ac:dyDescent="0.2">
      <c r="C378" s="2"/>
      <c r="D378" s="2"/>
      <c r="E378" s="2"/>
      <c r="F378" s="2"/>
      <c r="G378" s="5"/>
      <c r="H378" s="2"/>
      <c r="I378" s="2"/>
      <c r="J378" s="2"/>
      <c r="K378" s="2"/>
    </row>
    <row r="379" spans="3:11" x14ac:dyDescent="0.2">
      <c r="C379" s="2"/>
      <c r="D379" s="2"/>
      <c r="E379" s="2"/>
      <c r="F379" s="2"/>
      <c r="G379" s="5"/>
      <c r="H379" s="2"/>
      <c r="I379" s="2"/>
      <c r="J379" s="2"/>
      <c r="K379" s="2"/>
    </row>
    <row r="380" spans="3:11" x14ac:dyDescent="0.2">
      <c r="C380" s="2"/>
      <c r="D380" s="2"/>
      <c r="E380" s="2"/>
      <c r="F380" s="2"/>
      <c r="G380" s="5"/>
      <c r="H380" s="2"/>
      <c r="I380" s="2"/>
      <c r="J380" s="2"/>
      <c r="K380" s="2"/>
    </row>
    <row r="381" spans="3:11" x14ac:dyDescent="0.2">
      <c r="C381" s="2"/>
      <c r="D381" s="2"/>
      <c r="E381" s="2"/>
      <c r="F381" s="2"/>
      <c r="G381" s="5"/>
      <c r="H381" s="2"/>
      <c r="I381" s="2"/>
      <c r="J381" s="2"/>
      <c r="K381" s="2"/>
    </row>
    <row r="382" spans="3:11" x14ac:dyDescent="0.2">
      <c r="C382" s="2"/>
      <c r="D382" s="2"/>
      <c r="E382" s="2"/>
      <c r="F382" s="2"/>
      <c r="G382" s="5"/>
      <c r="H382" s="2"/>
      <c r="I382" s="2"/>
      <c r="J382" s="2"/>
      <c r="K382" s="2"/>
    </row>
    <row r="383" spans="3:11" x14ac:dyDescent="0.2">
      <c r="C383" s="2"/>
      <c r="D383" s="2"/>
      <c r="E383" s="2"/>
      <c r="F383" s="2"/>
      <c r="G383" s="5"/>
      <c r="H383" s="2"/>
      <c r="I383" s="2"/>
      <c r="J383" s="2"/>
      <c r="K383" s="2"/>
    </row>
    <row r="384" spans="3:11" x14ac:dyDescent="0.2">
      <c r="C384" s="2"/>
      <c r="D384" s="2"/>
      <c r="E384" s="2"/>
      <c r="F384" s="2"/>
      <c r="G384" s="5"/>
      <c r="H384" s="2"/>
      <c r="I384" s="2"/>
      <c r="J384" s="2"/>
      <c r="K384" s="2"/>
    </row>
    <row r="385" spans="3:11" x14ac:dyDescent="0.2">
      <c r="C385" s="2"/>
      <c r="D385" s="2"/>
      <c r="E385" s="2"/>
      <c r="F385" s="2"/>
      <c r="G385" s="5"/>
      <c r="H385" s="2"/>
      <c r="I385" s="2"/>
      <c r="J385" s="2"/>
      <c r="K385" s="2"/>
    </row>
    <row r="386" spans="3:11" x14ac:dyDescent="0.2">
      <c r="C386" s="2"/>
      <c r="D386" s="2"/>
      <c r="E386" s="2"/>
      <c r="F386" s="2"/>
      <c r="G386" s="5"/>
      <c r="H386" s="2"/>
      <c r="I386" s="2"/>
      <c r="J386" s="2"/>
      <c r="K386" s="2"/>
    </row>
    <row r="387" spans="3:11" x14ac:dyDescent="0.2">
      <c r="C387" s="2"/>
      <c r="D387" s="2"/>
      <c r="E387" s="2"/>
      <c r="F387" s="2"/>
      <c r="G387" s="5"/>
      <c r="H387" s="2"/>
      <c r="I387" s="2"/>
      <c r="J387" s="2"/>
      <c r="K387" s="2"/>
    </row>
    <row r="388" spans="3:11" x14ac:dyDescent="0.2">
      <c r="C388" s="2"/>
      <c r="D388" s="2"/>
      <c r="E388" s="2"/>
      <c r="F388" s="2"/>
      <c r="G388" s="5"/>
      <c r="H388" s="2"/>
      <c r="I388" s="2"/>
      <c r="J388" s="2"/>
      <c r="K388" s="2"/>
    </row>
    <row r="389" spans="3:11" x14ac:dyDescent="0.2">
      <c r="C389" s="2"/>
      <c r="D389" s="2"/>
      <c r="E389" s="2"/>
      <c r="F389" s="2"/>
      <c r="G389" s="5"/>
      <c r="H389" s="2"/>
      <c r="I389" s="2"/>
      <c r="J389" s="2"/>
      <c r="K389" s="2"/>
    </row>
    <row r="390" spans="3:11" x14ac:dyDescent="0.2">
      <c r="C390" s="2"/>
      <c r="D390" s="2"/>
      <c r="E390" s="2"/>
      <c r="F390" s="2"/>
      <c r="G390" s="5"/>
      <c r="H390" s="2"/>
      <c r="I390" s="2"/>
      <c r="J390" s="2"/>
      <c r="K390" s="2"/>
    </row>
    <row r="391" spans="3:11" x14ac:dyDescent="0.2">
      <c r="C391" s="2"/>
      <c r="D391" s="2"/>
      <c r="E391" s="2"/>
      <c r="F391" s="2"/>
      <c r="G391" s="5"/>
      <c r="H391" s="2"/>
      <c r="I391" s="2"/>
      <c r="J391" s="2"/>
      <c r="K391" s="2"/>
    </row>
    <row r="392" spans="3:11" x14ac:dyDescent="0.2">
      <c r="C392" s="2"/>
      <c r="D392" s="2"/>
      <c r="E392" s="2"/>
      <c r="F392" s="2"/>
      <c r="G392" s="5"/>
      <c r="H392" s="2"/>
      <c r="I392" s="2"/>
      <c r="J392" s="2"/>
      <c r="K392" s="2"/>
    </row>
    <row r="393" spans="3:11" x14ac:dyDescent="0.2">
      <c r="C393" s="2"/>
      <c r="D393" s="2"/>
      <c r="E393" s="2"/>
      <c r="F393" s="2"/>
      <c r="G393" s="5"/>
      <c r="H393" s="2"/>
      <c r="I393" s="2"/>
      <c r="J393" s="2"/>
      <c r="K393" s="2"/>
    </row>
    <row r="394" spans="3:11" x14ac:dyDescent="0.2">
      <c r="C394" s="2"/>
      <c r="D394" s="2"/>
      <c r="E394" s="2"/>
      <c r="F394" s="2"/>
      <c r="G394" s="5"/>
      <c r="H394" s="2"/>
      <c r="I394" s="2"/>
      <c r="J394" s="2"/>
      <c r="K394" s="2"/>
    </row>
    <row r="395" spans="3:11" x14ac:dyDescent="0.2">
      <c r="C395" s="2"/>
      <c r="D395" s="2"/>
      <c r="E395" s="2"/>
      <c r="F395" s="2"/>
      <c r="G395" s="5"/>
      <c r="H395" s="2"/>
      <c r="I395" s="2"/>
      <c r="J395" s="2"/>
      <c r="K395" s="2"/>
    </row>
    <row r="396" spans="3:11" x14ac:dyDescent="0.2">
      <c r="C396" s="2"/>
      <c r="D396" s="2"/>
      <c r="E396" s="2"/>
      <c r="F396" s="2"/>
      <c r="G396" s="5"/>
      <c r="H396" s="2"/>
      <c r="I396" s="2"/>
      <c r="J396" s="2"/>
      <c r="K396" s="2"/>
    </row>
    <row r="397" spans="3:11" x14ac:dyDescent="0.2">
      <c r="C397" s="2"/>
      <c r="D397" s="2"/>
      <c r="E397" s="2"/>
      <c r="F397" s="2"/>
      <c r="G397" s="5"/>
      <c r="H397" s="2"/>
      <c r="I397" s="2"/>
      <c r="J397" s="2"/>
      <c r="K397" s="2"/>
    </row>
    <row r="398" spans="3:11" x14ac:dyDescent="0.2">
      <c r="C398" s="2"/>
      <c r="D398" s="2"/>
      <c r="E398" s="2"/>
      <c r="F398" s="2"/>
      <c r="G398" s="5"/>
      <c r="H398" s="2"/>
      <c r="I398" s="2"/>
      <c r="J398" s="2"/>
      <c r="K398" s="2"/>
    </row>
    <row r="399" spans="3:11" x14ac:dyDescent="0.2">
      <c r="C399" s="2"/>
      <c r="D399" s="2"/>
      <c r="E399" s="2"/>
      <c r="F399" s="2"/>
      <c r="G399" s="5"/>
      <c r="H399" s="2"/>
      <c r="I399" s="2"/>
      <c r="J399" s="2"/>
      <c r="K399" s="2"/>
    </row>
    <row r="400" spans="3:11" x14ac:dyDescent="0.2">
      <c r="C400" s="2"/>
      <c r="D400" s="2"/>
      <c r="E400" s="2"/>
      <c r="F400" s="2"/>
      <c r="G400" s="5"/>
      <c r="H400" s="2"/>
      <c r="I400" s="2"/>
      <c r="J400" s="2"/>
      <c r="K400" s="2"/>
    </row>
    <row r="401" spans="3:11" x14ac:dyDescent="0.2">
      <c r="C401" s="2"/>
      <c r="D401" s="2"/>
      <c r="E401" s="2"/>
      <c r="F401" s="2"/>
      <c r="G401" s="5"/>
      <c r="H401" s="2"/>
      <c r="I401" s="2"/>
      <c r="J401" s="2"/>
      <c r="K401" s="2"/>
    </row>
    <row r="402" spans="3:11" x14ac:dyDescent="0.2">
      <c r="C402" s="2"/>
      <c r="D402" s="2"/>
      <c r="E402" s="2"/>
      <c r="F402" s="2"/>
      <c r="G402" s="5"/>
      <c r="H402" s="2"/>
      <c r="I402" s="2"/>
      <c r="J402" s="2"/>
      <c r="K402" s="2"/>
    </row>
    <row r="403" spans="3:11" x14ac:dyDescent="0.2">
      <c r="C403" s="2"/>
      <c r="D403" s="2"/>
      <c r="E403" s="2"/>
      <c r="F403" s="2"/>
      <c r="G403" s="5"/>
      <c r="H403" s="2"/>
      <c r="I403" s="2"/>
      <c r="J403" s="2"/>
      <c r="K403" s="2"/>
    </row>
    <row r="404" spans="3:11" x14ac:dyDescent="0.2">
      <c r="C404" s="2"/>
      <c r="D404" s="2"/>
      <c r="E404" s="2"/>
      <c r="F404" s="2"/>
      <c r="G404" s="5"/>
      <c r="H404" s="2"/>
      <c r="I404" s="2"/>
      <c r="J404" s="2"/>
      <c r="K404" s="2"/>
    </row>
    <row r="405" spans="3:11" x14ac:dyDescent="0.2">
      <c r="C405" s="2"/>
      <c r="D405" s="2"/>
      <c r="E405" s="2"/>
      <c r="F405" s="2"/>
      <c r="G405" s="5"/>
      <c r="H405" s="2"/>
      <c r="I405" s="2"/>
      <c r="J405" s="2"/>
      <c r="K405" s="2"/>
    </row>
    <row r="406" spans="3:11" x14ac:dyDescent="0.2">
      <c r="C406" s="2"/>
      <c r="D406" s="2"/>
      <c r="E406" s="2"/>
      <c r="F406" s="2"/>
      <c r="G406" s="5"/>
      <c r="H406" s="2"/>
      <c r="I406" s="2"/>
      <c r="J406" s="2"/>
      <c r="K406" s="2"/>
    </row>
    <row r="407" spans="3:11" x14ac:dyDescent="0.2">
      <c r="C407" s="2"/>
      <c r="D407" s="2"/>
      <c r="E407" s="2"/>
      <c r="F407" s="2"/>
      <c r="G407" s="5"/>
      <c r="H407" s="2"/>
      <c r="I407" s="2"/>
      <c r="J407" s="2"/>
      <c r="K407" s="2"/>
    </row>
    <row r="408" spans="3:11" x14ac:dyDescent="0.2">
      <c r="C408" s="2"/>
      <c r="D408" s="2"/>
      <c r="E408" s="2"/>
      <c r="F408" s="2"/>
      <c r="G408" s="5"/>
      <c r="H408" s="2"/>
      <c r="I408" s="2"/>
      <c r="J408" s="2"/>
      <c r="K408" s="2"/>
    </row>
    <row r="409" spans="3:11" x14ac:dyDescent="0.2">
      <c r="C409" s="2"/>
      <c r="D409" s="2"/>
      <c r="E409" s="2"/>
      <c r="F409" s="2"/>
      <c r="G409" s="5"/>
      <c r="H409" s="2"/>
      <c r="I409" s="2"/>
      <c r="J409" s="2"/>
      <c r="K409" s="2"/>
    </row>
    <row r="410" spans="3:11" x14ac:dyDescent="0.2">
      <c r="C410" s="2"/>
      <c r="D410" s="2"/>
      <c r="E410" s="2"/>
      <c r="F410" s="2"/>
      <c r="G410" s="5"/>
      <c r="H410" s="2"/>
      <c r="I410" s="2"/>
      <c r="J410" s="2"/>
      <c r="K410" s="2"/>
    </row>
    <row r="411" spans="3:11" x14ac:dyDescent="0.2">
      <c r="C411" s="2"/>
      <c r="D411" s="2"/>
      <c r="E411" s="2"/>
      <c r="F411" s="2"/>
      <c r="G411" s="5"/>
      <c r="H411" s="2"/>
      <c r="I411" s="2"/>
      <c r="J411" s="2"/>
      <c r="K411" s="2"/>
    </row>
    <row r="412" spans="3:11" x14ac:dyDescent="0.2">
      <c r="C412" s="2"/>
      <c r="D412" s="2"/>
      <c r="E412" s="2"/>
      <c r="F412" s="2"/>
      <c r="G412" s="5"/>
      <c r="H412" s="2"/>
      <c r="I412" s="2"/>
      <c r="J412" s="2"/>
      <c r="K412" s="2"/>
    </row>
    <row r="413" spans="3:11" x14ac:dyDescent="0.2">
      <c r="C413" s="2"/>
      <c r="D413" s="2"/>
      <c r="E413" s="2"/>
      <c r="F413" s="2"/>
      <c r="G413" s="5"/>
      <c r="H413" s="2"/>
      <c r="I413" s="2"/>
      <c r="J413" s="2"/>
      <c r="K413" s="2"/>
    </row>
    <row r="414" spans="3:11" x14ac:dyDescent="0.2">
      <c r="C414" s="2"/>
      <c r="D414" s="2"/>
      <c r="E414" s="2"/>
      <c r="F414" s="2"/>
      <c r="G414" s="5"/>
      <c r="H414" s="2"/>
      <c r="I414" s="2"/>
      <c r="J414" s="2"/>
      <c r="K414" s="2"/>
    </row>
    <row r="415" spans="3:11" x14ac:dyDescent="0.2">
      <c r="C415" s="2"/>
      <c r="D415" s="2"/>
      <c r="E415" s="2"/>
      <c r="F415" s="2"/>
      <c r="G415" s="5"/>
      <c r="H415" s="2"/>
      <c r="I415" s="2"/>
      <c r="J415" s="2"/>
      <c r="K415" s="2"/>
    </row>
    <row r="416" spans="3:11" x14ac:dyDescent="0.2">
      <c r="C416" s="2"/>
      <c r="D416" s="2"/>
      <c r="E416" s="2"/>
      <c r="F416" s="2"/>
      <c r="G416" s="5"/>
      <c r="H416" s="2"/>
      <c r="I416" s="2"/>
      <c r="J416" s="2"/>
      <c r="K416" s="2"/>
    </row>
    <row r="417" spans="3:11" x14ac:dyDescent="0.2">
      <c r="C417" s="2"/>
      <c r="D417" s="2"/>
      <c r="E417" s="2"/>
      <c r="F417" s="2"/>
      <c r="G417" s="5"/>
      <c r="H417" s="2"/>
      <c r="I417" s="2"/>
      <c r="J417" s="2"/>
      <c r="K417" s="2"/>
    </row>
    <row r="418" spans="3:11" x14ac:dyDescent="0.2">
      <c r="C418" s="2"/>
      <c r="D418" s="2"/>
      <c r="E418" s="2"/>
      <c r="F418" s="2"/>
      <c r="G418" s="5"/>
      <c r="H418" s="2"/>
      <c r="I418" s="2"/>
      <c r="J418" s="2"/>
      <c r="K418" s="2"/>
    </row>
    <row r="419" spans="3:11" x14ac:dyDescent="0.2">
      <c r="C419" s="2"/>
      <c r="D419" s="2"/>
      <c r="E419" s="2"/>
      <c r="F419" s="2"/>
      <c r="G419" s="5"/>
      <c r="H419" s="2"/>
      <c r="I419" s="2"/>
      <c r="J419" s="2"/>
      <c r="K419" s="2"/>
    </row>
    <row r="420" spans="3:11" x14ac:dyDescent="0.2">
      <c r="C420" s="2"/>
      <c r="D420" s="2"/>
      <c r="E420" s="2"/>
      <c r="F420" s="2"/>
      <c r="G420" s="5"/>
      <c r="H420" s="2"/>
      <c r="I420" s="2"/>
      <c r="J420" s="2"/>
      <c r="K420" s="2"/>
    </row>
    <row r="421" spans="3:11" x14ac:dyDescent="0.2">
      <c r="C421" s="2"/>
      <c r="D421" s="2"/>
      <c r="E421" s="2"/>
      <c r="F421" s="2"/>
      <c r="G421" s="5"/>
      <c r="H421" s="2"/>
      <c r="I421" s="2"/>
      <c r="J421" s="2"/>
      <c r="K421" s="2"/>
    </row>
    <row r="422" spans="3:11" x14ac:dyDescent="0.2">
      <c r="C422" s="2"/>
      <c r="D422" s="2"/>
      <c r="E422" s="2"/>
      <c r="F422" s="2"/>
      <c r="G422" s="5"/>
      <c r="H422" s="2"/>
      <c r="I422" s="2"/>
      <c r="J422" s="2"/>
      <c r="K422" s="2"/>
    </row>
    <row r="423" spans="3:11" x14ac:dyDescent="0.2">
      <c r="C423" s="2"/>
      <c r="D423" s="2"/>
      <c r="E423" s="2"/>
      <c r="F423" s="2"/>
      <c r="G423" s="5"/>
      <c r="H423" s="2"/>
      <c r="I423" s="2"/>
      <c r="J423" s="2"/>
      <c r="K423" s="2"/>
    </row>
    <row r="424" spans="3:11" x14ac:dyDescent="0.2">
      <c r="C424" s="2"/>
      <c r="D424" s="2"/>
      <c r="E424" s="2"/>
      <c r="F424" s="2"/>
      <c r="G424" s="5"/>
      <c r="H424" s="2"/>
      <c r="I424" s="2"/>
      <c r="J424" s="2"/>
      <c r="K424" s="2"/>
    </row>
    <row r="425" spans="3:11" x14ac:dyDescent="0.2">
      <c r="C425" s="2"/>
      <c r="D425" s="2"/>
      <c r="E425" s="2"/>
      <c r="F425" s="2"/>
      <c r="G425" s="5"/>
      <c r="H425" s="2"/>
      <c r="I425" s="2"/>
      <c r="J425" s="2"/>
      <c r="K425" s="2"/>
    </row>
    <row r="426" spans="3:11" x14ac:dyDescent="0.2">
      <c r="C426" s="2"/>
      <c r="D426" s="2"/>
      <c r="E426" s="2"/>
      <c r="F426" s="2"/>
      <c r="G426" s="5"/>
      <c r="H426" s="2"/>
      <c r="I426" s="2"/>
      <c r="J426" s="2"/>
      <c r="K426" s="2"/>
    </row>
    <row r="427" spans="3:11" x14ac:dyDescent="0.2">
      <c r="C427" s="2"/>
      <c r="D427" s="2"/>
      <c r="E427" s="2"/>
      <c r="F427" s="2"/>
      <c r="G427" s="5"/>
      <c r="H427" s="2"/>
      <c r="I427" s="2"/>
      <c r="J427" s="2"/>
      <c r="K427" s="2"/>
    </row>
    <row r="428" spans="3:11" x14ac:dyDescent="0.2">
      <c r="C428" s="2"/>
      <c r="D428" s="2"/>
      <c r="E428" s="2"/>
      <c r="F428" s="2"/>
      <c r="G428" s="5"/>
      <c r="H428" s="2"/>
      <c r="I428" s="2"/>
      <c r="J428" s="2"/>
      <c r="K428" s="2"/>
    </row>
    <row r="429" spans="3:11" x14ac:dyDescent="0.2">
      <c r="C429" s="2"/>
      <c r="D429" s="2"/>
      <c r="E429" s="2"/>
      <c r="F429" s="2"/>
      <c r="G429" s="5"/>
      <c r="H429" s="2"/>
      <c r="I429" s="2"/>
      <c r="J429" s="2"/>
      <c r="K429" s="2"/>
    </row>
    <row r="430" spans="3:11" x14ac:dyDescent="0.2">
      <c r="C430" s="2"/>
      <c r="D430" s="2"/>
      <c r="E430" s="2"/>
      <c r="F430" s="2"/>
      <c r="G430" s="5"/>
      <c r="H430" s="2"/>
      <c r="I430" s="2"/>
      <c r="J430" s="2"/>
      <c r="K430" s="2"/>
    </row>
    <row r="431" spans="3:11" x14ac:dyDescent="0.2">
      <c r="C431" s="2"/>
      <c r="D431" s="2"/>
      <c r="E431" s="2"/>
      <c r="F431" s="2"/>
      <c r="G431" s="5"/>
      <c r="H431" s="2"/>
      <c r="I431" s="2"/>
      <c r="J431" s="2"/>
      <c r="K431" s="2"/>
    </row>
    <row r="432" spans="3:11" x14ac:dyDescent="0.2">
      <c r="C432" s="2"/>
      <c r="D432" s="2"/>
      <c r="E432" s="2"/>
      <c r="F432" s="2"/>
      <c r="G432" s="5"/>
      <c r="H432" s="2"/>
      <c r="I432" s="2"/>
      <c r="J432" s="2"/>
      <c r="K432" s="2"/>
    </row>
    <row r="433" spans="3:11" x14ac:dyDescent="0.2">
      <c r="C433" s="2"/>
      <c r="D433" s="2"/>
      <c r="E433" s="2"/>
      <c r="F433" s="2"/>
      <c r="G433" s="5"/>
      <c r="H433" s="2"/>
      <c r="I433" s="2"/>
      <c r="J433" s="2"/>
      <c r="K433" s="2"/>
    </row>
    <row r="434" spans="3:11" x14ac:dyDescent="0.2">
      <c r="C434" s="2"/>
      <c r="D434" s="2"/>
      <c r="E434" s="2"/>
      <c r="F434" s="2"/>
      <c r="G434" s="5"/>
      <c r="H434" s="2"/>
      <c r="I434" s="2"/>
      <c r="J434" s="2"/>
      <c r="K434" s="2"/>
    </row>
    <row r="435" spans="3:11" x14ac:dyDescent="0.2">
      <c r="C435" s="2"/>
      <c r="D435" s="2"/>
      <c r="E435" s="2"/>
      <c r="F435" s="2"/>
      <c r="G435" s="5"/>
      <c r="H435" s="2"/>
      <c r="I435" s="2"/>
      <c r="J435" s="2"/>
      <c r="K435" s="2"/>
    </row>
    <row r="436" spans="3:11" x14ac:dyDescent="0.2">
      <c r="C436" s="2"/>
      <c r="D436" s="2"/>
      <c r="E436" s="2"/>
      <c r="F436" s="2"/>
      <c r="G436" s="5"/>
      <c r="H436" s="2"/>
      <c r="I436" s="2"/>
      <c r="J436" s="2"/>
      <c r="K436" s="2"/>
    </row>
    <row r="437" spans="3:11" x14ac:dyDescent="0.2">
      <c r="C437" s="2"/>
      <c r="D437" s="2"/>
      <c r="E437" s="2"/>
      <c r="F437" s="2"/>
      <c r="G437" s="5"/>
      <c r="H437" s="2"/>
      <c r="I437" s="2"/>
      <c r="J437" s="2"/>
      <c r="K437" s="2"/>
    </row>
    <row r="438" spans="3:11" x14ac:dyDescent="0.2">
      <c r="C438" s="2"/>
      <c r="D438" s="2"/>
      <c r="E438" s="2"/>
      <c r="F438" s="2"/>
      <c r="G438" s="5"/>
      <c r="H438" s="2"/>
      <c r="I438" s="2"/>
      <c r="J438" s="2"/>
      <c r="K438" s="2"/>
    </row>
    <row r="439" spans="3:11" x14ac:dyDescent="0.2">
      <c r="C439" s="2"/>
      <c r="D439" s="2"/>
      <c r="E439" s="2"/>
      <c r="F439" s="2"/>
      <c r="G439" s="5"/>
      <c r="H439" s="2"/>
      <c r="I439" s="2"/>
      <c r="J439" s="2"/>
      <c r="K439" s="2"/>
    </row>
    <row r="440" spans="3:11" x14ac:dyDescent="0.2">
      <c r="C440" s="2"/>
      <c r="D440" s="2"/>
      <c r="E440" s="2"/>
      <c r="F440" s="2"/>
      <c r="G440" s="5"/>
      <c r="H440" s="2"/>
      <c r="I440" s="2"/>
      <c r="J440" s="2"/>
      <c r="K440" s="2"/>
    </row>
    <row r="441" spans="3:11" x14ac:dyDescent="0.2">
      <c r="C441" s="2"/>
      <c r="D441" s="2"/>
      <c r="E441" s="2"/>
      <c r="F441" s="2"/>
      <c r="G441" s="5"/>
      <c r="H441" s="2"/>
      <c r="I441" s="2"/>
      <c r="J441" s="2"/>
      <c r="K441" s="2"/>
    </row>
    <row r="442" spans="3:11" x14ac:dyDescent="0.2">
      <c r="C442" s="2"/>
      <c r="D442" s="2"/>
      <c r="E442" s="2"/>
      <c r="F442" s="2"/>
      <c r="G442" s="5"/>
      <c r="H442" s="2"/>
      <c r="I442" s="2"/>
      <c r="J442" s="2"/>
      <c r="K442" s="2"/>
    </row>
    <row r="443" spans="3:11" x14ac:dyDescent="0.2">
      <c r="C443" s="2"/>
      <c r="D443" s="2"/>
      <c r="E443" s="2"/>
      <c r="F443" s="2"/>
      <c r="G443" s="5"/>
      <c r="H443" s="2"/>
      <c r="I443" s="2"/>
      <c r="J443" s="2"/>
      <c r="K443" s="2"/>
    </row>
    <row r="444" spans="3:11" x14ac:dyDescent="0.2">
      <c r="C444" s="2"/>
      <c r="D444" s="2"/>
      <c r="E444" s="2"/>
      <c r="F444" s="2"/>
      <c r="G444" s="5"/>
      <c r="H444" s="2"/>
      <c r="I444" s="2"/>
      <c r="J444" s="2"/>
      <c r="K444" s="2"/>
    </row>
    <row r="445" spans="3:11" x14ac:dyDescent="0.2">
      <c r="C445" s="2"/>
      <c r="D445" s="2"/>
      <c r="E445" s="2"/>
      <c r="F445" s="2"/>
      <c r="G445" s="5"/>
      <c r="H445" s="2"/>
      <c r="I445" s="2"/>
      <c r="J445" s="2"/>
      <c r="K445" s="2"/>
    </row>
    <row r="446" spans="3:11" x14ac:dyDescent="0.2">
      <c r="C446" s="2"/>
      <c r="D446" s="2"/>
      <c r="E446" s="2"/>
      <c r="F446" s="2"/>
      <c r="G446" s="5"/>
      <c r="H446" s="2"/>
      <c r="I446" s="2"/>
      <c r="J446" s="2"/>
      <c r="K446" s="2"/>
    </row>
    <row r="447" spans="3:11" x14ac:dyDescent="0.2">
      <c r="C447" s="2"/>
      <c r="D447" s="2"/>
      <c r="E447" s="2"/>
      <c r="F447" s="2"/>
      <c r="G447" s="5"/>
      <c r="H447" s="2"/>
      <c r="I447" s="2"/>
      <c r="J447" s="2"/>
      <c r="K447" s="2"/>
    </row>
    <row r="448" spans="3:11" x14ac:dyDescent="0.2">
      <c r="C448" s="2"/>
      <c r="D448" s="2"/>
      <c r="E448" s="2"/>
      <c r="F448" s="2"/>
      <c r="G448" s="5"/>
      <c r="H448" s="2"/>
      <c r="I448" s="2"/>
      <c r="J448" s="2"/>
      <c r="K448" s="2"/>
    </row>
    <row r="449" spans="3:11" x14ac:dyDescent="0.2">
      <c r="C449" s="2"/>
      <c r="D449" s="2"/>
      <c r="E449" s="2"/>
      <c r="F449" s="2"/>
      <c r="G449" s="5"/>
      <c r="H449" s="2"/>
      <c r="I449" s="2"/>
      <c r="J449" s="2"/>
      <c r="K449" s="2"/>
    </row>
    <row r="450" spans="3:11" x14ac:dyDescent="0.2">
      <c r="C450" s="2"/>
      <c r="D450" s="2"/>
      <c r="E450" s="2"/>
      <c r="F450" s="2"/>
      <c r="G450" s="5"/>
      <c r="H450" s="2"/>
      <c r="I450" s="2"/>
      <c r="J450" s="2"/>
      <c r="K450" s="2"/>
    </row>
    <row r="451" spans="3:11" x14ac:dyDescent="0.2">
      <c r="C451" s="2"/>
      <c r="D451" s="2"/>
      <c r="E451" s="2"/>
      <c r="F451" s="2"/>
      <c r="G451" s="5"/>
      <c r="H451" s="2"/>
      <c r="I451" s="2"/>
      <c r="J451" s="2"/>
      <c r="K451" s="2"/>
    </row>
    <row r="452" spans="3:11" x14ac:dyDescent="0.2">
      <c r="C452" s="2"/>
      <c r="D452" s="2"/>
      <c r="E452" s="2"/>
      <c r="F452" s="2"/>
      <c r="G452" s="5"/>
      <c r="H452" s="2"/>
      <c r="I452" s="2"/>
      <c r="J452" s="2"/>
      <c r="K452" s="2"/>
    </row>
    <row r="453" spans="3:11" x14ac:dyDescent="0.2">
      <c r="C453" s="2"/>
      <c r="D453" s="2"/>
      <c r="E453" s="2"/>
      <c r="F453" s="2"/>
      <c r="G453" s="5"/>
      <c r="H453" s="2"/>
      <c r="I453" s="2"/>
      <c r="J453" s="2"/>
      <c r="K453" s="2"/>
    </row>
    <row r="454" spans="3:11" x14ac:dyDescent="0.2">
      <c r="C454" s="2"/>
      <c r="D454" s="2"/>
      <c r="E454" s="2"/>
      <c r="F454" s="2"/>
      <c r="G454" s="5"/>
      <c r="H454" s="2"/>
      <c r="I454" s="2"/>
      <c r="J454" s="2"/>
      <c r="K454" s="2"/>
    </row>
    <row r="455" spans="3:11" x14ac:dyDescent="0.2">
      <c r="C455" s="2"/>
      <c r="D455" s="2"/>
      <c r="E455" s="2"/>
      <c r="F455" s="2"/>
      <c r="G455" s="5"/>
      <c r="H455" s="2"/>
      <c r="I455" s="2"/>
      <c r="J455" s="2"/>
      <c r="K455" s="2"/>
    </row>
    <row r="456" spans="3:11" x14ac:dyDescent="0.2">
      <c r="C456" s="2"/>
      <c r="D456" s="2"/>
      <c r="E456" s="2"/>
      <c r="F456" s="2"/>
      <c r="G456" s="5"/>
      <c r="H456" s="2"/>
      <c r="I456" s="2"/>
      <c r="J456" s="2"/>
      <c r="K456" s="2"/>
    </row>
    <row r="457" spans="3:11" x14ac:dyDescent="0.2">
      <c r="C457" s="2"/>
      <c r="D457" s="2"/>
      <c r="E457" s="2"/>
      <c r="F457" s="2"/>
      <c r="G457" s="5"/>
      <c r="H457" s="2"/>
      <c r="I457" s="2"/>
      <c r="J457" s="2"/>
      <c r="K457" s="2"/>
    </row>
    <row r="458" spans="3:11" x14ac:dyDescent="0.2">
      <c r="C458" s="2"/>
      <c r="D458" s="2"/>
      <c r="E458" s="2"/>
      <c r="F458" s="2"/>
      <c r="G458" s="5"/>
      <c r="H458" s="2"/>
      <c r="I458" s="2"/>
      <c r="J458" s="2"/>
      <c r="K458" s="2"/>
    </row>
    <row r="459" spans="3:11" x14ac:dyDescent="0.2">
      <c r="C459" s="2"/>
      <c r="D459" s="2"/>
      <c r="E459" s="2"/>
      <c r="F459" s="2"/>
      <c r="G459" s="5"/>
      <c r="H459" s="2"/>
      <c r="I459" s="2"/>
      <c r="J459" s="2"/>
      <c r="K459" s="2"/>
    </row>
    <row r="460" spans="3:11" x14ac:dyDescent="0.2">
      <c r="C460" s="2"/>
      <c r="D460" s="2"/>
      <c r="E460" s="2"/>
      <c r="F460" s="2"/>
      <c r="G460" s="5"/>
      <c r="H460" s="2"/>
      <c r="I460" s="2"/>
      <c r="J460" s="2"/>
      <c r="K460" s="2"/>
    </row>
    <row r="461" spans="3:11" x14ac:dyDescent="0.2">
      <c r="C461" s="2"/>
      <c r="D461" s="2"/>
      <c r="E461" s="2"/>
      <c r="F461" s="2"/>
      <c r="G461" s="5"/>
      <c r="H461" s="2"/>
      <c r="I461" s="2"/>
      <c r="J461" s="2"/>
      <c r="K461" s="2"/>
    </row>
    <row r="462" spans="3:11" x14ac:dyDescent="0.2">
      <c r="C462" s="2"/>
      <c r="D462" s="2"/>
      <c r="E462" s="2"/>
      <c r="F462" s="2"/>
      <c r="G462" s="5"/>
      <c r="H462" s="2"/>
      <c r="I462" s="2"/>
      <c r="J462" s="2"/>
      <c r="K462" s="2"/>
    </row>
    <row r="463" spans="3:11" x14ac:dyDescent="0.2">
      <c r="C463" s="2"/>
      <c r="D463" s="2"/>
      <c r="E463" s="2"/>
      <c r="F463" s="2"/>
      <c r="G463" s="5"/>
      <c r="H463" s="2"/>
      <c r="I463" s="2"/>
      <c r="J463" s="2"/>
      <c r="K463" s="2"/>
    </row>
    <row r="464" spans="3:11" x14ac:dyDescent="0.2">
      <c r="C464" s="2"/>
      <c r="D464" s="2"/>
      <c r="E464" s="2"/>
      <c r="F464" s="2"/>
      <c r="G464" s="5"/>
      <c r="H464" s="2"/>
      <c r="I464" s="2"/>
      <c r="J464" s="2"/>
      <c r="K464" s="2"/>
    </row>
    <row r="465" spans="3:11" x14ac:dyDescent="0.2">
      <c r="C465" s="2"/>
      <c r="D465" s="2"/>
      <c r="E465" s="2"/>
      <c r="F465" s="2"/>
      <c r="G465" s="5"/>
      <c r="H465" s="2"/>
      <c r="I465" s="2"/>
      <c r="J465" s="2"/>
      <c r="K465" s="2"/>
    </row>
    <row r="466" spans="3:11" x14ac:dyDescent="0.2">
      <c r="C466" s="2"/>
      <c r="D466" s="2"/>
      <c r="E466" s="2"/>
      <c r="F466" s="2"/>
      <c r="G466" s="5"/>
      <c r="H466" s="2"/>
      <c r="I466" s="2"/>
      <c r="J466" s="2"/>
      <c r="K466" s="2"/>
    </row>
    <row r="467" spans="3:11" x14ac:dyDescent="0.2">
      <c r="C467" s="2"/>
      <c r="D467" s="2"/>
      <c r="E467" s="2"/>
      <c r="F467" s="2"/>
      <c r="G467" s="5"/>
      <c r="H467" s="2"/>
      <c r="I467" s="2"/>
      <c r="J467" s="2"/>
      <c r="K467" s="2"/>
    </row>
    <row r="468" spans="3:11" x14ac:dyDescent="0.2">
      <c r="C468" s="2"/>
      <c r="D468" s="2"/>
      <c r="E468" s="2"/>
      <c r="F468" s="2"/>
      <c r="G468" s="5"/>
      <c r="H468" s="2"/>
      <c r="I468" s="2"/>
      <c r="J468" s="2"/>
      <c r="K468" s="2"/>
    </row>
    <row r="469" spans="3:11" x14ac:dyDescent="0.2">
      <c r="C469" s="2"/>
      <c r="D469" s="2"/>
      <c r="E469" s="2"/>
      <c r="F469" s="2"/>
      <c r="G469" s="5"/>
      <c r="H469" s="2"/>
      <c r="I469" s="2"/>
      <c r="J469" s="2"/>
      <c r="K469" s="2"/>
    </row>
    <row r="470" spans="3:11" x14ac:dyDescent="0.2">
      <c r="C470" s="2"/>
      <c r="D470" s="2"/>
      <c r="E470" s="2"/>
      <c r="F470" s="2"/>
      <c r="G470" s="5"/>
      <c r="H470" s="2"/>
      <c r="I470" s="2"/>
      <c r="J470" s="2"/>
      <c r="K470" s="2"/>
    </row>
    <row r="471" spans="3:11" x14ac:dyDescent="0.2">
      <c r="C471" s="2"/>
      <c r="D471" s="2"/>
      <c r="E471" s="2"/>
      <c r="F471" s="2"/>
      <c r="G471" s="5"/>
      <c r="H471" s="2"/>
      <c r="I471" s="2"/>
      <c r="J471" s="2"/>
      <c r="K471" s="2"/>
    </row>
    <row r="472" spans="3:11" x14ac:dyDescent="0.2">
      <c r="C472" s="2"/>
      <c r="D472" s="2"/>
      <c r="E472" s="2"/>
      <c r="F472" s="2"/>
      <c r="G472" s="5"/>
      <c r="H472" s="2"/>
      <c r="I472" s="2"/>
      <c r="J472" s="2"/>
      <c r="K472" s="2"/>
    </row>
    <row r="473" spans="3:11" x14ac:dyDescent="0.2">
      <c r="C473" s="2"/>
      <c r="D473" s="2"/>
      <c r="E473" s="2"/>
      <c r="F473" s="2"/>
      <c r="G473" s="5"/>
      <c r="H473" s="2"/>
      <c r="I473" s="2"/>
      <c r="J473" s="2"/>
      <c r="K473" s="2"/>
    </row>
    <row r="474" spans="3:11" x14ac:dyDescent="0.2">
      <c r="C474" s="2"/>
      <c r="D474" s="2"/>
      <c r="E474" s="2"/>
      <c r="F474" s="2"/>
      <c r="G474" s="5"/>
      <c r="H474" s="2"/>
      <c r="I474" s="2"/>
      <c r="J474" s="2"/>
      <c r="K474" s="2"/>
    </row>
    <row r="475" spans="3:11" x14ac:dyDescent="0.2">
      <c r="C475" s="2"/>
      <c r="D475" s="2"/>
      <c r="E475" s="2"/>
      <c r="F475" s="2"/>
      <c r="G475" s="5"/>
      <c r="H475" s="2"/>
      <c r="I475" s="2"/>
      <c r="J475" s="2"/>
      <c r="K475" s="2"/>
    </row>
    <row r="476" spans="3:11" x14ac:dyDescent="0.2">
      <c r="C476" s="2"/>
      <c r="D476" s="2"/>
      <c r="E476" s="2"/>
      <c r="F476" s="2"/>
      <c r="G476" s="5"/>
      <c r="H476" s="2"/>
      <c r="I476" s="2"/>
      <c r="J476" s="2"/>
      <c r="K476" s="2"/>
    </row>
    <row r="477" spans="3:11" x14ac:dyDescent="0.2">
      <c r="C477" s="2"/>
      <c r="D477" s="2"/>
      <c r="E477" s="2"/>
      <c r="F477" s="2"/>
      <c r="G477" s="5"/>
      <c r="H477" s="2"/>
      <c r="I477" s="2"/>
      <c r="J477" s="2"/>
      <c r="K477" s="2"/>
    </row>
    <row r="478" spans="3:11" x14ac:dyDescent="0.2">
      <c r="C478" s="2"/>
      <c r="D478" s="2"/>
      <c r="E478" s="2"/>
      <c r="F478" s="2"/>
      <c r="G478" s="5"/>
      <c r="H478" s="2"/>
      <c r="I478" s="2"/>
      <c r="J478" s="2"/>
      <c r="K478" s="2"/>
    </row>
    <row r="479" spans="3:11" x14ac:dyDescent="0.2">
      <c r="C479" s="2"/>
      <c r="D479" s="2"/>
      <c r="E479" s="2"/>
      <c r="F479" s="2"/>
      <c r="G479" s="5"/>
      <c r="H479" s="2"/>
      <c r="I479" s="2"/>
      <c r="J479" s="2"/>
      <c r="K479" s="2"/>
    </row>
    <row r="480" spans="3:11" x14ac:dyDescent="0.2">
      <c r="C480" s="2"/>
      <c r="D480" s="2"/>
      <c r="E480" s="2"/>
      <c r="F480" s="2"/>
      <c r="G480" s="5"/>
      <c r="H480" s="2"/>
      <c r="I480" s="2"/>
      <c r="J480" s="2"/>
      <c r="K480" s="2"/>
    </row>
    <row r="481" spans="3:11" x14ac:dyDescent="0.2">
      <c r="C481" s="2"/>
      <c r="D481" s="2"/>
      <c r="E481" s="2"/>
      <c r="F481" s="2"/>
      <c r="G481" s="5"/>
      <c r="H481" s="2"/>
      <c r="I481" s="2"/>
      <c r="J481" s="2"/>
      <c r="K481" s="2"/>
    </row>
    <row r="482" spans="3:11" x14ac:dyDescent="0.2">
      <c r="C482" s="2"/>
      <c r="D482" s="2"/>
      <c r="E482" s="2"/>
      <c r="F482" s="2"/>
      <c r="G482" s="5"/>
      <c r="H482" s="2"/>
      <c r="I482" s="2"/>
      <c r="J482" s="2"/>
      <c r="K482" s="2"/>
    </row>
    <row r="483" spans="3:11" x14ac:dyDescent="0.2">
      <c r="C483" s="2"/>
      <c r="D483" s="2"/>
      <c r="E483" s="2"/>
      <c r="F483" s="2"/>
      <c r="G483" s="5"/>
      <c r="H483" s="2"/>
      <c r="I483" s="2"/>
      <c r="J483" s="2"/>
      <c r="K483" s="2"/>
    </row>
    <row r="484" spans="3:11" x14ac:dyDescent="0.2">
      <c r="C484" s="2"/>
      <c r="D484" s="2"/>
      <c r="E484" s="2"/>
      <c r="F484" s="2"/>
      <c r="G484" s="5"/>
      <c r="H484" s="2"/>
      <c r="I484" s="2"/>
      <c r="J484" s="2"/>
      <c r="K484" s="2"/>
    </row>
    <row r="485" spans="3:11" x14ac:dyDescent="0.2">
      <c r="C485" s="2"/>
      <c r="D485" s="2"/>
      <c r="E485" s="2"/>
      <c r="F485" s="2"/>
      <c r="G485" s="5"/>
      <c r="H485" s="2"/>
      <c r="I485" s="2"/>
      <c r="J485" s="2"/>
      <c r="K485" s="2"/>
    </row>
    <row r="486" spans="3:11" x14ac:dyDescent="0.2">
      <c r="C486" s="2"/>
      <c r="D486" s="2"/>
      <c r="E486" s="2"/>
      <c r="F486" s="2"/>
      <c r="G486" s="5"/>
      <c r="H486" s="2"/>
      <c r="I486" s="2"/>
      <c r="J486" s="2"/>
      <c r="K486" s="2"/>
    </row>
    <row r="487" spans="3:11" x14ac:dyDescent="0.2">
      <c r="C487" s="2"/>
      <c r="D487" s="2"/>
      <c r="E487" s="2"/>
      <c r="F487" s="2"/>
      <c r="G487" s="5"/>
      <c r="H487" s="2"/>
      <c r="I487" s="2"/>
      <c r="J487" s="2"/>
      <c r="K487" s="2"/>
    </row>
    <row r="488" spans="3:11" x14ac:dyDescent="0.2">
      <c r="C488" s="2"/>
      <c r="D488" s="2"/>
      <c r="E488" s="2"/>
      <c r="F488" s="2"/>
      <c r="G488" s="5"/>
      <c r="H488" s="2"/>
      <c r="I488" s="2"/>
      <c r="J488" s="2"/>
      <c r="K488" s="2"/>
    </row>
    <row r="489" spans="3:11" x14ac:dyDescent="0.2">
      <c r="C489" s="2"/>
      <c r="D489" s="2"/>
      <c r="E489" s="2"/>
      <c r="F489" s="2"/>
      <c r="G489" s="5"/>
      <c r="H489" s="2"/>
      <c r="I489" s="2"/>
      <c r="J489" s="2"/>
      <c r="K489" s="2"/>
    </row>
    <row r="490" spans="3:11" x14ac:dyDescent="0.2">
      <c r="C490" s="2"/>
      <c r="D490" s="2"/>
      <c r="E490" s="2"/>
      <c r="F490" s="2"/>
      <c r="G490" s="5"/>
      <c r="H490" s="2"/>
      <c r="I490" s="2"/>
      <c r="J490" s="2"/>
      <c r="K490" s="2"/>
    </row>
    <row r="491" spans="3:11" x14ac:dyDescent="0.2">
      <c r="C491" s="2"/>
      <c r="D491" s="2"/>
      <c r="E491" s="2"/>
      <c r="F491" s="2"/>
      <c r="G491" s="5"/>
      <c r="H491" s="2"/>
      <c r="I491" s="2"/>
      <c r="J491" s="2"/>
      <c r="K491" s="2"/>
    </row>
    <row r="492" spans="3:11" x14ac:dyDescent="0.2">
      <c r="C492" s="2"/>
      <c r="D492" s="2"/>
      <c r="E492" s="2"/>
      <c r="F492" s="2"/>
      <c r="G492" s="5"/>
      <c r="H492" s="2"/>
      <c r="I492" s="2"/>
      <c r="J492" s="2"/>
      <c r="K492" s="2"/>
    </row>
    <row r="493" spans="3:11" x14ac:dyDescent="0.2">
      <c r="C493" s="2"/>
      <c r="D493" s="2"/>
      <c r="E493" s="2"/>
      <c r="F493" s="2"/>
      <c r="G493" s="5"/>
      <c r="H493" s="2"/>
      <c r="I493" s="2"/>
      <c r="J493" s="2"/>
      <c r="K493" s="2"/>
    </row>
    <row r="494" spans="3:11" x14ac:dyDescent="0.2">
      <c r="C494" s="2"/>
      <c r="D494" s="2"/>
      <c r="E494" s="2"/>
      <c r="F494" s="2"/>
      <c r="G494" s="5"/>
      <c r="H494" s="2"/>
      <c r="I494" s="2"/>
      <c r="J494" s="2"/>
      <c r="K494" s="2"/>
    </row>
    <row r="495" spans="3:11" x14ac:dyDescent="0.2">
      <c r="C495" s="2"/>
      <c r="D495" s="2"/>
      <c r="E495" s="2"/>
      <c r="F495" s="2"/>
      <c r="G495" s="5"/>
      <c r="H495" s="2"/>
      <c r="I495" s="2"/>
      <c r="J495" s="2"/>
      <c r="K495" s="2"/>
    </row>
    <row r="496" spans="3:11" x14ac:dyDescent="0.2">
      <c r="C496" s="2"/>
      <c r="D496" s="2"/>
      <c r="E496" s="2"/>
      <c r="F496" s="2"/>
      <c r="G496" s="5"/>
      <c r="H496" s="2"/>
      <c r="I496" s="2"/>
      <c r="J496" s="2"/>
      <c r="K496" s="2"/>
    </row>
    <row r="497" spans="3:11" x14ac:dyDescent="0.2">
      <c r="C497" s="2"/>
      <c r="D497" s="2"/>
      <c r="E497" s="2"/>
      <c r="F497" s="2"/>
      <c r="G497" s="5"/>
      <c r="H497" s="2"/>
      <c r="I497" s="2"/>
      <c r="J497" s="2"/>
      <c r="K497" s="2"/>
    </row>
    <row r="498" spans="3:11" x14ac:dyDescent="0.2">
      <c r="C498" s="2"/>
      <c r="D498" s="2"/>
      <c r="E498" s="2"/>
      <c r="F498" s="2"/>
      <c r="G498" s="5"/>
      <c r="H498" s="2"/>
      <c r="I498" s="2"/>
      <c r="J498" s="2"/>
      <c r="K498" s="2"/>
    </row>
    <row r="499" spans="3:11" x14ac:dyDescent="0.2">
      <c r="C499" s="2"/>
      <c r="D499" s="2"/>
      <c r="E499" s="2"/>
      <c r="F499" s="2"/>
      <c r="G499" s="5"/>
      <c r="H499" s="2"/>
      <c r="I499" s="2"/>
      <c r="J499" s="2"/>
      <c r="K499" s="2"/>
    </row>
    <row r="500" spans="3:11" x14ac:dyDescent="0.2">
      <c r="C500" s="2"/>
      <c r="D500" s="2"/>
      <c r="E500" s="2"/>
      <c r="F500" s="2"/>
      <c r="G500" s="5"/>
      <c r="H500" s="2"/>
      <c r="I500" s="2"/>
      <c r="J500" s="2"/>
      <c r="K500" s="2"/>
    </row>
    <row r="501" spans="3:11" x14ac:dyDescent="0.2">
      <c r="C501" s="2"/>
      <c r="D501" s="2"/>
      <c r="E501" s="2"/>
      <c r="F501" s="2"/>
      <c r="G501" s="5"/>
      <c r="H501" s="2"/>
      <c r="I501" s="2"/>
      <c r="J501" s="2"/>
      <c r="K501" s="2"/>
    </row>
    <row r="502" spans="3:11" x14ac:dyDescent="0.2">
      <c r="C502" s="2"/>
      <c r="D502" s="2"/>
      <c r="E502" s="2"/>
      <c r="F502" s="2"/>
      <c r="G502" s="5"/>
      <c r="H502" s="2"/>
      <c r="I502" s="2"/>
      <c r="J502" s="2"/>
      <c r="K502" s="2"/>
    </row>
    <row r="503" spans="3:11" x14ac:dyDescent="0.2">
      <c r="C503" s="2"/>
      <c r="D503" s="2"/>
      <c r="E503" s="2"/>
      <c r="F503" s="2"/>
      <c r="G503" s="5"/>
      <c r="H503" s="2"/>
      <c r="I503" s="2"/>
      <c r="J503" s="2"/>
      <c r="K503" s="2"/>
    </row>
    <row r="504" spans="3:11" x14ac:dyDescent="0.2">
      <c r="C504" s="2"/>
      <c r="D504" s="2"/>
      <c r="E504" s="2"/>
      <c r="F504" s="2"/>
      <c r="G504" s="5"/>
      <c r="H504" s="2"/>
      <c r="I504" s="2"/>
      <c r="J504" s="2"/>
      <c r="K504" s="2"/>
    </row>
    <row r="505" spans="3:11" x14ac:dyDescent="0.2">
      <c r="C505" s="2"/>
      <c r="D505" s="2"/>
      <c r="E505" s="2"/>
      <c r="F505" s="2"/>
      <c r="G505" s="5"/>
      <c r="H505" s="2"/>
      <c r="I505" s="2"/>
      <c r="J505" s="2"/>
      <c r="K505" s="2"/>
    </row>
    <row r="506" spans="3:11" x14ac:dyDescent="0.2">
      <c r="C506" s="2"/>
      <c r="D506" s="2"/>
      <c r="E506" s="2"/>
      <c r="F506" s="2"/>
      <c r="G506" s="5"/>
      <c r="H506" s="2"/>
      <c r="I506" s="2"/>
      <c r="J506" s="2"/>
      <c r="K506" s="2"/>
    </row>
    <row r="507" spans="3:11" x14ac:dyDescent="0.2">
      <c r="C507" s="2"/>
      <c r="D507" s="2"/>
      <c r="E507" s="2"/>
      <c r="F507" s="2"/>
      <c r="G507" s="5"/>
      <c r="H507" s="2"/>
      <c r="I507" s="2"/>
      <c r="J507" s="2"/>
      <c r="K507" s="2"/>
    </row>
    <row r="508" spans="3:11" x14ac:dyDescent="0.2">
      <c r="C508" s="2"/>
      <c r="D508" s="2"/>
      <c r="E508" s="2"/>
      <c r="F508" s="2"/>
      <c r="G508" s="5"/>
      <c r="H508" s="2"/>
      <c r="I508" s="2"/>
      <c r="J508" s="2"/>
      <c r="K508" s="2"/>
    </row>
    <row r="509" spans="3:11" x14ac:dyDescent="0.2">
      <c r="C509" s="2"/>
      <c r="D509" s="2"/>
      <c r="E509" s="2"/>
      <c r="F509" s="2"/>
      <c r="G509" s="5"/>
      <c r="H509" s="2"/>
      <c r="I509" s="2"/>
      <c r="J509" s="2"/>
      <c r="K509" s="2"/>
    </row>
    <row r="510" spans="3:11" x14ac:dyDescent="0.2">
      <c r="C510" s="2"/>
      <c r="D510" s="2"/>
      <c r="E510" s="2"/>
      <c r="F510" s="2"/>
      <c r="G510" s="5"/>
      <c r="H510" s="2"/>
      <c r="I510" s="2"/>
      <c r="J510" s="2"/>
      <c r="K510" s="2"/>
    </row>
    <row r="511" spans="3:11" x14ac:dyDescent="0.2">
      <c r="C511" s="2"/>
      <c r="D511" s="2"/>
      <c r="E511" s="2"/>
      <c r="F511" s="2"/>
      <c r="G511" s="5"/>
      <c r="H511" s="2"/>
      <c r="I511" s="2"/>
      <c r="J511" s="2"/>
      <c r="K511" s="2"/>
    </row>
    <row r="512" spans="3:11" x14ac:dyDescent="0.2">
      <c r="C512" s="2"/>
      <c r="D512" s="2"/>
      <c r="E512" s="2"/>
      <c r="F512" s="2"/>
      <c r="G512" s="5"/>
      <c r="H512" s="2"/>
      <c r="I512" s="2"/>
      <c r="J512" s="2"/>
      <c r="K512" s="2"/>
    </row>
    <row r="513" spans="3:11" x14ac:dyDescent="0.2">
      <c r="C513" s="2"/>
      <c r="D513" s="2"/>
      <c r="E513" s="2"/>
      <c r="F513" s="2"/>
      <c r="G513" s="5"/>
      <c r="H513" s="2"/>
      <c r="I513" s="2"/>
      <c r="J513" s="2"/>
      <c r="K513" s="2"/>
    </row>
    <row r="514" spans="3:11" x14ac:dyDescent="0.2">
      <c r="C514" s="2"/>
      <c r="D514" s="2"/>
      <c r="E514" s="2"/>
      <c r="F514" s="2"/>
      <c r="G514" s="5"/>
      <c r="H514" s="2"/>
      <c r="I514" s="2"/>
      <c r="J514" s="2"/>
      <c r="K514" s="2"/>
    </row>
    <row r="515" spans="3:11" x14ac:dyDescent="0.2">
      <c r="C515" s="2"/>
      <c r="D515" s="2"/>
      <c r="E515" s="2"/>
      <c r="F515" s="2"/>
      <c r="G515" s="5"/>
      <c r="H515" s="2"/>
      <c r="I515" s="2"/>
      <c r="J515" s="2"/>
      <c r="K515" s="2"/>
    </row>
    <row r="516" spans="3:11" x14ac:dyDescent="0.2">
      <c r="C516" s="2"/>
      <c r="D516" s="2"/>
      <c r="E516" s="2"/>
      <c r="F516" s="2"/>
      <c r="G516" s="5"/>
      <c r="H516" s="2"/>
      <c r="I516" s="2"/>
      <c r="J516" s="2"/>
      <c r="K516" s="2"/>
    </row>
    <row r="517" spans="3:11" x14ac:dyDescent="0.2">
      <c r="C517" s="2"/>
      <c r="D517" s="2"/>
      <c r="E517" s="2"/>
      <c r="F517" s="2"/>
      <c r="G517" s="5"/>
      <c r="H517" s="2"/>
      <c r="I517" s="2"/>
      <c r="J517" s="2"/>
      <c r="K517" s="2"/>
    </row>
    <row r="518" spans="3:11" x14ac:dyDescent="0.2">
      <c r="C518" s="2"/>
      <c r="D518" s="2"/>
      <c r="E518" s="2"/>
      <c r="F518" s="2"/>
      <c r="G518" s="5"/>
      <c r="H518" s="2"/>
      <c r="I518" s="2"/>
      <c r="J518" s="2"/>
      <c r="K518" s="2"/>
    </row>
    <row r="519" spans="3:11" x14ac:dyDescent="0.2">
      <c r="C519" s="2"/>
      <c r="D519" s="2"/>
      <c r="E519" s="2"/>
      <c r="F519" s="2"/>
      <c r="G519" s="5"/>
      <c r="H519" s="2"/>
      <c r="I519" s="2"/>
      <c r="J519" s="2"/>
      <c r="K519" s="2"/>
    </row>
    <row r="520" spans="3:11" x14ac:dyDescent="0.2">
      <c r="C520" s="2"/>
      <c r="D520" s="2"/>
      <c r="E520" s="2"/>
      <c r="F520" s="2"/>
      <c r="G520" s="5"/>
      <c r="H520" s="2"/>
      <c r="I520" s="2"/>
      <c r="J520" s="2"/>
      <c r="K520" s="2"/>
    </row>
    <row r="521" spans="3:11" x14ac:dyDescent="0.2">
      <c r="C521" s="2"/>
      <c r="D521" s="2"/>
      <c r="E521" s="2"/>
      <c r="F521" s="2"/>
      <c r="G521" s="5"/>
      <c r="H521" s="2"/>
      <c r="I521" s="2"/>
      <c r="J521" s="2"/>
      <c r="K521" s="2"/>
    </row>
    <row r="522" spans="3:11" x14ac:dyDescent="0.2">
      <c r="C522" s="2"/>
      <c r="D522" s="2"/>
      <c r="E522" s="2"/>
      <c r="F522" s="2"/>
      <c r="G522" s="5"/>
      <c r="H522" s="2"/>
      <c r="I522" s="2"/>
      <c r="J522" s="2"/>
      <c r="K522" s="2"/>
    </row>
    <row r="523" spans="3:11" x14ac:dyDescent="0.2">
      <c r="C523" s="2"/>
      <c r="D523" s="2"/>
      <c r="E523" s="2"/>
      <c r="F523" s="2"/>
      <c r="G523" s="5"/>
      <c r="H523" s="2"/>
      <c r="I523" s="2"/>
      <c r="J523" s="2"/>
      <c r="K523" s="2"/>
    </row>
    <row r="524" spans="3:11" x14ac:dyDescent="0.2">
      <c r="C524" s="2"/>
      <c r="D524" s="2"/>
      <c r="E524" s="2"/>
      <c r="F524" s="2"/>
      <c r="G524" s="5"/>
      <c r="H524" s="2"/>
      <c r="I524" s="2"/>
      <c r="J524" s="2"/>
      <c r="K524" s="2"/>
    </row>
    <row r="525" spans="3:11" x14ac:dyDescent="0.2">
      <c r="C525" s="2"/>
      <c r="D525" s="2"/>
      <c r="E525" s="2"/>
      <c r="F525" s="2"/>
      <c r="G525" s="5"/>
      <c r="H525" s="2"/>
      <c r="I525" s="2"/>
      <c r="J525" s="2"/>
      <c r="K525" s="2"/>
    </row>
    <row r="526" spans="3:11" x14ac:dyDescent="0.2">
      <c r="C526" s="2"/>
      <c r="D526" s="2"/>
      <c r="E526" s="2"/>
      <c r="F526" s="2"/>
      <c r="G526" s="5"/>
      <c r="H526" s="2"/>
      <c r="I526" s="2"/>
      <c r="J526" s="2"/>
      <c r="K526" s="2"/>
    </row>
    <row r="527" spans="3:11" x14ac:dyDescent="0.2">
      <c r="C527" s="2"/>
      <c r="D527" s="2"/>
      <c r="E527" s="2"/>
      <c r="F527" s="2"/>
      <c r="G527" s="5"/>
      <c r="H527" s="2"/>
      <c r="I527" s="2"/>
      <c r="J527" s="2"/>
      <c r="K527" s="2"/>
    </row>
    <row r="528" spans="3:11" x14ac:dyDescent="0.2">
      <c r="C528" s="2"/>
      <c r="D528" s="2"/>
      <c r="E528" s="2"/>
      <c r="F528" s="2"/>
      <c r="G528" s="5"/>
      <c r="H528" s="2"/>
      <c r="I528" s="2"/>
      <c r="J528" s="2"/>
      <c r="K528" s="2"/>
    </row>
    <row r="529" spans="3:11" x14ac:dyDescent="0.2">
      <c r="C529" s="2"/>
      <c r="D529" s="2"/>
      <c r="E529" s="2"/>
      <c r="F529" s="2"/>
      <c r="G529" s="5"/>
      <c r="H529" s="2"/>
      <c r="I529" s="2"/>
      <c r="J529" s="2"/>
      <c r="K529" s="2"/>
    </row>
    <row r="530" spans="3:11" x14ac:dyDescent="0.2">
      <c r="C530" s="2"/>
      <c r="D530" s="2"/>
      <c r="E530" s="2"/>
      <c r="F530" s="2"/>
      <c r="G530" s="5"/>
      <c r="H530" s="2"/>
      <c r="I530" s="2"/>
      <c r="J530" s="2"/>
      <c r="K530" s="2"/>
    </row>
    <row r="531" spans="3:11" x14ac:dyDescent="0.2">
      <c r="C531" s="2"/>
      <c r="D531" s="2"/>
      <c r="E531" s="2"/>
      <c r="F531" s="2"/>
      <c r="G531" s="5"/>
      <c r="H531" s="2"/>
      <c r="I531" s="2"/>
      <c r="J531" s="2"/>
      <c r="K531" s="2"/>
    </row>
    <row r="532" spans="3:11" x14ac:dyDescent="0.2">
      <c r="C532" s="2"/>
      <c r="D532" s="2"/>
      <c r="E532" s="2"/>
      <c r="F532" s="2"/>
      <c r="G532" s="5"/>
      <c r="H532" s="2"/>
      <c r="I532" s="2"/>
      <c r="J532" s="2"/>
      <c r="K532" s="2"/>
    </row>
    <row r="533" spans="3:11" x14ac:dyDescent="0.2">
      <c r="C533" s="2"/>
      <c r="D533" s="2"/>
      <c r="E533" s="2"/>
      <c r="F533" s="2"/>
      <c r="G533" s="5"/>
      <c r="H533" s="2"/>
      <c r="I533" s="2"/>
      <c r="J533" s="2"/>
      <c r="K533" s="2"/>
    </row>
    <row r="534" spans="3:11" x14ac:dyDescent="0.2">
      <c r="C534" s="2"/>
      <c r="D534" s="2"/>
      <c r="E534" s="2"/>
      <c r="F534" s="2"/>
      <c r="G534" s="5"/>
      <c r="H534" s="2"/>
      <c r="I534" s="2"/>
      <c r="J534" s="2"/>
      <c r="K534" s="2"/>
    </row>
    <row r="535" spans="3:11" x14ac:dyDescent="0.2">
      <c r="C535" s="2"/>
      <c r="D535" s="2"/>
      <c r="E535" s="2"/>
      <c r="F535" s="2"/>
      <c r="G535" s="5"/>
      <c r="H535" s="2"/>
      <c r="I535" s="2"/>
      <c r="J535" s="2"/>
      <c r="K535" s="2"/>
    </row>
    <row r="536" spans="3:11" x14ac:dyDescent="0.2">
      <c r="C536" s="2"/>
      <c r="D536" s="2"/>
      <c r="E536" s="2"/>
      <c r="F536" s="2"/>
      <c r="G536" s="5"/>
      <c r="H536" s="2"/>
      <c r="I536" s="2"/>
      <c r="J536" s="2"/>
      <c r="K536" s="2"/>
    </row>
    <row r="537" spans="3:11" x14ac:dyDescent="0.2">
      <c r="C537" s="2"/>
      <c r="D537" s="2"/>
      <c r="E537" s="2"/>
      <c r="F537" s="2"/>
      <c r="G537" s="5"/>
      <c r="H537" s="2"/>
      <c r="I537" s="2"/>
      <c r="J537" s="2"/>
      <c r="K537" s="2"/>
    </row>
    <row r="538" spans="3:11" x14ac:dyDescent="0.2">
      <c r="C538" s="2"/>
      <c r="D538" s="2"/>
      <c r="E538" s="2"/>
      <c r="F538" s="2"/>
      <c r="G538" s="5"/>
      <c r="H538" s="2"/>
      <c r="I538" s="2"/>
      <c r="J538" s="2"/>
      <c r="K538" s="2"/>
    </row>
    <row r="539" spans="3:11" x14ac:dyDescent="0.2">
      <c r="C539" s="2"/>
      <c r="D539" s="2"/>
      <c r="E539" s="2"/>
      <c r="F539" s="2"/>
      <c r="G539" s="5"/>
      <c r="H539" s="2"/>
      <c r="I539" s="2"/>
      <c r="J539" s="2"/>
      <c r="K539" s="2"/>
    </row>
    <row r="540" spans="3:11" x14ac:dyDescent="0.2">
      <c r="C540" s="2"/>
      <c r="D540" s="2"/>
      <c r="E540" s="2"/>
      <c r="F540" s="2"/>
      <c r="G540" s="5"/>
      <c r="H540" s="2"/>
      <c r="I540" s="2"/>
      <c r="J540" s="2"/>
      <c r="K540" s="2"/>
    </row>
    <row r="541" spans="3:11" x14ac:dyDescent="0.2">
      <c r="C541" s="2"/>
      <c r="D541" s="2"/>
      <c r="E541" s="2"/>
      <c r="F541" s="2"/>
      <c r="G541" s="5"/>
      <c r="H541" s="2"/>
      <c r="I541" s="2"/>
      <c r="J541" s="2"/>
      <c r="K541" s="2"/>
    </row>
    <row r="542" spans="3:11" x14ac:dyDescent="0.2">
      <c r="C542" s="2"/>
      <c r="D542" s="2"/>
      <c r="E542" s="2"/>
      <c r="F542" s="2"/>
      <c r="G542" s="5"/>
      <c r="H542" s="2"/>
      <c r="I542" s="2"/>
      <c r="J542" s="2"/>
      <c r="K542" s="2"/>
    </row>
    <row r="543" spans="3:11" x14ac:dyDescent="0.2">
      <c r="C543" s="2"/>
      <c r="D543" s="2"/>
      <c r="E543" s="2"/>
      <c r="F543" s="2"/>
      <c r="G543" s="5"/>
      <c r="H543" s="2"/>
      <c r="I543" s="2"/>
      <c r="J543" s="2"/>
      <c r="K543" s="2"/>
    </row>
    <row r="544" spans="3:11" x14ac:dyDescent="0.2">
      <c r="C544" s="2"/>
      <c r="D544" s="2"/>
      <c r="E544" s="2"/>
      <c r="F544" s="2"/>
      <c r="G544" s="5"/>
      <c r="H544" s="2"/>
      <c r="I544" s="2"/>
      <c r="J544" s="2"/>
      <c r="K544" s="2"/>
    </row>
    <row r="545" spans="3:11" x14ac:dyDescent="0.2">
      <c r="C545" s="2"/>
      <c r="D545" s="2"/>
      <c r="E545" s="2"/>
      <c r="F545" s="2"/>
      <c r="G545" s="5"/>
      <c r="H545" s="2"/>
      <c r="I545" s="2"/>
      <c r="J545" s="2"/>
      <c r="K545" s="2"/>
    </row>
    <row r="546" spans="3:11" x14ac:dyDescent="0.2">
      <c r="C546" s="2"/>
      <c r="D546" s="2"/>
      <c r="E546" s="2"/>
      <c r="F546" s="2"/>
      <c r="G546" s="5"/>
      <c r="H546" s="2"/>
      <c r="I546" s="2"/>
      <c r="J546" s="2"/>
      <c r="K546" s="2"/>
    </row>
    <row r="547" spans="3:11" x14ac:dyDescent="0.2">
      <c r="C547" s="2"/>
      <c r="D547" s="2"/>
      <c r="E547" s="2"/>
      <c r="F547" s="2"/>
      <c r="G547" s="5"/>
      <c r="H547" s="2"/>
      <c r="I547" s="2"/>
      <c r="J547" s="2"/>
      <c r="K547" s="2"/>
    </row>
    <row r="548" spans="3:11" x14ac:dyDescent="0.2">
      <c r="C548" s="2"/>
      <c r="D548" s="2"/>
      <c r="E548" s="2"/>
      <c r="F548" s="2"/>
      <c r="G548" s="5"/>
      <c r="H548" s="2"/>
      <c r="I548" s="2"/>
      <c r="J548" s="2"/>
      <c r="K548" s="2"/>
    </row>
    <row r="549" spans="3:11" x14ac:dyDescent="0.2">
      <c r="C549" s="2"/>
      <c r="D549" s="2"/>
      <c r="E549" s="2"/>
      <c r="F549" s="2"/>
      <c r="G549" s="5"/>
      <c r="H549" s="2"/>
      <c r="I549" s="2"/>
      <c r="J549" s="2"/>
      <c r="K549" s="2"/>
    </row>
    <row r="550" spans="3:11" x14ac:dyDescent="0.2">
      <c r="C550" s="2"/>
      <c r="D550" s="2"/>
      <c r="E550" s="2"/>
      <c r="F550" s="2"/>
      <c r="G550" s="5"/>
      <c r="H550" s="2"/>
      <c r="I550" s="2"/>
      <c r="J550" s="2"/>
      <c r="K550" s="2"/>
    </row>
    <row r="551" spans="3:11" x14ac:dyDescent="0.2">
      <c r="C551" s="2"/>
      <c r="D551" s="2"/>
      <c r="E551" s="2"/>
      <c r="F551" s="2"/>
      <c r="G551" s="5"/>
      <c r="H551" s="2"/>
      <c r="I551" s="2"/>
      <c r="J551" s="2"/>
      <c r="K551" s="2"/>
    </row>
    <row r="552" spans="3:11" x14ac:dyDescent="0.2">
      <c r="C552" s="2"/>
      <c r="D552" s="2"/>
      <c r="E552" s="2"/>
      <c r="F552" s="2"/>
      <c r="G552" s="5"/>
      <c r="H552" s="2"/>
      <c r="I552" s="2"/>
      <c r="J552" s="2"/>
      <c r="K552" s="2"/>
    </row>
    <row r="553" spans="3:11" x14ac:dyDescent="0.2">
      <c r="C553" s="2"/>
      <c r="D553" s="2"/>
      <c r="E553" s="2"/>
      <c r="F553" s="2"/>
      <c r="G553" s="5"/>
      <c r="H553" s="2"/>
      <c r="I553" s="2"/>
      <c r="J553" s="2"/>
      <c r="K553" s="2"/>
    </row>
    <row r="554" spans="3:11" x14ac:dyDescent="0.2">
      <c r="C554" s="2"/>
      <c r="D554" s="2"/>
      <c r="E554" s="2"/>
      <c r="F554" s="2"/>
      <c r="G554" s="5"/>
      <c r="H554" s="2"/>
      <c r="I554" s="2"/>
      <c r="J554" s="2"/>
      <c r="K554" s="2"/>
    </row>
    <row r="555" spans="3:11" x14ac:dyDescent="0.2">
      <c r="C555" s="2"/>
      <c r="D555" s="2"/>
      <c r="E555" s="2"/>
      <c r="F555" s="2"/>
      <c r="G555" s="5"/>
      <c r="H555" s="2"/>
      <c r="I555" s="2"/>
      <c r="J555" s="2"/>
      <c r="K555" s="2"/>
    </row>
    <row r="556" spans="3:11" x14ac:dyDescent="0.2">
      <c r="C556" s="2"/>
      <c r="D556" s="2"/>
      <c r="E556" s="2"/>
      <c r="F556" s="2"/>
      <c r="G556" s="5"/>
      <c r="H556" s="2"/>
      <c r="I556" s="2"/>
      <c r="J556" s="2"/>
      <c r="K556" s="2"/>
    </row>
    <row r="557" spans="3:11" x14ac:dyDescent="0.2">
      <c r="C557" s="2"/>
      <c r="D557" s="2"/>
      <c r="E557" s="2"/>
      <c r="F557" s="2"/>
      <c r="G557" s="5"/>
      <c r="H557" s="2"/>
      <c r="I557" s="2"/>
      <c r="J557" s="2"/>
      <c r="K557" s="2"/>
    </row>
    <row r="558" spans="3:11" x14ac:dyDescent="0.2">
      <c r="C558" s="2"/>
      <c r="D558" s="2"/>
      <c r="E558" s="2"/>
      <c r="F558" s="2"/>
      <c r="G558" s="5"/>
      <c r="H558" s="2"/>
      <c r="I558" s="2"/>
      <c r="J558" s="2"/>
      <c r="K558" s="2"/>
    </row>
    <row r="559" spans="3:11" x14ac:dyDescent="0.2">
      <c r="C559" s="2"/>
      <c r="D559" s="2"/>
      <c r="E559" s="2"/>
      <c r="F559" s="2"/>
      <c r="G559" s="5"/>
      <c r="H559" s="2"/>
      <c r="I559" s="2"/>
      <c r="J559" s="2"/>
      <c r="K559" s="2"/>
    </row>
    <row r="560" spans="3:11" x14ac:dyDescent="0.2">
      <c r="C560" s="2"/>
      <c r="D560" s="2"/>
      <c r="E560" s="2"/>
      <c r="F560" s="2"/>
      <c r="G560" s="5"/>
      <c r="H560" s="2"/>
      <c r="I560" s="2"/>
      <c r="J560" s="2"/>
      <c r="K560" s="2"/>
    </row>
    <row r="561" spans="3:11" x14ac:dyDescent="0.2">
      <c r="C561" s="2"/>
      <c r="D561" s="2"/>
      <c r="E561" s="2"/>
      <c r="F561" s="2"/>
      <c r="G561" s="5"/>
      <c r="H561" s="2"/>
      <c r="I561" s="2"/>
      <c r="J561" s="2"/>
      <c r="K561" s="2"/>
    </row>
    <row r="562" spans="3:11" x14ac:dyDescent="0.2">
      <c r="C562" s="2"/>
      <c r="D562" s="2"/>
      <c r="E562" s="2"/>
      <c r="F562" s="2"/>
      <c r="G562" s="5"/>
      <c r="H562" s="2"/>
      <c r="I562" s="2"/>
      <c r="J562" s="2"/>
      <c r="K562" s="2"/>
    </row>
    <row r="563" spans="3:11" x14ac:dyDescent="0.2">
      <c r="C563" s="2"/>
      <c r="D563" s="2"/>
      <c r="E563" s="2"/>
      <c r="F563" s="2"/>
      <c r="G563" s="5"/>
      <c r="H563" s="2"/>
      <c r="I563" s="2"/>
      <c r="J563" s="2"/>
      <c r="K563" s="2"/>
    </row>
    <row r="564" spans="3:11" x14ac:dyDescent="0.2">
      <c r="C564" s="2"/>
      <c r="D564" s="2"/>
      <c r="E564" s="2"/>
      <c r="F564" s="2"/>
      <c r="G564" s="5"/>
      <c r="H564" s="2"/>
      <c r="I564" s="2"/>
      <c r="J564" s="2"/>
      <c r="K564" s="2"/>
    </row>
    <row r="565" spans="3:11" x14ac:dyDescent="0.2">
      <c r="C565" s="2"/>
      <c r="D565" s="2"/>
      <c r="E565" s="2"/>
      <c r="F565" s="2"/>
      <c r="G565" s="5"/>
      <c r="H565" s="2"/>
      <c r="I565" s="2"/>
      <c r="J565" s="2"/>
      <c r="K565" s="2"/>
    </row>
    <row r="566" spans="3:11" x14ac:dyDescent="0.2">
      <c r="C566" s="2"/>
      <c r="D566" s="2"/>
      <c r="E566" s="2"/>
      <c r="F566" s="2"/>
      <c r="G566" s="5"/>
      <c r="H566" s="2"/>
      <c r="I566" s="2"/>
      <c r="J566" s="2"/>
      <c r="K566" s="2"/>
    </row>
    <row r="567" spans="3:11" x14ac:dyDescent="0.2">
      <c r="C567" s="2"/>
      <c r="D567" s="2"/>
      <c r="E567" s="2"/>
      <c r="F567" s="2"/>
      <c r="G567" s="5"/>
      <c r="H567" s="2"/>
      <c r="I567" s="2"/>
      <c r="J567" s="2"/>
      <c r="K567" s="2"/>
    </row>
    <row r="568" spans="3:11" x14ac:dyDescent="0.2">
      <c r="C568" s="2"/>
      <c r="D568" s="2"/>
      <c r="E568" s="2"/>
      <c r="F568" s="2"/>
      <c r="G568" s="5"/>
      <c r="H568" s="2"/>
      <c r="I568" s="2"/>
      <c r="J568" s="2"/>
      <c r="K568" s="2"/>
    </row>
    <row r="569" spans="3:11" x14ac:dyDescent="0.2">
      <c r="C569" s="2"/>
      <c r="D569" s="2"/>
      <c r="E569" s="2"/>
      <c r="F569" s="2"/>
      <c r="G569" s="5"/>
      <c r="H569" s="2"/>
      <c r="I569" s="2"/>
      <c r="J569" s="2"/>
      <c r="K569" s="2"/>
    </row>
    <row r="570" spans="3:11" x14ac:dyDescent="0.2">
      <c r="C570" s="2"/>
      <c r="D570" s="2"/>
      <c r="E570" s="2"/>
      <c r="F570" s="2"/>
      <c r="G570" s="5"/>
      <c r="H570" s="2"/>
      <c r="I570" s="2"/>
      <c r="J570" s="2"/>
      <c r="K570" s="2"/>
    </row>
    <row r="571" spans="3:11" x14ac:dyDescent="0.2">
      <c r="C571" s="2"/>
      <c r="D571" s="2"/>
      <c r="E571" s="2"/>
      <c r="F571" s="2"/>
      <c r="G571" s="5"/>
      <c r="H571" s="2"/>
      <c r="I571" s="2"/>
      <c r="J571" s="2"/>
      <c r="K571" s="2"/>
    </row>
    <row r="572" spans="3:11" x14ac:dyDescent="0.2">
      <c r="C572" s="2"/>
      <c r="D572" s="2"/>
      <c r="E572" s="2"/>
      <c r="F572" s="2"/>
      <c r="G572" s="5"/>
      <c r="H572" s="2"/>
      <c r="I572" s="2"/>
      <c r="J572" s="2"/>
      <c r="K572" s="2"/>
    </row>
    <row r="573" spans="3:11" x14ac:dyDescent="0.2">
      <c r="C573" s="2"/>
      <c r="D573" s="2"/>
      <c r="E573" s="2"/>
      <c r="F573" s="2"/>
      <c r="G573" s="5"/>
      <c r="H573" s="2"/>
      <c r="I573" s="2"/>
      <c r="J573" s="2"/>
      <c r="K573" s="2"/>
    </row>
    <row r="574" spans="3:11" x14ac:dyDescent="0.2">
      <c r="C574" s="2"/>
      <c r="D574" s="2"/>
      <c r="E574" s="2"/>
      <c r="F574" s="2"/>
      <c r="G574" s="5"/>
      <c r="H574" s="2"/>
      <c r="I574" s="2"/>
      <c r="J574" s="2"/>
      <c r="K574" s="2"/>
    </row>
    <row r="575" spans="3:11" x14ac:dyDescent="0.2">
      <c r="C575" s="2"/>
      <c r="D575" s="2"/>
      <c r="E575" s="2"/>
      <c r="F575" s="2"/>
      <c r="G575" s="5"/>
      <c r="H575" s="2"/>
      <c r="I575" s="2"/>
      <c r="J575" s="2"/>
      <c r="K575" s="2"/>
    </row>
    <row r="576" spans="3:11" x14ac:dyDescent="0.2">
      <c r="C576" s="2"/>
      <c r="D576" s="2"/>
      <c r="E576" s="2"/>
      <c r="F576" s="2"/>
      <c r="G576" s="5"/>
      <c r="H576" s="2"/>
      <c r="I576" s="2"/>
      <c r="J576" s="2"/>
      <c r="K576" s="2"/>
    </row>
    <row r="577" spans="3:11" x14ac:dyDescent="0.2">
      <c r="C577" s="2"/>
      <c r="D577" s="2"/>
      <c r="E577" s="2"/>
      <c r="F577" s="2"/>
      <c r="G577" s="5"/>
      <c r="H577" s="2"/>
      <c r="I577" s="2"/>
      <c r="J577" s="2"/>
      <c r="K577" s="2"/>
    </row>
    <row r="578" spans="3:11" x14ac:dyDescent="0.2">
      <c r="C578" s="2"/>
      <c r="D578" s="2"/>
      <c r="E578" s="2"/>
      <c r="F578" s="2"/>
      <c r="G578" s="5"/>
      <c r="H578" s="2"/>
      <c r="I578" s="2"/>
      <c r="J578" s="2"/>
      <c r="K578" s="2"/>
    </row>
    <row r="579" spans="3:11" x14ac:dyDescent="0.2">
      <c r="C579" s="2"/>
      <c r="D579" s="2"/>
      <c r="E579" s="2"/>
      <c r="F579" s="2"/>
      <c r="G579" s="5"/>
      <c r="H579" s="2"/>
      <c r="I579" s="2"/>
      <c r="J579" s="2"/>
      <c r="K579" s="2"/>
    </row>
    <row r="580" spans="3:11" x14ac:dyDescent="0.2">
      <c r="C580" s="2"/>
      <c r="D580" s="2"/>
      <c r="E580" s="2"/>
      <c r="F580" s="2"/>
      <c r="G580" s="5"/>
      <c r="H580" s="2"/>
      <c r="I580" s="2"/>
      <c r="J580" s="2"/>
      <c r="K580" s="2"/>
    </row>
    <row r="581" spans="3:11" x14ac:dyDescent="0.2">
      <c r="C581" s="2"/>
      <c r="D581" s="2"/>
      <c r="E581" s="2"/>
      <c r="F581" s="2"/>
      <c r="G581" s="5"/>
      <c r="H581" s="2"/>
      <c r="I581" s="2"/>
      <c r="J581" s="2"/>
      <c r="K581" s="2"/>
    </row>
    <row r="582" spans="3:11" x14ac:dyDescent="0.2">
      <c r="C582" s="2"/>
      <c r="D582" s="2"/>
      <c r="E582" s="2"/>
      <c r="F582" s="2"/>
      <c r="G582" s="5"/>
      <c r="H582" s="2"/>
      <c r="I582" s="2"/>
      <c r="J582" s="2"/>
      <c r="K582" s="2"/>
    </row>
    <row r="583" spans="3:11" x14ac:dyDescent="0.2">
      <c r="C583" s="2"/>
      <c r="D583" s="2"/>
      <c r="E583" s="2"/>
      <c r="F583" s="2"/>
      <c r="G583" s="5"/>
      <c r="H583" s="2"/>
      <c r="I583" s="2"/>
      <c r="J583" s="2"/>
      <c r="K583" s="2"/>
    </row>
    <row r="584" spans="3:11" x14ac:dyDescent="0.2">
      <c r="C584" s="2"/>
      <c r="D584" s="2"/>
      <c r="E584" s="2"/>
      <c r="F584" s="2"/>
      <c r="G584" s="5"/>
      <c r="H584" s="2"/>
      <c r="I584" s="2"/>
      <c r="J584" s="2"/>
      <c r="K584" s="2"/>
    </row>
    <row r="585" spans="3:11" x14ac:dyDescent="0.2">
      <c r="C585" s="2"/>
      <c r="D585" s="2"/>
      <c r="E585" s="2"/>
      <c r="F585" s="2"/>
      <c r="G585" s="5"/>
      <c r="H585" s="2"/>
      <c r="I585" s="2"/>
      <c r="J585" s="2"/>
      <c r="K585" s="2"/>
    </row>
    <row r="586" spans="3:11" x14ac:dyDescent="0.2">
      <c r="C586" s="2"/>
      <c r="D586" s="2"/>
      <c r="E586" s="2"/>
      <c r="F586" s="2"/>
      <c r="G586" s="5"/>
      <c r="H586" s="2"/>
      <c r="I586" s="2"/>
      <c r="J586" s="2"/>
      <c r="K586" s="2"/>
    </row>
    <row r="587" spans="3:11" x14ac:dyDescent="0.2">
      <c r="C587" s="2"/>
      <c r="D587" s="2"/>
      <c r="E587" s="2"/>
      <c r="F587" s="2"/>
      <c r="G587" s="5"/>
      <c r="H587" s="2"/>
      <c r="I587" s="2"/>
      <c r="J587" s="2"/>
      <c r="K587" s="2"/>
    </row>
    <row r="588" spans="3:11" x14ac:dyDescent="0.2">
      <c r="C588" s="2"/>
      <c r="D588" s="2"/>
      <c r="E588" s="2"/>
      <c r="F588" s="2"/>
      <c r="G588" s="5"/>
      <c r="H588" s="2"/>
      <c r="I588" s="2"/>
      <c r="J588" s="2"/>
      <c r="K588" s="2"/>
    </row>
    <row r="589" spans="3:11" x14ac:dyDescent="0.2">
      <c r="C589" s="2"/>
      <c r="D589" s="2"/>
      <c r="E589" s="2"/>
      <c r="F589" s="2"/>
      <c r="G589" s="5"/>
      <c r="H589" s="2"/>
      <c r="I589" s="2"/>
      <c r="J589" s="2"/>
      <c r="K589" s="2"/>
    </row>
    <row r="590" spans="3:11" x14ac:dyDescent="0.2">
      <c r="C590" s="2"/>
      <c r="D590" s="2"/>
      <c r="E590" s="2"/>
      <c r="F590" s="2"/>
      <c r="G590" s="5"/>
      <c r="H590" s="2"/>
      <c r="I590" s="2"/>
      <c r="J590" s="2"/>
      <c r="K590" s="2"/>
    </row>
    <row r="591" spans="3:11" x14ac:dyDescent="0.2">
      <c r="C591" s="2"/>
      <c r="D591" s="2"/>
      <c r="E591" s="2"/>
      <c r="F591" s="2"/>
      <c r="G591" s="5"/>
      <c r="H591" s="2"/>
      <c r="I591" s="2"/>
      <c r="J591" s="2"/>
      <c r="K591" s="2"/>
    </row>
    <row r="592" spans="3:11" x14ac:dyDescent="0.2">
      <c r="C592" s="2"/>
      <c r="D592" s="2"/>
      <c r="E592" s="2"/>
      <c r="F592" s="2"/>
      <c r="G592" s="5"/>
      <c r="H592" s="2"/>
      <c r="I592" s="2"/>
      <c r="J592" s="2"/>
      <c r="K592" s="2"/>
    </row>
    <row r="593" spans="3:11" x14ac:dyDescent="0.2">
      <c r="C593" s="2"/>
      <c r="D593" s="2"/>
      <c r="E593" s="2"/>
      <c r="F593" s="2"/>
      <c r="G593" s="5"/>
      <c r="H593" s="2"/>
      <c r="I593" s="2"/>
      <c r="J593" s="2"/>
      <c r="K593" s="2"/>
    </row>
    <row r="594" spans="3:11" x14ac:dyDescent="0.2">
      <c r="C594" s="2"/>
      <c r="D594" s="2"/>
      <c r="E594" s="2"/>
      <c r="F594" s="2"/>
      <c r="G594" s="5"/>
      <c r="H594" s="2"/>
      <c r="I594" s="2"/>
      <c r="J594" s="2"/>
      <c r="K594" s="2"/>
    </row>
    <row r="595" spans="3:11" x14ac:dyDescent="0.2">
      <c r="C595" s="2"/>
      <c r="D595" s="2"/>
      <c r="E595" s="2"/>
      <c r="F595" s="2"/>
      <c r="G595" s="5"/>
      <c r="H595" s="2"/>
      <c r="I595" s="2"/>
      <c r="J595" s="2"/>
      <c r="K595" s="2"/>
    </row>
    <row r="596" spans="3:11" x14ac:dyDescent="0.2">
      <c r="C596" s="2"/>
      <c r="D596" s="2"/>
      <c r="E596" s="2"/>
      <c r="F596" s="2"/>
      <c r="G596" s="5"/>
      <c r="H596" s="2"/>
      <c r="I596" s="2"/>
      <c r="J596" s="2"/>
      <c r="K596" s="2"/>
    </row>
    <row r="597" spans="3:11" x14ac:dyDescent="0.2">
      <c r="C597" s="2"/>
      <c r="D597" s="2"/>
      <c r="E597" s="2"/>
      <c r="F597" s="2"/>
      <c r="G597" s="5"/>
      <c r="H597" s="2"/>
      <c r="I597" s="2"/>
      <c r="J597" s="2"/>
      <c r="K597" s="2"/>
    </row>
    <row r="598" spans="3:11" x14ac:dyDescent="0.2">
      <c r="C598" s="2"/>
      <c r="D598" s="2"/>
      <c r="E598" s="2"/>
      <c r="F598" s="2"/>
      <c r="G598" s="5"/>
      <c r="H598" s="2"/>
      <c r="I598" s="2"/>
      <c r="J598" s="2"/>
      <c r="K598" s="2"/>
    </row>
    <row r="599" spans="3:11" x14ac:dyDescent="0.2">
      <c r="C599" s="2"/>
      <c r="D599" s="2"/>
      <c r="E599" s="2"/>
      <c r="F599" s="2"/>
      <c r="G599" s="5"/>
      <c r="H599" s="2"/>
      <c r="I599" s="2"/>
      <c r="J599" s="2"/>
      <c r="K599" s="2"/>
    </row>
    <row r="600" spans="3:11" x14ac:dyDescent="0.2">
      <c r="C600" s="2"/>
      <c r="D600" s="2"/>
      <c r="E600" s="2"/>
      <c r="F600" s="2"/>
      <c r="G600" s="5"/>
      <c r="H600" s="2"/>
      <c r="I600" s="2"/>
      <c r="J600" s="2"/>
      <c r="K600" s="2"/>
    </row>
    <row r="601" spans="3:11" x14ac:dyDescent="0.2">
      <c r="C601" s="2"/>
      <c r="D601" s="2"/>
      <c r="E601" s="2"/>
      <c r="F601" s="2"/>
      <c r="G601" s="5"/>
      <c r="H601" s="2"/>
      <c r="I601" s="2"/>
      <c r="J601" s="2"/>
      <c r="K601" s="2"/>
    </row>
    <row r="602" spans="3:11" x14ac:dyDescent="0.2">
      <c r="C602" s="2"/>
      <c r="D602" s="2"/>
      <c r="E602" s="2"/>
      <c r="F602" s="2"/>
      <c r="G602" s="5"/>
      <c r="H602" s="2"/>
      <c r="I602" s="2"/>
      <c r="J602" s="2"/>
      <c r="K602" s="2"/>
    </row>
    <row r="603" spans="3:11" x14ac:dyDescent="0.2">
      <c r="C603" s="2"/>
      <c r="D603" s="2"/>
      <c r="E603" s="2"/>
      <c r="F603" s="2"/>
      <c r="G603" s="5"/>
      <c r="H603" s="2"/>
      <c r="I603" s="2"/>
      <c r="J603" s="2"/>
      <c r="K603" s="2"/>
    </row>
    <row r="604" spans="3:11" x14ac:dyDescent="0.2">
      <c r="C604" s="2"/>
      <c r="D604" s="2"/>
      <c r="E604" s="2"/>
      <c r="F604" s="2"/>
      <c r="G604" s="5"/>
      <c r="H604" s="2"/>
      <c r="I604" s="2"/>
      <c r="J604" s="2"/>
      <c r="K604" s="2"/>
    </row>
    <row r="605" spans="3:11" x14ac:dyDescent="0.2">
      <c r="C605" s="2"/>
      <c r="D605" s="2"/>
      <c r="E605" s="2"/>
      <c r="F605" s="2"/>
      <c r="G605" s="5"/>
      <c r="H605" s="2"/>
      <c r="I605" s="2"/>
      <c r="J605" s="2"/>
      <c r="K605" s="2"/>
    </row>
    <row r="606" spans="3:11" x14ac:dyDescent="0.2">
      <c r="C606" s="2"/>
      <c r="D606" s="2"/>
      <c r="E606" s="2"/>
      <c r="F606" s="2"/>
      <c r="G606" s="5"/>
      <c r="H606" s="2"/>
      <c r="I606" s="2"/>
      <c r="J606" s="2"/>
      <c r="K606" s="2"/>
    </row>
    <row r="607" spans="3:11" x14ac:dyDescent="0.2">
      <c r="C607" s="2"/>
      <c r="D607" s="2"/>
      <c r="E607" s="2"/>
      <c r="F607" s="2"/>
      <c r="G607" s="5"/>
      <c r="H607" s="2"/>
      <c r="I607" s="2"/>
      <c r="J607" s="2"/>
      <c r="K607" s="2"/>
    </row>
    <row r="608" spans="3:11" x14ac:dyDescent="0.2">
      <c r="C608" s="2"/>
      <c r="D608" s="2"/>
      <c r="E608" s="2"/>
      <c r="F608" s="2"/>
      <c r="G608" s="5"/>
      <c r="H608" s="2"/>
      <c r="I608" s="2"/>
      <c r="J608" s="2"/>
      <c r="K608" s="2"/>
    </row>
    <row r="609" spans="3:11" x14ac:dyDescent="0.2">
      <c r="C609" s="2"/>
      <c r="D609" s="2"/>
      <c r="E609" s="2"/>
      <c r="F609" s="2"/>
      <c r="G609" s="5"/>
      <c r="H609" s="2"/>
      <c r="I609" s="2"/>
      <c r="J609" s="2"/>
      <c r="K609" s="2"/>
    </row>
    <row r="610" spans="3:11" x14ac:dyDescent="0.2">
      <c r="C610" s="2"/>
      <c r="D610" s="2"/>
      <c r="E610" s="2"/>
      <c r="F610" s="2"/>
      <c r="G610" s="5"/>
      <c r="H610" s="2"/>
      <c r="I610" s="2"/>
      <c r="J610" s="2"/>
      <c r="K610" s="2"/>
    </row>
    <row r="611" spans="3:11" x14ac:dyDescent="0.2">
      <c r="C611" s="2"/>
      <c r="D611" s="2"/>
      <c r="E611" s="2"/>
      <c r="F611" s="2"/>
      <c r="G611" s="5"/>
      <c r="H611" s="2"/>
      <c r="I611" s="2"/>
      <c r="J611" s="2"/>
      <c r="K611" s="2"/>
    </row>
    <row r="612" spans="3:11" x14ac:dyDescent="0.2">
      <c r="C612" s="2"/>
      <c r="D612" s="2"/>
      <c r="E612" s="2"/>
      <c r="F612" s="2"/>
      <c r="G612" s="5"/>
      <c r="H612" s="2"/>
      <c r="I612" s="2"/>
      <c r="J612" s="2"/>
      <c r="K612" s="2"/>
    </row>
    <row r="613" spans="3:11" x14ac:dyDescent="0.2">
      <c r="C613" s="2"/>
      <c r="D613" s="2"/>
      <c r="E613" s="2"/>
      <c r="F613" s="2"/>
      <c r="G613" s="5"/>
      <c r="H613" s="2"/>
      <c r="I613" s="2"/>
      <c r="J613" s="2"/>
      <c r="K613" s="2"/>
    </row>
    <row r="614" spans="3:11" x14ac:dyDescent="0.2">
      <c r="C614" s="2"/>
      <c r="D614" s="2"/>
      <c r="E614" s="2"/>
      <c r="F614" s="2"/>
      <c r="G614" s="5"/>
      <c r="H614" s="2"/>
      <c r="I614" s="2"/>
      <c r="J614" s="2"/>
      <c r="K614" s="2"/>
    </row>
    <row r="615" spans="3:11" x14ac:dyDescent="0.2">
      <c r="C615" s="2"/>
      <c r="D615" s="2"/>
      <c r="E615" s="2"/>
      <c r="F615" s="2"/>
      <c r="G615" s="5"/>
      <c r="H615" s="2"/>
      <c r="I615" s="2"/>
      <c r="J615" s="2"/>
      <c r="K615" s="2"/>
    </row>
    <row r="616" spans="3:11" x14ac:dyDescent="0.2">
      <c r="C616" s="2"/>
      <c r="D616" s="2"/>
      <c r="E616" s="2"/>
      <c r="F616" s="2"/>
      <c r="G616" s="5"/>
      <c r="H616" s="2"/>
      <c r="I616" s="2"/>
      <c r="J616" s="2"/>
      <c r="K616" s="2"/>
    </row>
  </sheetData>
  <mergeCells count="6">
    <mergeCell ref="D46:E46"/>
    <mergeCell ref="C1:K1"/>
    <mergeCell ref="I3:J3"/>
    <mergeCell ref="D37:E37"/>
    <mergeCell ref="D40:E40"/>
    <mergeCell ref="D43:E43"/>
  </mergeCells>
  <conditionalFormatting sqref="C33:K33">
    <cfRule type="top10" dxfId="1462" priority="1" stopIfTrue="1" rank="10"/>
  </conditionalFormatting>
  <pageMargins left="0.2" right="0" top="0.48" bottom="0" header="11.19" footer="0"/>
  <pageSetup paperSize="9" scale="63" orientation="portrait" cellComments="asDisplayed" useFirstPageNumber="1" horizontalDpi="300" verticalDpi="300" r:id="rId1"/>
  <headerFooter alignWithMargins="0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3"/>
  <sheetViews>
    <sheetView tabSelected="1" topLeftCell="A19" workbookViewId="0">
      <selection activeCell="F28" sqref="F28"/>
    </sheetView>
  </sheetViews>
  <sheetFormatPr defaultRowHeight="12.75" x14ac:dyDescent="0.2"/>
  <cols>
    <col min="1" max="1" width="4.42578125" customWidth="1"/>
    <col min="2" max="2" width="5.85546875" customWidth="1"/>
    <col min="3" max="3" width="48.140625" customWidth="1"/>
    <col min="4" max="4" width="15.140625" customWidth="1"/>
    <col min="5" max="5" width="15.7109375" customWidth="1"/>
    <col min="6" max="6" width="15.85546875" customWidth="1"/>
    <col min="7" max="7" width="12.140625" style="6" customWidth="1"/>
    <col min="8" max="10" width="13" customWidth="1"/>
    <col min="11" max="11" width="16.85546875" customWidth="1"/>
    <col min="12" max="13" width="6.140625" customWidth="1"/>
    <col min="14" max="14" width="14.5703125" hidden="1" customWidth="1"/>
    <col min="15" max="15" width="11.85546875" hidden="1" customWidth="1"/>
    <col min="16" max="16" width="14.5703125" hidden="1" customWidth="1"/>
    <col min="17" max="17" width="11.85546875" hidden="1" customWidth="1"/>
    <col min="18" max="21" width="10.5703125" hidden="1" customWidth="1"/>
    <col min="22" max="22" width="14.7109375" customWidth="1"/>
    <col min="23" max="23" width="16.5703125" customWidth="1"/>
    <col min="24" max="26" width="10.5703125" customWidth="1"/>
    <col min="27" max="28" width="12.28515625" customWidth="1"/>
  </cols>
  <sheetData>
    <row r="1" spans="2:31" ht="13.5" customHeight="1" x14ac:dyDescent="0.25">
      <c r="C1" s="475"/>
      <c r="D1" s="475"/>
      <c r="E1" s="475"/>
      <c r="F1" s="475"/>
      <c r="G1" s="475"/>
      <c r="H1" s="475"/>
      <c r="I1" s="475"/>
      <c r="J1" s="475"/>
      <c r="K1" s="475"/>
      <c r="N1" s="315" t="s">
        <v>143</v>
      </c>
      <c r="O1" s="316" t="s">
        <v>4</v>
      </c>
      <c r="P1" s="317"/>
      <c r="Q1" s="318"/>
      <c r="R1" s="319" t="s">
        <v>1</v>
      </c>
      <c r="S1" s="317"/>
      <c r="T1" s="318"/>
      <c r="U1" s="319"/>
      <c r="V1" s="317"/>
      <c r="W1" s="318"/>
      <c r="X1" s="319"/>
      <c r="Y1" s="317"/>
      <c r="Z1" s="318"/>
      <c r="AA1" s="320"/>
      <c r="AB1" s="320"/>
    </row>
    <row r="2" spans="2:31" s="1" customFormat="1" ht="19.5" x14ac:dyDescent="0.3">
      <c r="B2" s="13" t="s">
        <v>0</v>
      </c>
      <c r="C2" s="16" t="s">
        <v>68</v>
      </c>
      <c r="D2" s="17"/>
      <c r="E2" s="17"/>
      <c r="F2" s="176">
        <f ca="1">TODAY()</f>
        <v>45880</v>
      </c>
      <c r="G2" s="17"/>
      <c r="H2" s="17"/>
      <c r="I2" s="17"/>
      <c r="J2" s="18" t="s">
        <v>10</v>
      </c>
      <c r="K2" s="19"/>
      <c r="L2"/>
      <c r="M2"/>
      <c r="N2" s="321"/>
      <c r="O2" s="322" t="s">
        <v>146</v>
      </c>
      <c r="P2" s="322" t="s">
        <v>29</v>
      </c>
      <c r="Q2" s="323" t="s">
        <v>147</v>
      </c>
      <c r="R2" s="322" t="s">
        <v>146</v>
      </c>
      <c r="S2" s="322" t="s">
        <v>29</v>
      </c>
      <c r="T2" s="323" t="s">
        <v>147</v>
      </c>
      <c r="U2" s="322"/>
      <c r="V2" s="322"/>
      <c r="W2" s="323"/>
      <c r="X2" s="322"/>
      <c r="Y2" s="322"/>
      <c r="Z2" s="323"/>
      <c r="AA2" s="323"/>
      <c r="AB2" s="323"/>
      <c r="AD2"/>
    </row>
    <row r="3" spans="2:31" s="1" customFormat="1" ht="12.75" customHeight="1" x14ac:dyDescent="0.25">
      <c r="B3" s="14"/>
      <c r="C3" s="8"/>
      <c r="D3" s="11" t="s">
        <v>0</v>
      </c>
      <c r="E3" s="12" t="s">
        <v>0</v>
      </c>
      <c r="F3" s="8" t="s">
        <v>0</v>
      </c>
      <c r="G3" s="9"/>
      <c r="H3" s="8"/>
      <c r="I3" s="476"/>
      <c r="J3" s="476"/>
      <c r="K3" s="15"/>
      <c r="L3"/>
      <c r="M3"/>
      <c r="N3" s="324">
        <v>44601</v>
      </c>
      <c r="O3" s="325"/>
      <c r="P3" s="326"/>
      <c r="Q3" s="327">
        <v>76.5762</v>
      </c>
      <c r="R3" s="325"/>
      <c r="S3" s="326"/>
      <c r="T3" s="327">
        <v>86.518100000000004</v>
      </c>
      <c r="U3" s="328"/>
      <c r="V3" s="328"/>
      <c r="W3" s="329"/>
      <c r="X3" s="325"/>
      <c r="Y3" s="326"/>
      <c r="Z3" s="327"/>
      <c r="AA3" s="327"/>
      <c r="AB3" s="327"/>
      <c r="AD3"/>
    </row>
    <row r="4" spans="2:31" s="1" customFormat="1" ht="15" x14ac:dyDescent="0.25">
      <c r="B4" s="330" t="s">
        <v>5</v>
      </c>
      <c r="C4" s="22" t="s">
        <v>61</v>
      </c>
      <c r="D4" s="23" t="s">
        <v>63</v>
      </c>
      <c r="E4" s="24" t="s">
        <v>0</v>
      </c>
      <c r="F4" s="22" t="s">
        <v>0</v>
      </c>
      <c r="G4" s="25"/>
      <c r="H4" s="22"/>
      <c r="I4" s="23" t="s">
        <v>4</v>
      </c>
      <c r="J4" s="105"/>
      <c r="K4" s="26" t="s">
        <v>62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2:31" s="1" customFormat="1" ht="15" x14ac:dyDescent="0.25">
      <c r="B5" s="14"/>
      <c r="C5" s="22" t="s">
        <v>61</v>
      </c>
      <c r="D5" s="23" t="s">
        <v>63</v>
      </c>
      <c r="E5" s="24" t="s">
        <v>0</v>
      </c>
      <c r="F5" s="22"/>
      <c r="G5" s="25"/>
      <c r="H5" s="22"/>
      <c r="I5" s="23" t="s">
        <v>1</v>
      </c>
      <c r="J5" s="105"/>
      <c r="K5" s="26" t="s">
        <v>62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2:31" s="1" customFormat="1" ht="15" x14ac:dyDescent="0.25">
      <c r="B6" s="14"/>
      <c r="C6" s="22" t="s">
        <v>61</v>
      </c>
      <c r="D6" s="23" t="s">
        <v>63</v>
      </c>
      <c r="E6" s="24"/>
      <c r="F6" s="22"/>
      <c r="G6" s="25"/>
      <c r="H6" s="22"/>
      <c r="I6" s="23" t="s">
        <v>145</v>
      </c>
      <c r="J6" s="105">
        <f>AB3</f>
        <v>0</v>
      </c>
      <c r="K6" s="26" t="s">
        <v>62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2:31" s="1" customFormat="1" ht="15" x14ac:dyDescent="0.25">
      <c r="B7" s="14"/>
      <c r="C7" s="22"/>
      <c r="D7" s="23"/>
      <c r="E7" s="23"/>
      <c r="F7" s="268"/>
      <c r="G7" s="24"/>
      <c r="H7" s="23"/>
      <c r="I7" s="23"/>
      <c r="J7" s="105"/>
      <c r="K7" s="26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2:31" s="1" customFormat="1" ht="15" x14ac:dyDescent="0.25">
      <c r="B8" s="14"/>
      <c r="C8" s="22"/>
      <c r="D8" s="23"/>
      <c r="E8" s="23"/>
      <c r="F8" s="268"/>
      <c r="G8" s="24"/>
      <c r="H8" s="23"/>
      <c r="I8" s="23"/>
      <c r="J8" s="105"/>
      <c r="K8" s="26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2:31" s="1" customFormat="1" ht="15" x14ac:dyDescent="0.25">
      <c r="B9" s="14"/>
      <c r="C9" s="22"/>
      <c r="D9" s="23"/>
      <c r="E9" s="24"/>
      <c r="F9" s="269"/>
      <c r="G9" s="24"/>
      <c r="H9" s="23"/>
      <c r="I9" s="23"/>
      <c r="J9" s="269"/>
      <c r="K9" s="26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2:31" s="1" customFormat="1" ht="8.1" customHeight="1" x14ac:dyDescent="0.25">
      <c r="B10" s="14"/>
      <c r="C10" s="22"/>
      <c r="D10" s="22"/>
      <c r="E10" s="22"/>
      <c r="F10" s="27" t="s">
        <v>0</v>
      </c>
      <c r="G10" s="25"/>
      <c r="H10" s="22"/>
      <c r="I10" s="22"/>
      <c r="J10" s="60"/>
      <c r="K10" s="26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2:31" s="1" customFormat="1" ht="15" x14ac:dyDescent="0.25">
      <c r="B11" s="62"/>
      <c r="C11" s="63"/>
      <c r="D11" s="64"/>
      <c r="E11" s="64"/>
      <c r="F11" s="64"/>
      <c r="G11" s="65"/>
      <c r="H11" s="64"/>
      <c r="I11" s="64"/>
      <c r="J11" s="331"/>
      <c r="K11" s="66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2:31" s="1" customFormat="1" ht="15.75" thickBot="1" x14ac:dyDescent="0.3">
      <c r="B12" s="14"/>
      <c r="C12" s="22"/>
      <c r="D12" s="22"/>
      <c r="E12" s="22"/>
      <c r="F12" s="22"/>
      <c r="G12" s="332"/>
      <c r="H12" s="22"/>
      <c r="I12" s="22"/>
      <c r="J12" s="333"/>
      <c r="K12" s="61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2:31" s="1" customFormat="1" ht="15" customHeight="1" x14ac:dyDescent="0.25">
      <c r="B13" s="334" t="s">
        <v>6</v>
      </c>
      <c r="C13" s="69" t="s">
        <v>12</v>
      </c>
      <c r="D13" s="335">
        <v>0</v>
      </c>
      <c r="E13" s="71" t="s">
        <v>0</v>
      </c>
      <c r="F13" s="111"/>
      <c r="G13" s="25" t="s">
        <v>4</v>
      </c>
      <c r="H13" s="69"/>
      <c r="I13" s="69"/>
      <c r="J13" s="115">
        <f>F13</f>
        <v>0</v>
      </c>
      <c r="K13" s="73" t="s">
        <v>4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2:31" s="1" customFormat="1" ht="15" x14ac:dyDescent="0.25">
      <c r="B14" s="68"/>
      <c r="C14" s="28" t="s">
        <v>43</v>
      </c>
      <c r="D14" s="336">
        <v>0</v>
      </c>
      <c r="E14" s="30"/>
      <c r="F14" s="112">
        <v>0</v>
      </c>
      <c r="G14" s="337" t="s">
        <v>4</v>
      </c>
      <c r="H14" s="28"/>
      <c r="I14" s="28"/>
      <c r="J14" s="32"/>
      <c r="K14" s="33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2:31" s="1" customFormat="1" ht="15" x14ac:dyDescent="0.25">
      <c r="B15" s="14"/>
      <c r="C15" s="22" t="s">
        <v>13</v>
      </c>
      <c r="D15" s="110">
        <v>0</v>
      </c>
      <c r="E15" s="35"/>
      <c r="F15" s="38">
        <f>F13-F14</f>
        <v>0</v>
      </c>
      <c r="G15" s="25" t="s">
        <v>4</v>
      </c>
      <c r="H15" s="22"/>
      <c r="I15" s="22"/>
      <c r="J15" s="36" t="s">
        <v>0</v>
      </c>
      <c r="K15" s="26" t="s">
        <v>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2:31" s="1" customFormat="1" ht="15" x14ac:dyDescent="0.25">
      <c r="B16" s="14"/>
      <c r="C16" s="22" t="s">
        <v>14</v>
      </c>
      <c r="D16" s="110">
        <v>0</v>
      </c>
      <c r="E16" s="35" t="s">
        <v>0</v>
      </c>
      <c r="F16" s="38"/>
      <c r="G16" s="25" t="s">
        <v>1</v>
      </c>
      <c r="H16" s="22"/>
      <c r="I16" s="22"/>
      <c r="J16" s="39">
        <f>F16*F9</f>
        <v>0</v>
      </c>
      <c r="K16" s="26" t="s">
        <v>4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2:29" s="1" customFormat="1" ht="15" x14ac:dyDescent="0.25">
      <c r="B17" s="14"/>
      <c r="C17" s="22" t="s">
        <v>171</v>
      </c>
      <c r="D17" s="110">
        <v>0</v>
      </c>
      <c r="E17" s="35" t="s">
        <v>0</v>
      </c>
      <c r="F17" s="38">
        <v>0</v>
      </c>
      <c r="G17" s="25" t="s">
        <v>2</v>
      </c>
      <c r="H17" s="22"/>
      <c r="I17" s="22"/>
      <c r="J17" s="39" t="e">
        <f>F17*J6/J4</f>
        <v>#DIV/0!</v>
      </c>
      <c r="K17" s="26" t="s">
        <v>4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2:29" s="1" customFormat="1" ht="15" x14ac:dyDescent="0.25">
      <c r="B18" s="14"/>
      <c r="C18" s="22" t="s">
        <v>53</v>
      </c>
      <c r="D18" s="110">
        <v>0</v>
      </c>
      <c r="E18" s="35"/>
      <c r="F18" s="38">
        <v>0</v>
      </c>
      <c r="G18" s="25" t="s">
        <v>62</v>
      </c>
      <c r="H18" s="22"/>
      <c r="I18" s="22"/>
      <c r="J18" s="39" t="e">
        <f>F18/J4</f>
        <v>#DIV/0!</v>
      </c>
      <c r="K18" s="26" t="s">
        <v>4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9" s="1" customFormat="1" ht="15" x14ac:dyDescent="0.25">
      <c r="B19" s="14"/>
      <c r="C19" s="22" t="s">
        <v>16</v>
      </c>
      <c r="D19" s="110">
        <v>0</v>
      </c>
      <c r="E19" s="35" t="s">
        <v>0</v>
      </c>
      <c r="F19" s="38">
        <v>0</v>
      </c>
      <c r="G19" s="25" t="s">
        <v>62</v>
      </c>
      <c r="H19" s="22"/>
      <c r="I19" s="22"/>
      <c r="J19" s="39" t="e">
        <f>F19/J4</f>
        <v>#DIV/0!</v>
      </c>
      <c r="K19" s="26" t="s">
        <v>4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9" s="1" customFormat="1" ht="15" x14ac:dyDescent="0.25">
      <c r="B20" s="14"/>
      <c r="C20" s="37" t="s">
        <v>27</v>
      </c>
      <c r="D20" s="110">
        <v>0</v>
      </c>
      <c r="E20" s="35" t="s">
        <v>0</v>
      </c>
      <c r="F20" s="181"/>
      <c r="G20" s="25" t="s">
        <v>62</v>
      </c>
      <c r="H20" s="22"/>
      <c r="I20" s="22"/>
      <c r="J20" s="39" t="e">
        <f>F20/J4</f>
        <v>#DIV/0!</v>
      </c>
      <c r="K20" s="26" t="s">
        <v>4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9" s="345" customFormat="1" ht="16.5" thickBot="1" x14ac:dyDescent="0.3">
      <c r="B21" s="338"/>
      <c r="C21" s="339" t="s">
        <v>17</v>
      </c>
      <c r="D21" s="340"/>
      <c r="E21" s="339" t="s">
        <v>0</v>
      </c>
      <c r="F21" s="339"/>
      <c r="G21" s="341"/>
      <c r="H21" s="339"/>
      <c r="I21" s="339"/>
      <c r="J21" s="342" t="e">
        <f>J13+J19+J16+J17+J20</f>
        <v>#DIV/0!</v>
      </c>
      <c r="K21" s="343" t="s">
        <v>4</v>
      </c>
      <c r="L21"/>
      <c r="M21"/>
      <c r="N21"/>
      <c r="O21"/>
      <c r="P21"/>
      <c r="Q21" s="344"/>
      <c r="R21" s="344"/>
      <c r="S21" s="344"/>
      <c r="T21" s="344"/>
      <c r="U21" s="344"/>
      <c r="V21" s="344"/>
      <c r="W21" s="344"/>
      <c r="X21" s="344"/>
      <c r="Y21" s="344"/>
      <c r="Z21" s="344"/>
      <c r="AA21" s="344"/>
      <c r="AB21" s="344"/>
    </row>
    <row r="22" spans="2:29" s="1" customFormat="1" ht="15.75" x14ac:dyDescent="0.25">
      <c r="B22" s="330" t="s">
        <v>7</v>
      </c>
      <c r="C22" s="346" t="s">
        <v>172</v>
      </c>
      <c r="D22" s="108"/>
      <c r="E22" s="84" t="s">
        <v>0</v>
      </c>
      <c r="F22" s="113"/>
      <c r="G22" s="85"/>
      <c r="H22" s="84"/>
      <c r="I22" s="22"/>
      <c r="J22" s="39"/>
      <c r="K22" s="26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9" s="1" customFormat="1" ht="15.75" x14ac:dyDescent="0.25">
      <c r="B23" s="20"/>
      <c r="C23" s="152"/>
      <c r="D23" s="109"/>
      <c r="E23" s="152"/>
      <c r="F23" s="181"/>
      <c r="G23" s="25"/>
      <c r="H23" s="84"/>
      <c r="I23" s="22"/>
      <c r="J23" s="39"/>
      <c r="K23" s="26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9" s="1" customFormat="1" ht="15.75" x14ac:dyDescent="0.25">
      <c r="B24" s="20"/>
      <c r="C24" s="152"/>
      <c r="D24" s="109"/>
      <c r="E24" s="152"/>
      <c r="F24" s="181"/>
      <c r="G24" s="25"/>
      <c r="H24" s="84"/>
      <c r="I24" s="22"/>
      <c r="J24" s="39"/>
      <c r="K24" s="26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9" s="1" customFormat="1" ht="15.75" x14ac:dyDescent="0.25">
      <c r="B25" s="20"/>
      <c r="C25" s="152"/>
      <c r="D25" s="109"/>
      <c r="F25" s="181"/>
      <c r="G25" s="25"/>
      <c r="H25" s="84"/>
      <c r="I25" s="22"/>
      <c r="J25" s="39"/>
      <c r="K25" s="26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9" s="1" customFormat="1" ht="15.75" x14ac:dyDescent="0.25">
      <c r="B26" s="20"/>
      <c r="C26" s="468" t="s">
        <v>196</v>
      </c>
      <c r="D26" s="469">
        <v>0.11</v>
      </c>
      <c r="E26" s="152"/>
      <c r="F26" s="181">
        <v>300000000</v>
      </c>
      <c r="G26" s="25" t="s">
        <v>62</v>
      </c>
      <c r="H26" s="84"/>
      <c r="I26" s="22"/>
      <c r="J26" s="39"/>
      <c r="K26" s="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9" s="1" customFormat="1" ht="15.75" x14ac:dyDescent="0.25">
      <c r="B27" s="20"/>
      <c r="C27" s="356" t="s">
        <v>198</v>
      </c>
      <c r="D27" s="470">
        <v>0.11</v>
      </c>
      <c r="F27" s="181">
        <v>300000000</v>
      </c>
      <c r="G27" s="25" t="s">
        <v>62</v>
      </c>
      <c r="H27" s="84"/>
      <c r="I27" s="22"/>
      <c r="J27" s="39" t="e">
        <f>F24/J$6</f>
        <v>#DIV/0!</v>
      </c>
      <c r="K27" s="26" t="s">
        <v>4</v>
      </c>
      <c r="L27"/>
      <c r="M27"/>
      <c r="N27"/>
      <c r="O27" s="344"/>
      <c r="P27"/>
      <c r="Q27"/>
      <c r="R27"/>
      <c r="S27"/>
      <c r="T27"/>
      <c r="U27"/>
      <c r="V27" s="432"/>
      <c r="W27"/>
      <c r="X27"/>
      <c r="Y27"/>
      <c r="Z27"/>
      <c r="AA27"/>
      <c r="AB27"/>
    </row>
    <row r="28" spans="2:29" s="1" customFormat="1" ht="15.75" x14ac:dyDescent="0.25">
      <c r="B28" s="20"/>
      <c r="C28" s="152" t="s">
        <v>199</v>
      </c>
      <c r="D28" s="109">
        <v>0.11</v>
      </c>
      <c r="E28" s="152"/>
      <c r="F28" s="426">
        <v>175000000</v>
      </c>
      <c r="G28" s="25"/>
      <c r="H28" s="84"/>
      <c r="I28" s="22"/>
      <c r="J28" s="39"/>
      <c r="K28" s="26"/>
      <c r="L28"/>
      <c r="M28"/>
      <c r="N28"/>
      <c r="O28" s="344"/>
      <c r="P28"/>
      <c r="Q28"/>
      <c r="R28"/>
      <c r="S28"/>
      <c r="T28"/>
      <c r="U28"/>
      <c r="V28" s="433"/>
      <c r="W28"/>
      <c r="X28"/>
      <c r="Y28"/>
      <c r="Z28"/>
      <c r="AA28"/>
      <c r="AB28"/>
    </row>
    <row r="29" spans="2:29" s="1" customFormat="1" ht="15.75" x14ac:dyDescent="0.25">
      <c r="B29" s="20"/>
      <c r="C29" s="152"/>
      <c r="D29" s="109"/>
      <c r="E29" s="152"/>
      <c r="F29" s="426"/>
      <c r="G29" s="25"/>
      <c r="H29" s="84"/>
      <c r="I29" s="22"/>
      <c r="J29" s="39"/>
      <c r="K29" s="26"/>
      <c r="L29"/>
      <c r="M29"/>
      <c r="N29"/>
      <c r="O29" s="344"/>
      <c r="P29"/>
      <c r="Q29"/>
      <c r="R29"/>
      <c r="S29"/>
      <c r="T29"/>
      <c r="U29"/>
      <c r="V29" s="433"/>
      <c r="W29"/>
      <c r="X29"/>
      <c r="Y29"/>
      <c r="Z29"/>
      <c r="AA29"/>
      <c r="AB29"/>
    </row>
    <row r="30" spans="2:29" s="1" customFormat="1" ht="15.75" x14ac:dyDescent="0.25">
      <c r="B30" s="20"/>
      <c r="C30" s="347" t="s">
        <v>173</v>
      </c>
      <c r="D30" s="109"/>
      <c r="E30" s="152"/>
      <c r="F30" s="164">
        <f>F23+F24+F25+F26+F27+F28</f>
        <v>775000000</v>
      </c>
      <c r="G30" s="25" t="s">
        <v>62</v>
      </c>
      <c r="H30" s="84"/>
      <c r="I30" s="22"/>
      <c r="J30" s="164" t="e">
        <f>SUM(J22:J27)</f>
        <v>#DIV/0!</v>
      </c>
      <c r="K30" s="165" t="e">
        <f>J30/J34</f>
        <v>#DIV/0!</v>
      </c>
      <c r="L30"/>
      <c r="M30"/>
      <c r="N30"/>
      <c r="O30" s="344"/>
      <c r="P30"/>
      <c r="Q30"/>
      <c r="R30"/>
      <c r="S30"/>
      <c r="T30"/>
      <c r="U30"/>
      <c r="V30" s="434"/>
      <c r="W30"/>
      <c r="X30"/>
      <c r="Y30"/>
      <c r="Z30"/>
      <c r="AA30"/>
      <c r="AB30"/>
    </row>
    <row r="31" spans="2:29" s="1" customFormat="1" ht="15.75" x14ac:dyDescent="0.25">
      <c r="B31" s="20"/>
      <c r="C31" s="152" t="s">
        <v>191</v>
      </c>
      <c r="D31" s="109">
        <v>4.4200000000000003E-2</v>
      </c>
      <c r="E31" s="152"/>
      <c r="F31" s="426">
        <v>1997025121.9100001</v>
      </c>
      <c r="G31" s="25" t="s">
        <v>62</v>
      </c>
      <c r="H31" s="84"/>
      <c r="I31" s="22"/>
      <c r="J31" s="39"/>
      <c r="K31" s="26"/>
      <c r="L31"/>
      <c r="M31"/>
      <c r="N31"/>
      <c r="O31" s="344"/>
      <c r="P31"/>
      <c r="Q31"/>
      <c r="R31"/>
      <c r="S31"/>
      <c r="T31"/>
      <c r="U31"/>
      <c r="V31" s="434"/>
      <c r="W31"/>
      <c r="X31"/>
      <c r="Y31"/>
      <c r="Z31"/>
      <c r="AA31"/>
      <c r="AB31"/>
    </row>
    <row r="32" spans="2:29" s="1" customFormat="1" ht="15.75" x14ac:dyDescent="0.25">
      <c r="B32" s="20"/>
      <c r="C32" s="152"/>
      <c r="D32" s="109"/>
      <c r="E32" s="152"/>
      <c r="F32" s="161"/>
      <c r="G32" s="23"/>
      <c r="H32" s="84"/>
      <c r="I32" s="22"/>
      <c r="J32" s="39" t="e">
        <f>F32/J$7</f>
        <v>#DIV/0!</v>
      </c>
      <c r="K32" s="26" t="s">
        <v>4</v>
      </c>
      <c r="L32"/>
      <c r="M32"/>
      <c r="N32"/>
      <c r="O32" s="344"/>
      <c r="P32"/>
      <c r="Q32"/>
      <c r="R32"/>
      <c r="S32"/>
      <c r="T32"/>
      <c r="U32"/>
      <c r="V32" s="434"/>
      <c r="W32"/>
      <c r="X32"/>
      <c r="Y32"/>
      <c r="Z32"/>
      <c r="AA32"/>
      <c r="AB32"/>
    </row>
    <row r="33" spans="2:28" s="1" customFormat="1" ht="15.75" x14ac:dyDescent="0.25">
      <c r="B33" s="14"/>
      <c r="C33" s="347" t="s">
        <v>174</v>
      </c>
      <c r="D33" s="109"/>
      <c r="E33" s="35"/>
      <c r="F33" s="348">
        <f>F31</f>
        <v>1997025121.9100001</v>
      </c>
      <c r="G33" s="25"/>
      <c r="H33" s="22"/>
      <c r="I33" s="22"/>
      <c r="J33" s="166" t="e">
        <f>SUM(J31:J32)</f>
        <v>#DIV/0!</v>
      </c>
      <c r="K33" s="165" t="e">
        <f>J33/J34</f>
        <v>#DIV/0!</v>
      </c>
      <c r="L33"/>
      <c r="M33"/>
      <c r="N33"/>
      <c r="O33" s="344"/>
      <c r="P33"/>
      <c r="Q33"/>
      <c r="R33"/>
      <c r="S33"/>
      <c r="T33"/>
      <c r="U33"/>
      <c r="V33" s="432"/>
      <c r="W33" s="430"/>
      <c r="X33"/>
      <c r="Y33"/>
      <c r="Z33"/>
      <c r="AA33"/>
      <c r="AB33"/>
    </row>
    <row r="34" spans="2:28" s="356" customFormat="1" ht="15.75" x14ac:dyDescent="0.25">
      <c r="B34" s="349"/>
      <c r="C34" s="350" t="s">
        <v>18</v>
      </c>
      <c r="D34" s="351" t="e">
        <f>(D31*J31+D23*J23+D24*J27)/J34</f>
        <v>#DIV/0!</v>
      </c>
      <c r="E34" s="350"/>
      <c r="F34" s="352">
        <f>F30+F33</f>
        <v>2772025121.9099998</v>
      </c>
      <c r="G34" s="353" t="s">
        <v>62</v>
      </c>
      <c r="H34" s="350"/>
      <c r="I34" s="350"/>
      <c r="J34" s="352" t="e">
        <f>J30+J33</f>
        <v>#DIV/0!</v>
      </c>
      <c r="K34" s="354" t="s">
        <v>4</v>
      </c>
      <c r="L34"/>
      <c r="M34"/>
      <c r="N34"/>
      <c r="O34" s="344"/>
      <c r="P34"/>
      <c r="Q34"/>
      <c r="R34" s="344"/>
      <c r="S34" s="344"/>
      <c r="T34" s="344"/>
      <c r="U34" s="344"/>
      <c r="V34" s="435"/>
      <c r="W34" s="355"/>
      <c r="X34" s="355"/>
      <c r="Y34" s="355"/>
      <c r="Z34" s="355"/>
      <c r="AA34" s="355"/>
      <c r="AB34" s="355"/>
    </row>
    <row r="35" spans="2:28" s="1" customFormat="1" ht="17.25" x14ac:dyDescent="0.3">
      <c r="B35" s="54"/>
      <c r="C35" s="55" t="s">
        <v>19</v>
      </c>
      <c r="D35" s="56"/>
      <c r="E35" s="56"/>
      <c r="F35" s="57" t="s">
        <v>0</v>
      </c>
      <c r="G35" s="58"/>
      <c r="H35" s="57"/>
      <c r="I35" s="57"/>
      <c r="J35" s="118" t="e">
        <f>J21-J34</f>
        <v>#DIV/0!</v>
      </c>
      <c r="K35" s="59" t="s">
        <v>4</v>
      </c>
      <c r="L35"/>
      <c r="M35"/>
      <c r="N35"/>
      <c r="O35" s="344"/>
      <c r="P35" s="344"/>
      <c r="Q35"/>
      <c r="R35"/>
      <c r="S35"/>
      <c r="T35"/>
      <c r="U35"/>
      <c r="V35" s="434"/>
      <c r="W35"/>
      <c r="X35"/>
      <c r="Y35"/>
      <c r="Z35"/>
      <c r="AA35"/>
      <c r="AB35"/>
    </row>
    <row r="36" spans="2:28" s="1" customFormat="1" ht="15.75" hidden="1" customHeight="1" x14ac:dyDescent="0.25">
      <c r="B36" s="20" t="s">
        <v>8</v>
      </c>
      <c r="C36" s="99" t="s">
        <v>21</v>
      </c>
      <c r="D36" s="22"/>
      <c r="E36" s="22"/>
      <c r="F36" s="39"/>
      <c r="G36" s="40"/>
      <c r="H36" s="39"/>
      <c r="I36" s="39"/>
      <c r="J36" s="39"/>
      <c r="K36" s="26"/>
      <c r="L36"/>
      <c r="M36"/>
      <c r="N36"/>
      <c r="O36" s="344"/>
      <c r="Q36"/>
      <c r="R36"/>
      <c r="S36"/>
      <c r="T36"/>
      <c r="U36"/>
      <c r="V36" s="432"/>
      <c r="W36"/>
      <c r="X36"/>
      <c r="Y36"/>
      <c r="Z36"/>
      <c r="AA36"/>
      <c r="AB36"/>
    </row>
    <row r="37" spans="2:28" s="1" customFormat="1" ht="15.75" hidden="1" customHeight="1" x14ac:dyDescent="0.25">
      <c r="B37" s="20"/>
      <c r="C37" s="84"/>
      <c r="D37" s="22"/>
      <c r="E37" s="22"/>
      <c r="F37" s="39"/>
      <c r="G37" s="40"/>
      <c r="H37" s="39"/>
      <c r="I37" s="39"/>
      <c r="J37" s="39"/>
      <c r="K37" s="26"/>
      <c r="L37"/>
      <c r="M37"/>
      <c r="N37"/>
      <c r="O37" s="344"/>
      <c r="Q37"/>
      <c r="R37"/>
      <c r="S37"/>
      <c r="T37"/>
      <c r="U37"/>
      <c r="V37" s="432"/>
      <c r="W37"/>
      <c r="X37"/>
      <c r="Y37"/>
      <c r="Z37"/>
      <c r="AA37"/>
      <c r="AB37"/>
    </row>
    <row r="38" spans="2:28" s="1" customFormat="1" ht="15.75" hidden="1" customHeight="1" x14ac:dyDescent="0.25">
      <c r="B38" s="14"/>
      <c r="C38" s="22"/>
      <c r="D38" s="22"/>
      <c r="E38" s="22"/>
      <c r="F38" s="121"/>
      <c r="G38" s="23"/>
      <c r="H38" s="41"/>
      <c r="I38" s="42"/>
      <c r="J38" s="39"/>
      <c r="K38" s="26"/>
      <c r="L38"/>
      <c r="M38"/>
      <c r="N38"/>
      <c r="O38" s="344"/>
      <c r="Q38"/>
      <c r="R38"/>
      <c r="S38"/>
      <c r="T38"/>
      <c r="U38"/>
      <c r="V38" s="432"/>
      <c r="W38"/>
      <c r="X38"/>
      <c r="Y38"/>
      <c r="Z38"/>
      <c r="AA38"/>
      <c r="AB38"/>
    </row>
    <row r="39" spans="2:28" s="1" customFormat="1" ht="15.75" hidden="1" customHeight="1" x14ac:dyDescent="0.25">
      <c r="B39" s="14"/>
      <c r="C39" s="22"/>
      <c r="D39" s="474"/>
      <c r="E39" s="474"/>
      <c r="F39" s="39"/>
      <c r="G39" s="23"/>
      <c r="H39" s="41"/>
      <c r="I39" s="42"/>
      <c r="J39" s="39"/>
      <c r="K39" s="26"/>
      <c r="L39"/>
      <c r="M39"/>
      <c r="N39"/>
      <c r="O39" s="344"/>
      <c r="Q39"/>
      <c r="R39"/>
      <c r="S39"/>
      <c r="T39"/>
      <c r="U39"/>
      <c r="V39" s="432"/>
      <c r="W39"/>
      <c r="X39"/>
      <c r="Y39"/>
      <c r="Z39"/>
      <c r="AA39"/>
      <c r="AB39"/>
    </row>
    <row r="40" spans="2:28" s="1" customFormat="1" ht="15.75" hidden="1" x14ac:dyDescent="0.25">
      <c r="B40" s="14"/>
      <c r="C40" s="22"/>
      <c r="D40" s="178"/>
      <c r="E40" s="178"/>
      <c r="F40" s="39"/>
      <c r="G40" s="23"/>
      <c r="H40" s="41"/>
      <c r="I40" s="42"/>
      <c r="J40" s="39"/>
      <c r="K40" s="26"/>
      <c r="L40"/>
      <c r="M40"/>
      <c r="N40"/>
      <c r="O40" s="344"/>
      <c r="Q40"/>
      <c r="R40"/>
      <c r="S40"/>
      <c r="T40"/>
      <c r="U40"/>
      <c r="V40" s="432"/>
      <c r="W40"/>
      <c r="X40"/>
      <c r="Y40"/>
      <c r="Z40"/>
      <c r="AA40"/>
      <c r="AB40"/>
    </row>
    <row r="41" spans="2:28" s="1" customFormat="1" ht="15.75" hidden="1" x14ac:dyDescent="0.25">
      <c r="B41" s="14"/>
      <c r="C41" s="22"/>
      <c r="D41" s="22"/>
      <c r="E41" s="22"/>
      <c r="F41" s="121"/>
      <c r="G41" s="23"/>
      <c r="H41" s="41"/>
      <c r="I41" s="42"/>
      <c r="J41" s="39"/>
      <c r="K41" s="26"/>
      <c r="L41"/>
      <c r="M41"/>
      <c r="N41"/>
      <c r="O41" s="344"/>
      <c r="Q41"/>
      <c r="R41"/>
      <c r="S41"/>
      <c r="T41"/>
      <c r="U41"/>
      <c r="V41" s="432"/>
      <c r="W41"/>
      <c r="X41"/>
      <c r="Y41"/>
      <c r="Z41"/>
      <c r="AA41"/>
      <c r="AB41"/>
    </row>
    <row r="42" spans="2:28" s="1" customFormat="1" ht="15.75" hidden="1" x14ac:dyDescent="0.25">
      <c r="B42" s="14"/>
      <c r="C42" s="22"/>
      <c r="D42" s="474"/>
      <c r="E42" s="474"/>
      <c r="F42" s="121"/>
      <c r="G42" s="23"/>
      <c r="H42" s="41"/>
      <c r="I42" s="42"/>
      <c r="J42" s="39"/>
      <c r="K42" s="26"/>
      <c r="L42"/>
      <c r="M42"/>
      <c r="N42"/>
      <c r="O42" s="344"/>
      <c r="Q42"/>
      <c r="R42"/>
      <c r="S42"/>
      <c r="T42"/>
      <c r="U42"/>
      <c r="V42" s="432"/>
      <c r="W42"/>
      <c r="X42"/>
      <c r="Y42"/>
      <c r="Z42"/>
      <c r="AA42"/>
      <c r="AB42"/>
    </row>
    <row r="43" spans="2:28" s="1" customFormat="1" ht="15.75" hidden="1" x14ac:dyDescent="0.25">
      <c r="B43" s="14"/>
      <c r="C43" s="22"/>
      <c r="D43" s="178"/>
      <c r="E43" s="178"/>
      <c r="F43" s="121"/>
      <c r="G43" s="23"/>
      <c r="H43" s="41"/>
      <c r="I43" s="42"/>
      <c r="J43" s="39"/>
      <c r="K43" s="26"/>
      <c r="L43"/>
      <c r="M43"/>
      <c r="N43"/>
      <c r="O43" s="344"/>
      <c r="Q43"/>
      <c r="R43"/>
      <c r="S43"/>
      <c r="T43"/>
      <c r="U43"/>
      <c r="V43" s="432"/>
      <c r="W43"/>
      <c r="X43"/>
      <c r="Y43"/>
      <c r="Z43"/>
      <c r="AA43"/>
      <c r="AB43"/>
    </row>
    <row r="44" spans="2:28" s="1" customFormat="1" ht="15.75" hidden="1" x14ac:dyDescent="0.25">
      <c r="B44" s="14"/>
      <c r="C44" s="22"/>
      <c r="D44" s="24"/>
      <c r="E44" s="22"/>
      <c r="F44" s="39"/>
      <c r="G44" s="23"/>
      <c r="H44" s="41"/>
      <c r="I44" s="42"/>
      <c r="J44" s="39"/>
      <c r="K44" s="26"/>
      <c r="L44"/>
      <c r="M44"/>
      <c r="N44"/>
      <c r="O44" s="344"/>
      <c r="Q44"/>
      <c r="R44"/>
      <c r="S44"/>
      <c r="T44"/>
      <c r="U44"/>
      <c r="V44" s="432"/>
      <c r="W44"/>
      <c r="X44"/>
      <c r="Y44"/>
      <c r="Z44"/>
      <c r="AA44"/>
      <c r="AB44"/>
    </row>
    <row r="45" spans="2:28" s="1" customFormat="1" ht="15.75" hidden="1" x14ac:dyDescent="0.25">
      <c r="B45" s="14"/>
      <c r="C45" s="22"/>
      <c r="D45" s="474"/>
      <c r="E45" s="474"/>
      <c r="F45" s="39"/>
      <c r="G45" s="23"/>
      <c r="H45" s="41"/>
      <c r="I45" s="42"/>
      <c r="J45" s="39"/>
      <c r="K45" s="26"/>
      <c r="L45"/>
      <c r="M45"/>
      <c r="N45"/>
      <c r="O45" s="344"/>
      <c r="Q45"/>
      <c r="R45"/>
      <c r="S45"/>
      <c r="T45"/>
      <c r="U45"/>
      <c r="V45" s="432"/>
      <c r="W45"/>
      <c r="X45"/>
      <c r="Y45"/>
      <c r="Z45"/>
      <c r="AA45"/>
      <c r="AB45"/>
    </row>
    <row r="46" spans="2:28" s="1" customFormat="1" ht="15.75" hidden="1" x14ac:dyDescent="0.25">
      <c r="B46" s="14"/>
      <c r="C46" s="22"/>
      <c r="D46" s="178"/>
      <c r="E46" s="178"/>
      <c r="F46" s="39"/>
      <c r="G46" s="23"/>
      <c r="H46" s="41"/>
      <c r="I46" s="42"/>
      <c r="J46" s="39"/>
      <c r="K46" s="26"/>
      <c r="L46"/>
      <c r="M46"/>
      <c r="N46"/>
      <c r="O46" s="344"/>
      <c r="Q46"/>
      <c r="R46"/>
      <c r="S46"/>
      <c r="T46"/>
      <c r="U46"/>
      <c r="V46" s="432"/>
      <c r="W46"/>
      <c r="X46"/>
      <c r="Y46"/>
      <c r="Z46"/>
      <c r="AA46"/>
      <c r="AB46"/>
    </row>
    <row r="47" spans="2:28" s="1" customFormat="1" ht="15.75" hidden="1" x14ac:dyDescent="0.25">
      <c r="B47" s="14"/>
      <c r="C47" s="22"/>
      <c r="D47" s="22"/>
      <c r="E47" s="22"/>
      <c r="F47" s="39"/>
      <c r="G47" s="23"/>
      <c r="H47" s="41"/>
      <c r="I47" s="42"/>
      <c r="J47" s="39"/>
      <c r="K47" s="26"/>
      <c r="L47"/>
      <c r="M47"/>
      <c r="N47"/>
      <c r="O47" s="344"/>
      <c r="Q47"/>
      <c r="R47"/>
      <c r="S47"/>
      <c r="T47"/>
      <c r="U47"/>
      <c r="V47" s="432"/>
      <c r="W47"/>
      <c r="X47"/>
      <c r="Y47"/>
      <c r="Z47"/>
      <c r="AA47"/>
      <c r="AB47"/>
    </row>
    <row r="48" spans="2:28" s="1" customFormat="1" ht="15.75" hidden="1" x14ac:dyDescent="0.25">
      <c r="B48" s="14"/>
      <c r="C48" s="22"/>
      <c r="D48" s="474"/>
      <c r="E48" s="474"/>
      <c r="F48" s="121"/>
      <c r="G48" s="23"/>
      <c r="H48" s="41"/>
      <c r="I48" s="42"/>
      <c r="J48" s="39"/>
      <c r="K48" s="26"/>
      <c r="L48"/>
      <c r="M48"/>
      <c r="N48"/>
      <c r="O48" s="344"/>
      <c r="Q48"/>
      <c r="R48"/>
      <c r="S48"/>
      <c r="T48"/>
      <c r="U48"/>
      <c r="V48" s="432"/>
      <c r="W48"/>
      <c r="X48"/>
      <c r="Y48"/>
      <c r="Z48"/>
      <c r="AA48"/>
      <c r="AB48"/>
    </row>
    <row r="49" spans="2:28" s="1" customFormat="1" ht="15.75" hidden="1" x14ac:dyDescent="0.25">
      <c r="B49" s="14"/>
      <c r="C49" s="22"/>
      <c r="D49" s="178"/>
      <c r="E49" s="178"/>
      <c r="F49" s="121"/>
      <c r="G49" s="23"/>
      <c r="H49" s="41"/>
      <c r="I49" s="42"/>
      <c r="J49" s="39"/>
      <c r="K49" s="26"/>
      <c r="L49"/>
      <c r="M49"/>
      <c r="N49"/>
      <c r="O49" s="344"/>
      <c r="Q49"/>
      <c r="R49"/>
      <c r="S49"/>
      <c r="T49"/>
      <c r="U49"/>
      <c r="V49" s="432"/>
      <c r="W49"/>
      <c r="X49"/>
      <c r="Y49"/>
      <c r="Z49"/>
      <c r="AA49"/>
      <c r="AB49"/>
    </row>
    <row r="50" spans="2:28" s="1" customFormat="1" ht="15.75" hidden="1" x14ac:dyDescent="0.25">
      <c r="B50" s="14"/>
      <c r="C50" s="22"/>
      <c r="D50" s="22"/>
      <c r="E50" s="22"/>
      <c r="F50" s="39"/>
      <c r="G50" s="23"/>
      <c r="H50" s="41"/>
      <c r="I50" s="42"/>
      <c r="J50" s="39"/>
      <c r="K50" s="26"/>
      <c r="L50"/>
      <c r="M50"/>
      <c r="N50"/>
      <c r="O50" s="344"/>
      <c r="Q50"/>
      <c r="R50"/>
      <c r="S50"/>
      <c r="T50"/>
      <c r="U50"/>
      <c r="V50" s="432"/>
      <c r="W50"/>
      <c r="X50"/>
      <c r="Y50"/>
      <c r="Z50"/>
      <c r="AA50"/>
      <c r="AB50"/>
    </row>
    <row r="51" spans="2:28" s="1" customFormat="1" ht="15.75" hidden="1" x14ac:dyDescent="0.25">
      <c r="B51" s="14"/>
      <c r="C51" s="22"/>
      <c r="D51" s="22"/>
      <c r="E51" s="22"/>
      <c r="F51" s="121"/>
      <c r="G51" s="23"/>
      <c r="H51" s="41"/>
      <c r="I51" s="42"/>
      <c r="J51" s="39"/>
      <c r="K51" s="26"/>
      <c r="L51"/>
      <c r="M51"/>
      <c r="N51"/>
      <c r="O51" s="344"/>
      <c r="Q51"/>
      <c r="R51"/>
      <c r="S51"/>
      <c r="T51"/>
      <c r="U51"/>
      <c r="V51" s="432"/>
      <c r="W51"/>
      <c r="X51"/>
      <c r="Y51"/>
      <c r="Z51"/>
      <c r="AA51"/>
      <c r="AB51"/>
    </row>
    <row r="52" spans="2:28" s="1" customFormat="1" ht="15.75" hidden="1" x14ac:dyDescent="0.25">
      <c r="B52" s="14"/>
      <c r="C52" s="22"/>
      <c r="D52" s="22"/>
      <c r="E52" s="22"/>
      <c r="F52" s="39"/>
      <c r="G52" s="23"/>
      <c r="H52" s="41"/>
      <c r="I52" s="42"/>
      <c r="J52" s="39"/>
      <c r="K52" s="26"/>
      <c r="L52"/>
      <c r="M52"/>
      <c r="N52"/>
      <c r="O52" s="344"/>
      <c r="Q52"/>
      <c r="R52"/>
      <c r="S52"/>
      <c r="T52"/>
      <c r="U52"/>
      <c r="V52" s="432"/>
      <c r="W52"/>
      <c r="X52"/>
      <c r="Y52"/>
      <c r="Z52"/>
      <c r="AA52"/>
      <c r="AB52"/>
    </row>
    <row r="53" spans="2:28" s="1" customFormat="1" ht="15.75" hidden="1" x14ac:dyDescent="0.25">
      <c r="B53" s="14"/>
      <c r="C53" s="22"/>
      <c r="D53" s="22"/>
      <c r="E53" s="22"/>
      <c r="F53" s="39"/>
      <c r="G53" s="23"/>
      <c r="H53" s="41"/>
      <c r="I53" s="42"/>
      <c r="J53" s="39"/>
      <c r="K53" s="26"/>
      <c r="L53"/>
      <c r="M53"/>
      <c r="N53"/>
      <c r="O53" s="344"/>
      <c r="Q53"/>
      <c r="R53"/>
      <c r="S53"/>
      <c r="T53"/>
      <c r="U53"/>
      <c r="V53" s="432"/>
      <c r="W53"/>
      <c r="X53"/>
      <c r="Y53"/>
      <c r="Z53"/>
      <c r="AA53"/>
      <c r="AB53"/>
    </row>
    <row r="54" spans="2:28" s="1" customFormat="1" ht="15.75" hidden="1" x14ac:dyDescent="0.25">
      <c r="B54" s="14"/>
      <c r="C54" s="22"/>
      <c r="D54" s="24"/>
      <c r="E54" s="22"/>
      <c r="F54" s="39"/>
      <c r="G54" s="23"/>
      <c r="H54" s="41"/>
      <c r="I54" s="42"/>
      <c r="J54" s="39"/>
      <c r="K54" s="26"/>
      <c r="L54"/>
      <c r="M54"/>
      <c r="N54"/>
      <c r="O54" s="344"/>
      <c r="Q54"/>
      <c r="R54"/>
      <c r="S54"/>
      <c r="T54"/>
      <c r="U54"/>
      <c r="V54" s="432"/>
      <c r="W54"/>
      <c r="X54"/>
      <c r="Y54"/>
      <c r="Z54"/>
      <c r="AA54"/>
      <c r="AB54"/>
    </row>
    <row r="55" spans="2:28" s="1" customFormat="1" ht="15.75" hidden="1" x14ac:dyDescent="0.25">
      <c r="B55" s="14"/>
      <c r="C55" s="22"/>
      <c r="D55" s="24"/>
      <c r="E55" s="22"/>
      <c r="F55" s="39"/>
      <c r="G55" s="23"/>
      <c r="H55" s="41"/>
      <c r="I55" s="42"/>
      <c r="J55" s="39"/>
      <c r="K55" s="26"/>
      <c r="L55"/>
      <c r="M55"/>
      <c r="N55"/>
      <c r="O55" s="344"/>
      <c r="Q55"/>
      <c r="R55"/>
      <c r="S55"/>
      <c r="T55"/>
      <c r="U55"/>
      <c r="V55" s="432"/>
      <c r="W55"/>
      <c r="X55"/>
      <c r="Y55"/>
      <c r="Z55"/>
      <c r="AA55"/>
      <c r="AB55"/>
    </row>
    <row r="56" spans="2:28" s="1" customFormat="1" ht="15.75" hidden="1" x14ac:dyDescent="0.25">
      <c r="B56" s="14"/>
      <c r="C56" s="22"/>
      <c r="D56" s="22"/>
      <c r="E56" s="22"/>
      <c r="F56" s="39"/>
      <c r="G56" s="23"/>
      <c r="H56" s="41"/>
      <c r="I56" s="42"/>
      <c r="J56" s="39"/>
      <c r="K56" s="26"/>
      <c r="L56"/>
      <c r="M56"/>
      <c r="N56"/>
      <c r="O56" s="344"/>
      <c r="Q56"/>
      <c r="R56"/>
      <c r="S56"/>
      <c r="T56"/>
      <c r="U56"/>
      <c r="V56" s="432"/>
      <c r="W56"/>
      <c r="X56"/>
      <c r="Y56"/>
      <c r="Z56"/>
      <c r="AA56"/>
      <c r="AB56"/>
    </row>
    <row r="57" spans="2:28" s="1" customFormat="1" ht="15.75" hidden="1" x14ac:dyDescent="0.25">
      <c r="B57" s="14"/>
      <c r="C57" s="22"/>
      <c r="D57" s="22"/>
      <c r="E57" s="22"/>
      <c r="F57" s="39"/>
      <c r="G57" s="23"/>
      <c r="H57" s="41"/>
      <c r="I57" s="42"/>
      <c r="J57" s="39"/>
      <c r="K57" s="26"/>
      <c r="L57"/>
      <c r="M57"/>
      <c r="N57"/>
      <c r="O57" s="344"/>
      <c r="Q57"/>
      <c r="R57"/>
      <c r="S57"/>
      <c r="T57"/>
      <c r="U57"/>
      <c r="V57" s="432"/>
      <c r="W57"/>
      <c r="X57"/>
      <c r="Y57"/>
      <c r="Z57"/>
      <c r="AA57"/>
      <c r="AB57"/>
    </row>
    <row r="58" spans="2:28" s="1" customFormat="1" ht="15.75" hidden="1" x14ac:dyDescent="0.25">
      <c r="B58" s="14"/>
      <c r="C58" s="22"/>
      <c r="D58" s="22"/>
      <c r="E58" s="22"/>
      <c r="F58" s="39"/>
      <c r="G58" s="23"/>
      <c r="H58" s="41"/>
      <c r="I58" s="42"/>
      <c r="J58" s="39"/>
      <c r="K58" s="26"/>
      <c r="L58"/>
      <c r="M58"/>
      <c r="N58"/>
      <c r="O58" s="344"/>
      <c r="Q58"/>
      <c r="R58"/>
      <c r="S58"/>
      <c r="T58"/>
      <c r="U58"/>
      <c r="V58" s="432"/>
      <c r="W58"/>
      <c r="X58"/>
      <c r="Y58"/>
      <c r="Z58"/>
      <c r="AA58"/>
      <c r="AB58"/>
    </row>
    <row r="59" spans="2:28" s="1" customFormat="1" ht="15.75" hidden="1" x14ac:dyDescent="0.25">
      <c r="B59" s="14"/>
      <c r="C59" s="22"/>
      <c r="D59" s="22"/>
      <c r="E59" s="22"/>
      <c r="F59" s="39"/>
      <c r="G59" s="23"/>
      <c r="H59" s="41"/>
      <c r="I59" s="42"/>
      <c r="J59" s="39"/>
      <c r="K59" s="26"/>
      <c r="L59"/>
      <c r="M59"/>
      <c r="N59"/>
      <c r="O59" s="344"/>
      <c r="Q59"/>
      <c r="R59"/>
      <c r="S59"/>
      <c r="T59"/>
      <c r="U59"/>
      <c r="V59" s="432"/>
      <c r="W59"/>
      <c r="X59"/>
      <c r="Y59"/>
      <c r="Z59"/>
      <c r="AA59"/>
      <c r="AB59"/>
    </row>
    <row r="60" spans="2:28" s="1" customFormat="1" ht="16.5" hidden="1" thickBot="1" x14ac:dyDescent="0.3">
      <c r="B60" s="78"/>
      <c r="C60" s="79" t="s">
        <v>49</v>
      </c>
      <c r="D60" s="80"/>
      <c r="E60" s="80"/>
      <c r="F60" s="80"/>
      <c r="G60" s="81"/>
      <c r="H60" s="80"/>
      <c r="I60" s="80"/>
      <c r="J60" s="119">
        <f>SUM(J38:J58)</f>
        <v>0</v>
      </c>
      <c r="K60" s="82" t="s">
        <v>4</v>
      </c>
      <c r="L60"/>
      <c r="M60"/>
      <c r="N60"/>
      <c r="O60" s="344"/>
      <c r="Q60"/>
      <c r="R60"/>
      <c r="S60"/>
      <c r="T60"/>
      <c r="U60"/>
      <c r="V60" s="432"/>
      <c r="W60"/>
      <c r="X60"/>
      <c r="Y60"/>
      <c r="Z60"/>
      <c r="AA60"/>
      <c r="AB60"/>
    </row>
    <row r="61" spans="2:28" ht="15.75" x14ac:dyDescent="0.25">
      <c r="B61" s="330" t="s">
        <v>9</v>
      </c>
      <c r="C61" s="84" t="s">
        <v>113</v>
      </c>
      <c r="D61" s="22"/>
      <c r="E61" s="22"/>
      <c r="F61" s="22"/>
      <c r="G61" s="25"/>
      <c r="H61" s="22"/>
      <c r="I61" s="22"/>
      <c r="J61" s="22"/>
      <c r="K61" s="43"/>
      <c r="O61" s="344"/>
      <c r="P61" s="1"/>
      <c r="V61" s="432"/>
    </row>
    <row r="62" spans="2:28" ht="15.75" x14ac:dyDescent="0.25">
      <c r="B62" s="20"/>
      <c r="C62" s="152" t="s">
        <v>196</v>
      </c>
      <c r="D62" s="109">
        <v>0.11</v>
      </c>
      <c r="E62" s="466">
        <v>45989</v>
      </c>
      <c r="F62" s="181">
        <f>F26</f>
        <v>300000000</v>
      </c>
      <c r="G62" s="360" t="s">
        <v>62</v>
      </c>
      <c r="H62" s="22"/>
      <c r="I62" s="34"/>
      <c r="J62" s="161" t="e">
        <f>F62/J$7</f>
        <v>#DIV/0!</v>
      </c>
      <c r="K62" s="26" t="s">
        <v>4</v>
      </c>
      <c r="O62" s="344"/>
      <c r="P62" s="1"/>
      <c r="V62" s="432"/>
    </row>
    <row r="63" spans="2:28" ht="15.75" x14ac:dyDescent="0.25">
      <c r="B63" s="20"/>
      <c r="C63" s="152" t="s">
        <v>198</v>
      </c>
      <c r="D63" s="109">
        <v>0.11</v>
      </c>
      <c r="E63" s="177">
        <v>46155</v>
      </c>
      <c r="F63" s="181">
        <f t="shared" ref="F63:F64" si="0">F27</f>
        <v>300000000</v>
      </c>
      <c r="G63" s="360" t="s">
        <v>62</v>
      </c>
      <c r="H63" s="22"/>
      <c r="I63" s="34"/>
      <c r="J63" s="161"/>
      <c r="K63" s="26"/>
      <c r="O63" s="344"/>
      <c r="P63" s="1"/>
      <c r="V63" s="432"/>
    </row>
    <row r="64" spans="2:28" ht="15.75" x14ac:dyDescent="0.25">
      <c r="B64" s="20"/>
      <c r="C64" s="152" t="s">
        <v>199</v>
      </c>
      <c r="D64" s="109">
        <v>0.11</v>
      </c>
      <c r="E64" s="177">
        <v>46217</v>
      </c>
      <c r="F64" s="181">
        <f t="shared" si="0"/>
        <v>175000000</v>
      </c>
      <c r="G64" s="360" t="s">
        <v>62</v>
      </c>
      <c r="H64" s="22"/>
      <c r="I64" s="34"/>
      <c r="J64" s="161"/>
      <c r="K64" s="26"/>
      <c r="O64" s="344"/>
      <c r="P64" s="1"/>
      <c r="V64" s="432"/>
    </row>
    <row r="65" spans="2:22" s="355" customFormat="1" ht="15.75" x14ac:dyDescent="0.25">
      <c r="B65" s="357"/>
      <c r="C65" s="358" t="s">
        <v>46</v>
      </c>
      <c r="D65" s="358"/>
      <c r="E65" s="358"/>
      <c r="F65" s="359">
        <f>SUM(F62:F64)</f>
        <v>775000000</v>
      </c>
      <c r="G65" s="360" t="s">
        <v>62</v>
      </c>
      <c r="H65" s="358"/>
      <c r="I65" s="358" t="s">
        <v>0</v>
      </c>
      <c r="J65" s="359">
        <f>SUM(J59:J61)</f>
        <v>0</v>
      </c>
      <c r="K65" s="361" t="s">
        <v>4</v>
      </c>
      <c r="L65"/>
      <c r="M65"/>
      <c r="N65"/>
      <c r="O65" s="1"/>
      <c r="P65"/>
      <c r="Q65"/>
      <c r="R65"/>
      <c r="S65"/>
      <c r="T65"/>
      <c r="U65"/>
      <c r="V65" s="435"/>
    </row>
    <row r="66" spans="2:22" ht="15.75" x14ac:dyDescent="0.25">
      <c r="B66" s="330" t="s">
        <v>30</v>
      </c>
      <c r="C66" s="84" t="s">
        <v>175</v>
      </c>
      <c r="D66" s="22"/>
      <c r="E66" s="22"/>
      <c r="F66" s="22"/>
      <c r="G66" s="360"/>
      <c r="H66" s="22"/>
      <c r="I66" s="22"/>
      <c r="J66" s="22"/>
      <c r="K66" s="43"/>
      <c r="O66" s="1"/>
      <c r="V66" s="434"/>
    </row>
    <row r="67" spans="2:22" ht="15.75" x14ac:dyDescent="0.25">
      <c r="B67" s="20"/>
      <c r="C67" s="152" t="str">
        <f>C31</f>
        <v>LTL (Sberbank) dd 02/08/22</v>
      </c>
      <c r="D67" s="110">
        <v>4.4200000000000003E-2</v>
      </c>
      <c r="E67" s="177">
        <v>47331</v>
      </c>
      <c r="F67" s="161">
        <f>F31</f>
        <v>1997025121.9100001</v>
      </c>
      <c r="G67" s="360" t="s">
        <v>62</v>
      </c>
      <c r="H67" s="22"/>
      <c r="I67" s="34"/>
      <c r="J67" s="161"/>
      <c r="K67" s="26"/>
      <c r="O67" s="1"/>
      <c r="V67" s="432"/>
    </row>
    <row r="68" spans="2:22" s="355" customFormat="1" ht="15.75" x14ac:dyDescent="0.25">
      <c r="B68" s="362"/>
      <c r="C68" s="358" t="s">
        <v>176</v>
      </c>
      <c r="D68" s="358"/>
      <c r="E68" s="358"/>
      <c r="F68" s="359">
        <f>SUM(F67)</f>
        <v>1997025121.9100001</v>
      </c>
      <c r="G68" s="360" t="s">
        <v>62</v>
      </c>
      <c r="H68" s="358"/>
      <c r="I68" s="358" t="s">
        <v>0</v>
      </c>
      <c r="J68" s="359">
        <f>SUM(J67)</f>
        <v>0</v>
      </c>
      <c r="K68" s="361" t="s">
        <v>4</v>
      </c>
      <c r="L68"/>
      <c r="M68"/>
      <c r="N68"/>
      <c r="O68" s="1"/>
      <c r="P68"/>
      <c r="Q68"/>
      <c r="R68"/>
      <c r="S68"/>
      <c r="T68"/>
      <c r="U68"/>
      <c r="V68" s="434"/>
    </row>
    <row r="69" spans="2:22" s="355" customFormat="1" ht="16.5" thickBot="1" x14ac:dyDescent="0.3">
      <c r="B69" s="363"/>
      <c r="C69" s="364" t="s">
        <v>99</v>
      </c>
      <c r="D69" s="364"/>
      <c r="E69" s="364"/>
      <c r="F69" s="365">
        <f>F68+F65</f>
        <v>2772025121.9099998</v>
      </c>
      <c r="G69" s="366" t="s">
        <v>62</v>
      </c>
      <c r="H69" s="364"/>
      <c r="I69" s="364" t="s">
        <v>0</v>
      </c>
      <c r="J69" s="365">
        <f>J68+J65</f>
        <v>0</v>
      </c>
      <c r="K69" s="367" t="s">
        <v>4</v>
      </c>
      <c r="L69"/>
      <c r="M69"/>
      <c r="N69"/>
      <c r="O69" s="1"/>
      <c r="P69"/>
      <c r="Q69"/>
      <c r="R69" s="344"/>
      <c r="S69" s="344"/>
      <c r="T69" s="344"/>
      <c r="U69" s="344"/>
      <c r="V69" s="435"/>
    </row>
    <row r="70" spans="2:22" ht="15.75" x14ac:dyDescent="0.25">
      <c r="B70" s="330" t="s">
        <v>31</v>
      </c>
      <c r="C70" s="368" t="s">
        <v>177</v>
      </c>
      <c r="D70" s="369"/>
      <c r="E70" s="369"/>
      <c r="F70" s="369"/>
      <c r="G70" s="370"/>
      <c r="H70" s="22"/>
      <c r="I70" s="22"/>
      <c r="J70" s="22"/>
      <c r="K70" s="43"/>
      <c r="O70" s="1"/>
      <c r="V70" s="434"/>
    </row>
    <row r="71" spans="2:22" s="422" customFormat="1" ht="15.75" x14ac:dyDescent="0.25">
      <c r="B71" s="418"/>
      <c r="C71" s="152"/>
      <c r="D71" s="109"/>
      <c r="E71" s="152"/>
      <c r="F71" s="161"/>
      <c r="G71" s="23"/>
      <c r="H71" s="419"/>
      <c r="I71" s="419"/>
      <c r="J71" s="420" t="e">
        <f>F71/J$7</f>
        <v>#DIV/0!</v>
      </c>
      <c r="K71" s="421" t="s">
        <v>4</v>
      </c>
      <c r="N71"/>
      <c r="O71" s="423"/>
    </row>
    <row r="72" spans="2:22" ht="15.75" hidden="1" x14ac:dyDescent="0.25">
      <c r="B72" s="14"/>
      <c r="C72" s="371"/>
      <c r="D72" s="372"/>
      <c r="E72" s="373"/>
      <c r="F72" s="374"/>
      <c r="G72" s="375"/>
      <c r="H72" s="45"/>
      <c r="I72" s="45"/>
      <c r="J72" s="39"/>
      <c r="K72" s="26"/>
      <c r="O72" s="1"/>
    </row>
    <row r="73" spans="2:22" ht="15.75" hidden="1" x14ac:dyDescent="0.25">
      <c r="B73" s="14"/>
      <c r="C73" s="371"/>
      <c r="D73" s="372"/>
      <c r="E73" s="373"/>
      <c r="F73" s="374"/>
      <c r="G73" s="375"/>
      <c r="H73" s="45"/>
      <c r="I73" s="45"/>
      <c r="J73" s="39"/>
      <c r="K73" s="26"/>
      <c r="O73" s="1"/>
    </row>
    <row r="74" spans="2:22" ht="15.75" hidden="1" x14ac:dyDescent="0.25">
      <c r="B74" s="14"/>
      <c r="C74" s="371"/>
      <c r="D74" s="372"/>
      <c r="E74" s="373"/>
      <c r="F74" s="374"/>
      <c r="G74" s="375"/>
      <c r="H74" s="45"/>
      <c r="I74" s="45"/>
      <c r="J74" s="39"/>
      <c r="K74" s="26"/>
      <c r="O74" s="1"/>
    </row>
    <row r="75" spans="2:22" ht="15.75" hidden="1" x14ac:dyDescent="0.25">
      <c r="B75" s="14"/>
      <c r="C75" s="371"/>
      <c r="D75" s="372"/>
      <c r="E75" s="373"/>
      <c r="F75" s="374"/>
      <c r="G75" s="375"/>
      <c r="H75" s="45"/>
      <c r="I75" s="45"/>
      <c r="J75" s="39"/>
      <c r="K75" s="26"/>
      <c r="O75" s="1"/>
    </row>
    <row r="76" spans="2:22" ht="15.75" hidden="1" x14ac:dyDescent="0.25">
      <c r="B76" s="14"/>
      <c r="C76" s="371"/>
      <c r="D76" s="372"/>
      <c r="E76" s="373"/>
      <c r="F76" s="374"/>
      <c r="G76" s="375"/>
      <c r="H76" s="45"/>
      <c r="I76" s="45"/>
      <c r="J76" s="39"/>
      <c r="K76" s="26"/>
      <c r="O76" s="1"/>
    </row>
    <row r="77" spans="2:22" ht="15.75" hidden="1" x14ac:dyDescent="0.25">
      <c r="B77" s="14"/>
      <c r="C77" s="371"/>
      <c r="D77" s="372"/>
      <c r="E77" s="373"/>
      <c r="F77" s="374"/>
      <c r="G77" s="375"/>
      <c r="H77" s="45"/>
      <c r="I77" s="45"/>
      <c r="J77" s="39"/>
      <c r="K77" s="26"/>
      <c r="O77" s="1"/>
    </row>
    <row r="78" spans="2:22" ht="15.75" hidden="1" x14ac:dyDescent="0.25">
      <c r="B78" s="14"/>
      <c r="C78" s="371"/>
      <c r="D78" s="372"/>
      <c r="E78" s="373"/>
      <c r="F78" s="374"/>
      <c r="G78" s="375"/>
      <c r="H78" s="45"/>
      <c r="I78" s="45"/>
      <c r="J78" s="39"/>
      <c r="K78" s="26"/>
      <c r="O78" s="1"/>
    </row>
    <row r="79" spans="2:22" ht="15.75" hidden="1" x14ac:dyDescent="0.25">
      <c r="B79" s="14"/>
      <c r="C79" s="371"/>
      <c r="D79" s="372"/>
      <c r="E79" s="373"/>
      <c r="F79" s="374"/>
      <c r="G79" s="375"/>
      <c r="H79" s="45"/>
      <c r="I79" s="45"/>
      <c r="J79" s="39"/>
      <c r="K79" s="26"/>
      <c r="O79" s="1"/>
    </row>
    <row r="80" spans="2:22" ht="15.75" x14ac:dyDescent="0.25">
      <c r="B80" s="376"/>
      <c r="C80" s="377"/>
      <c r="D80" s="378"/>
      <c r="E80" s="378"/>
      <c r="F80" s="378"/>
      <c r="G80" s="379"/>
      <c r="H80" s="378"/>
      <c r="I80" s="378"/>
      <c r="J80" s="380"/>
      <c r="K80" s="381"/>
      <c r="O80" s="1"/>
    </row>
    <row r="81" spans="2:28" s="1" customFormat="1" ht="15.75" x14ac:dyDescent="0.25">
      <c r="B81" s="50"/>
      <c r="C81" s="51" t="s">
        <v>178</v>
      </c>
      <c r="D81" s="382" t="e">
        <f>(D71*J71+D76*J76+D73*J73+J75*D75+D72*J72+D79*J79+J77*D77+D74*J74+D78*J78)/J81</f>
        <v>#DIV/0!</v>
      </c>
      <c r="E81" s="51"/>
      <c r="F81" s="383">
        <f>SUM(F71:F80)</f>
        <v>0</v>
      </c>
      <c r="G81" s="384" t="s">
        <v>62</v>
      </c>
      <c r="H81" s="385"/>
      <c r="I81" s="385"/>
      <c r="J81" s="383" t="e">
        <f>SUM(J71:J80)</f>
        <v>#DIV/0!</v>
      </c>
      <c r="K81" s="386" t="s">
        <v>4</v>
      </c>
      <c r="L81"/>
      <c r="M81"/>
      <c r="N81"/>
      <c r="P81"/>
      <c r="Q81"/>
      <c r="R81"/>
      <c r="S81"/>
      <c r="T81"/>
      <c r="U81"/>
      <c r="V81" s="430"/>
      <c r="W81"/>
      <c r="X81"/>
      <c r="Y81"/>
      <c r="Z81"/>
      <c r="AA81"/>
      <c r="AB81"/>
    </row>
    <row r="82" spans="2:28" s="1" customFormat="1" ht="18.75" x14ac:dyDescent="0.3">
      <c r="B82" s="387"/>
      <c r="C82" s="388" t="s">
        <v>179</v>
      </c>
      <c r="D82" s="389"/>
      <c r="E82" s="388"/>
      <c r="F82" s="388"/>
      <c r="G82" s="390"/>
      <c r="H82" s="391"/>
      <c r="I82" s="391"/>
      <c r="J82" s="392"/>
      <c r="K82" s="393"/>
      <c r="L82"/>
      <c r="M82"/>
      <c r="N82"/>
      <c r="P82"/>
      <c r="Q82"/>
      <c r="R82"/>
      <c r="S82"/>
      <c r="T82"/>
      <c r="U82"/>
      <c r="V82" s="430"/>
      <c r="W82" s="430"/>
    </row>
    <row r="83" spans="2:28" s="1" customFormat="1" ht="18.75" hidden="1" x14ac:dyDescent="0.3">
      <c r="B83" s="14"/>
      <c r="C83" s="394">
        <f>C75</f>
        <v>0</v>
      </c>
      <c r="D83" s="395"/>
      <c r="E83" s="396">
        <v>46752</v>
      </c>
      <c r="F83" s="397">
        <f>F75</f>
        <v>0</v>
      </c>
      <c r="G83" s="398" t="s">
        <v>62</v>
      </c>
      <c r="H83" s="45"/>
      <c r="I83" s="45"/>
      <c r="J83" s="39" t="e">
        <f>F83/J$7</f>
        <v>#DIV/0!</v>
      </c>
      <c r="K83" s="26" t="s">
        <v>4</v>
      </c>
      <c r="L83"/>
      <c r="M83"/>
      <c r="N83"/>
      <c r="P83"/>
      <c r="Q83"/>
      <c r="R83"/>
      <c r="S83"/>
      <c r="T83"/>
    </row>
    <row r="84" spans="2:28" s="1" customFormat="1" ht="18.75" hidden="1" x14ac:dyDescent="0.3">
      <c r="B84" s="14"/>
      <c r="C84" s="394">
        <f>C76</f>
        <v>0</v>
      </c>
      <c r="D84" s="395"/>
      <c r="E84" s="396">
        <v>46752</v>
      </c>
      <c r="F84" s="397">
        <f>F76</f>
        <v>0</v>
      </c>
      <c r="G84" s="398" t="s">
        <v>62</v>
      </c>
      <c r="H84" s="45"/>
      <c r="I84" s="45"/>
      <c r="J84" s="39" t="e">
        <f t="shared" ref="J84:J85" si="1">F84/J$7</f>
        <v>#DIV/0!</v>
      </c>
      <c r="K84" s="26" t="s">
        <v>4</v>
      </c>
      <c r="L84"/>
      <c r="M84"/>
      <c r="N84"/>
      <c r="P84"/>
      <c r="Q84"/>
      <c r="R84"/>
      <c r="S84"/>
      <c r="T84"/>
    </row>
    <row r="85" spans="2:28" s="423" customFormat="1" ht="15.75" x14ac:dyDescent="0.25">
      <c r="B85" s="418"/>
      <c r="C85" s="152"/>
      <c r="D85" s="109"/>
      <c r="E85" s="152"/>
      <c r="F85" s="161"/>
      <c r="G85" s="23"/>
      <c r="H85" s="419"/>
      <c r="I85" s="419"/>
      <c r="J85" s="420" t="e">
        <f t="shared" si="1"/>
        <v>#DIV/0!</v>
      </c>
      <c r="K85" s="421" t="s">
        <v>4</v>
      </c>
      <c r="L85" s="422"/>
      <c r="M85" s="422"/>
      <c r="N85" s="422"/>
      <c r="P85" s="422"/>
      <c r="Q85" s="422"/>
      <c r="R85" s="422"/>
      <c r="S85" s="422"/>
      <c r="T85" s="422"/>
      <c r="V85" s="430"/>
    </row>
    <row r="86" spans="2:28" s="1" customFormat="1" ht="18.75" hidden="1" x14ac:dyDescent="0.3">
      <c r="B86" s="14"/>
      <c r="C86" s="371"/>
      <c r="D86" s="395"/>
      <c r="E86" s="399"/>
      <c r="F86" s="397"/>
      <c r="G86" s="398"/>
      <c r="H86" s="45"/>
      <c r="I86" s="45"/>
      <c r="J86" s="39"/>
      <c r="K86" s="26"/>
      <c r="L86"/>
      <c r="M86"/>
      <c r="N86"/>
      <c r="P86"/>
      <c r="Q86"/>
      <c r="R86"/>
      <c r="S86"/>
      <c r="T86"/>
      <c r="U86"/>
    </row>
    <row r="87" spans="2:28" s="1" customFormat="1" ht="18.75" hidden="1" x14ac:dyDescent="0.3">
      <c r="B87" s="14"/>
      <c r="C87" s="394"/>
      <c r="D87" s="395"/>
      <c r="E87" s="396"/>
      <c r="F87" s="397"/>
      <c r="G87" s="398"/>
      <c r="H87" s="45"/>
      <c r="I87" s="45"/>
      <c r="J87" s="39"/>
      <c r="K87" s="26"/>
      <c r="L87"/>
      <c r="M87"/>
      <c r="N87"/>
      <c r="P87"/>
      <c r="Q87"/>
      <c r="R87"/>
      <c r="S87"/>
      <c r="T87"/>
    </row>
    <row r="88" spans="2:28" s="1" customFormat="1" ht="18.75" hidden="1" x14ac:dyDescent="0.3">
      <c r="B88" s="14"/>
      <c r="C88" s="371"/>
      <c r="D88" s="395"/>
      <c r="E88" s="396"/>
      <c r="F88" s="397"/>
      <c r="G88" s="398"/>
      <c r="H88" s="45"/>
      <c r="I88" s="45"/>
      <c r="J88" s="39"/>
      <c r="K88" s="26"/>
      <c r="L88"/>
      <c r="M88"/>
      <c r="N88"/>
      <c r="P88"/>
      <c r="Q88"/>
      <c r="R88"/>
      <c r="S88"/>
      <c r="T88"/>
    </row>
    <row r="89" spans="2:28" s="1" customFormat="1" ht="18.75" hidden="1" x14ac:dyDescent="0.3">
      <c r="B89" s="14"/>
      <c r="C89" s="371"/>
      <c r="D89" s="395"/>
      <c r="E89" s="396"/>
      <c r="F89" s="397"/>
      <c r="G89" s="398"/>
      <c r="H89" s="45"/>
      <c r="I89" s="45"/>
      <c r="J89" s="39"/>
      <c r="K89" s="26"/>
      <c r="L89"/>
      <c r="M89"/>
      <c r="N89"/>
      <c r="P89"/>
      <c r="Q89"/>
      <c r="R89"/>
      <c r="S89"/>
      <c r="T89"/>
    </row>
    <row r="90" spans="2:28" s="1" customFormat="1" ht="18.75" hidden="1" x14ac:dyDescent="0.3">
      <c r="B90" s="14"/>
      <c r="C90" s="371"/>
      <c r="D90" s="395"/>
      <c r="E90" s="396"/>
      <c r="F90" s="397"/>
      <c r="G90" s="398"/>
      <c r="H90" s="45"/>
      <c r="I90" s="45"/>
      <c r="J90" s="39"/>
      <c r="K90" s="26"/>
      <c r="L90"/>
      <c r="M90"/>
      <c r="N90"/>
      <c r="P90"/>
      <c r="Q90"/>
      <c r="R90"/>
      <c r="S90"/>
      <c r="T90"/>
    </row>
    <row r="91" spans="2:28" s="1" customFormat="1" ht="18.75" hidden="1" x14ac:dyDescent="0.3">
      <c r="B91" s="14"/>
      <c r="C91" s="371"/>
      <c r="D91" s="395"/>
      <c r="E91" s="396"/>
      <c r="F91" s="397"/>
      <c r="G91" s="398"/>
      <c r="H91" s="45"/>
      <c r="I91" s="45"/>
      <c r="J91" s="39"/>
      <c r="K91" s="26"/>
      <c r="L91"/>
      <c r="M91"/>
      <c r="N91"/>
      <c r="P91"/>
      <c r="Q91"/>
      <c r="R91"/>
      <c r="S91"/>
      <c r="T91"/>
    </row>
    <row r="92" spans="2:28" s="355" customFormat="1" ht="16.5" thickBot="1" x14ac:dyDescent="0.3">
      <c r="B92" s="363"/>
      <c r="C92" s="364" t="s">
        <v>180</v>
      </c>
      <c r="D92" s="364"/>
      <c r="E92" s="364"/>
      <c r="F92" s="365">
        <f>SUM(F83:F91)</f>
        <v>0</v>
      </c>
      <c r="G92" s="366" t="s">
        <v>62</v>
      </c>
      <c r="H92" s="364"/>
      <c r="I92" s="364"/>
      <c r="J92" s="365" t="e">
        <f>SUM(J83:J91)</f>
        <v>#DIV/0!</v>
      </c>
      <c r="K92" s="367" t="s">
        <v>4</v>
      </c>
      <c r="L92"/>
      <c r="M92"/>
      <c r="N92"/>
      <c r="O92" s="1"/>
      <c r="P92"/>
      <c r="Q92"/>
      <c r="R92"/>
      <c r="S92"/>
      <c r="T92"/>
      <c r="V92" s="430"/>
    </row>
    <row r="93" spans="2:28" ht="15.75" hidden="1" x14ac:dyDescent="0.25">
      <c r="B93" s="330" t="s">
        <v>181</v>
      </c>
      <c r="C93" s="346" t="s">
        <v>182</v>
      </c>
      <c r="D93" s="22"/>
      <c r="E93" s="22"/>
      <c r="F93" s="22"/>
      <c r="G93" s="25"/>
      <c r="H93" s="22"/>
      <c r="I93" s="22"/>
      <c r="J93" s="22"/>
      <c r="K93" s="43"/>
      <c r="O93" s="1"/>
    </row>
    <row r="94" spans="2:28" ht="15.75" hidden="1" x14ac:dyDescent="0.25">
      <c r="B94" s="14"/>
      <c r="C94" s="400"/>
      <c r="D94" s="109"/>
      <c r="E94" s="177"/>
      <c r="F94" s="401"/>
      <c r="G94" s="402"/>
      <c r="H94" s="45"/>
      <c r="I94" s="45"/>
      <c r="J94" s="39"/>
      <c r="K94" s="26"/>
      <c r="O94" s="1"/>
    </row>
    <row r="95" spans="2:28" s="355" customFormat="1" ht="16.5" hidden="1" thickBot="1" x14ac:dyDescent="0.3">
      <c r="B95" s="363"/>
      <c r="C95" s="364" t="s">
        <v>99</v>
      </c>
      <c r="D95" s="403">
        <f>D94</f>
        <v>0</v>
      </c>
      <c r="E95" s="364"/>
      <c r="F95" s="365">
        <f>F94</f>
        <v>0</v>
      </c>
      <c r="G95" s="366" t="s">
        <v>62</v>
      </c>
      <c r="H95" s="364"/>
      <c r="I95" s="364"/>
      <c r="J95" s="365">
        <f>J94</f>
        <v>0</v>
      </c>
      <c r="K95" s="367" t="s">
        <v>4</v>
      </c>
      <c r="L95"/>
      <c r="M95"/>
      <c r="N95"/>
      <c r="O95" s="1"/>
      <c r="P95"/>
      <c r="Q95" s="344"/>
      <c r="R95" s="344"/>
      <c r="S95" s="344"/>
      <c r="T95" s="344"/>
      <c r="U95" s="344"/>
    </row>
    <row r="96" spans="2:28" s="1" customFormat="1" ht="18.75" hidden="1" x14ac:dyDescent="0.3">
      <c r="B96" s="387"/>
      <c r="C96" s="391" t="s">
        <v>183</v>
      </c>
      <c r="D96" s="404"/>
      <c r="E96" s="391"/>
      <c r="F96" s="391"/>
      <c r="G96" s="405"/>
      <c r="H96" s="391"/>
      <c r="I96" s="391"/>
      <c r="J96" s="392"/>
      <c r="K96" s="393"/>
      <c r="L96"/>
      <c r="M96"/>
      <c r="N96"/>
      <c r="P96"/>
      <c r="Q96"/>
      <c r="R96"/>
      <c r="S96"/>
      <c r="T96"/>
      <c r="U96"/>
    </row>
    <row r="97" spans="2:20" s="1" customFormat="1" ht="18.75" hidden="1" x14ac:dyDescent="0.3">
      <c r="B97" s="14"/>
      <c r="C97" s="400"/>
      <c r="D97" s="406"/>
      <c r="E97" s="177"/>
      <c r="F97" s="161"/>
      <c r="G97" s="402"/>
      <c r="H97" s="45"/>
      <c r="I97" s="45"/>
      <c r="J97" s="39"/>
      <c r="K97" s="26"/>
      <c r="L97"/>
      <c r="M97"/>
      <c r="N97"/>
      <c r="P97"/>
      <c r="Q97"/>
      <c r="R97"/>
      <c r="S97"/>
      <c r="T97"/>
    </row>
    <row r="98" spans="2:20" s="355" customFormat="1" ht="16.5" hidden="1" thickBot="1" x14ac:dyDescent="0.3">
      <c r="B98" s="363"/>
      <c r="C98" s="364" t="s">
        <v>180</v>
      </c>
      <c r="D98" s="364"/>
      <c r="E98" s="364"/>
      <c r="F98" s="365">
        <f>F97</f>
        <v>0</v>
      </c>
      <c r="G98" s="366" t="s">
        <v>62</v>
      </c>
      <c r="H98" s="364"/>
      <c r="I98" s="364"/>
      <c r="J98" s="365">
        <f>J97</f>
        <v>0</v>
      </c>
      <c r="K98" s="367" t="s">
        <v>4</v>
      </c>
      <c r="L98"/>
      <c r="M98"/>
      <c r="N98"/>
      <c r="O98" s="1"/>
      <c r="P98"/>
      <c r="Q98"/>
      <c r="R98"/>
      <c r="S98"/>
      <c r="T98"/>
    </row>
    <row r="99" spans="2:20" ht="15.75" hidden="1" x14ac:dyDescent="0.25">
      <c r="B99" s="8"/>
      <c r="C99" s="44"/>
      <c r="D99" s="45"/>
      <c r="E99" s="45"/>
      <c r="F99" s="45"/>
      <c r="G99" s="46"/>
      <c r="H99" s="45"/>
      <c r="I99" s="45"/>
      <c r="J99" s="120"/>
      <c r="K99" s="407"/>
      <c r="O99" s="1"/>
    </row>
    <row r="100" spans="2:20" ht="15" hidden="1" x14ac:dyDescent="0.25">
      <c r="B100" s="408" t="s">
        <v>181</v>
      </c>
      <c r="C100" s="89" t="s">
        <v>26</v>
      </c>
      <c r="D100" s="122" t="s">
        <v>0</v>
      </c>
      <c r="E100" s="91" t="s">
        <v>0</v>
      </c>
      <c r="F100" s="168">
        <v>0</v>
      </c>
      <c r="G100" s="90" t="s">
        <v>62</v>
      </c>
      <c r="H100" s="91"/>
      <c r="I100" s="91" t="s">
        <v>0</v>
      </c>
      <c r="J100" s="124" t="e">
        <f>F100/J7</f>
        <v>#DIV/0!</v>
      </c>
      <c r="K100" s="92" t="s">
        <v>4</v>
      </c>
    </row>
    <row r="101" spans="2:20" ht="15" hidden="1" x14ac:dyDescent="0.25">
      <c r="B101" s="93"/>
      <c r="C101" s="94" t="s">
        <v>25</v>
      </c>
      <c r="D101" s="123">
        <v>0</v>
      </c>
      <c r="E101" s="96" t="s">
        <v>0</v>
      </c>
      <c r="F101" s="169">
        <v>0</v>
      </c>
      <c r="G101" s="95" t="s">
        <v>62</v>
      </c>
      <c r="H101" s="96"/>
      <c r="I101" s="96" t="s">
        <v>0</v>
      </c>
      <c r="J101" s="125" t="e">
        <f>F101/J7</f>
        <v>#DIV/0!</v>
      </c>
      <c r="K101" s="97" t="s">
        <v>4</v>
      </c>
    </row>
    <row r="102" spans="2:20" hidden="1" x14ac:dyDescent="0.2"/>
    <row r="103" spans="2:20" ht="15.75" hidden="1" x14ac:dyDescent="0.25">
      <c r="B103" s="144" t="s">
        <v>50</v>
      </c>
      <c r="C103" s="98" t="s">
        <v>70</v>
      </c>
      <c r="D103" s="126"/>
      <c r="E103" s="126"/>
      <c r="F103" s="127"/>
      <c r="G103" s="126"/>
      <c r="H103" s="409" t="s">
        <v>184</v>
      </c>
      <c r="I103" s="128"/>
      <c r="J103" s="162"/>
      <c r="K103" s="160"/>
    </row>
    <row r="104" spans="2:20" ht="15" hidden="1" x14ac:dyDescent="0.25">
      <c r="B104" s="145"/>
      <c r="C104" s="83" t="s">
        <v>185</v>
      </c>
      <c r="D104" s="104" t="s">
        <v>36</v>
      </c>
      <c r="E104" s="104" t="s">
        <v>37</v>
      </c>
      <c r="F104" s="135" t="s">
        <v>32</v>
      </c>
      <c r="G104" s="104" t="s">
        <v>33</v>
      </c>
      <c r="H104" s="172">
        <v>2016</v>
      </c>
      <c r="I104" s="104">
        <v>2017</v>
      </c>
      <c r="J104" s="142">
        <v>2018</v>
      </c>
      <c r="K104" s="410">
        <f ca="1">TODAY()</f>
        <v>45880</v>
      </c>
    </row>
    <row r="105" spans="2:20" ht="15" hidden="1" x14ac:dyDescent="0.25">
      <c r="B105" s="145"/>
      <c r="C105" s="22"/>
      <c r="D105" s="104"/>
      <c r="E105" s="104"/>
      <c r="F105" s="135"/>
      <c r="G105" s="104"/>
      <c r="H105" s="172"/>
      <c r="I105" s="104"/>
      <c r="J105" s="142"/>
      <c r="K105" s="411"/>
    </row>
    <row r="106" spans="2:20" ht="15" hidden="1" x14ac:dyDescent="0.25">
      <c r="B106" s="145"/>
      <c r="C106" s="170" t="s">
        <v>69</v>
      </c>
      <c r="D106" s="412">
        <v>9.1200000000000003E-2</v>
      </c>
      <c r="E106" s="412">
        <v>0.1008</v>
      </c>
      <c r="F106" s="412">
        <v>0.1021</v>
      </c>
      <c r="G106" s="412" t="s">
        <v>71</v>
      </c>
      <c r="H106" s="172"/>
      <c r="I106" s="104"/>
      <c r="J106" s="142"/>
      <c r="K106" s="411"/>
    </row>
    <row r="107" spans="2:20" ht="15" hidden="1" x14ac:dyDescent="0.25">
      <c r="B107" s="145"/>
      <c r="C107" s="22" t="s">
        <v>4</v>
      </c>
      <c r="D107" s="412">
        <v>1.0686000000000001E-3</v>
      </c>
      <c r="E107" s="412">
        <v>3.0885999999999999E-3</v>
      </c>
      <c r="F107" s="412">
        <v>5.4400000000000004E-3</v>
      </c>
      <c r="G107" s="412">
        <v>9.6229000000000002E-3</v>
      </c>
      <c r="H107" s="173">
        <v>60.6569</v>
      </c>
      <c r="I107" s="132">
        <v>57.600200000000001</v>
      </c>
      <c r="J107" s="143">
        <v>69.470600000000005</v>
      </c>
      <c r="K107" s="413">
        <f>Q3</f>
        <v>76.5762</v>
      </c>
    </row>
    <row r="108" spans="2:20" ht="15" hidden="1" x14ac:dyDescent="0.25">
      <c r="B108" s="145"/>
      <c r="C108" s="22" t="s">
        <v>1</v>
      </c>
      <c r="D108" s="412">
        <v>-6.1942999999999998E-3</v>
      </c>
      <c r="E108" s="412">
        <v>-5.8056999999999996E-3</v>
      </c>
      <c r="F108" s="412">
        <v>-5.5599999999999998E-3</v>
      </c>
      <c r="G108" s="412">
        <v>-4.8570999999999996E-3</v>
      </c>
      <c r="H108" s="173">
        <v>63.811100000000003</v>
      </c>
      <c r="I108" s="132">
        <v>68.866799999999998</v>
      </c>
      <c r="J108" s="143">
        <v>79.460499999999996</v>
      </c>
      <c r="K108" s="413">
        <f>T3</f>
        <v>86.518100000000004</v>
      </c>
    </row>
    <row r="109" spans="2:20" ht="15" hidden="1" x14ac:dyDescent="0.25">
      <c r="B109" s="145"/>
      <c r="C109" s="22" t="s">
        <v>2</v>
      </c>
      <c r="D109" s="412">
        <v>4.4400000000000004E-3</v>
      </c>
      <c r="E109" s="412">
        <v>6.3740000000000003E-3</v>
      </c>
      <c r="F109" s="412">
        <v>9.8969999999999995E-3</v>
      </c>
      <c r="G109" s="412" t="s">
        <v>71</v>
      </c>
      <c r="H109" s="173">
        <v>74.5595</v>
      </c>
      <c r="I109" s="132">
        <v>77.673900000000003</v>
      </c>
      <c r="J109" s="143">
        <v>88.283199999999994</v>
      </c>
      <c r="K109" s="413">
        <f>Z3</f>
        <v>0</v>
      </c>
    </row>
    <row r="110" spans="2:20" ht="15" hidden="1" x14ac:dyDescent="0.25">
      <c r="B110" s="146"/>
      <c r="C110" s="48" t="s">
        <v>67</v>
      </c>
      <c r="D110" s="412">
        <v>-6.3750000000000005E-4</v>
      </c>
      <c r="E110" s="412">
        <v>-2.063E-4</v>
      </c>
      <c r="F110" s="412">
        <v>3.4670000000000002E-4</v>
      </c>
      <c r="G110" s="412" t="s">
        <v>71</v>
      </c>
      <c r="H110" s="174">
        <v>51.8324</v>
      </c>
      <c r="I110" s="134">
        <v>51.1479</v>
      </c>
      <c r="J110" s="143">
        <v>62.997599999999998</v>
      </c>
      <c r="K110" s="414">
        <f>AA3</f>
        <v>0</v>
      </c>
    </row>
    <row r="111" spans="2:20" ht="15.75" hidden="1" thickBot="1" x14ac:dyDescent="0.3">
      <c r="B111" s="147"/>
      <c r="C111" s="80" t="s">
        <v>54</v>
      </c>
      <c r="D111" s="140"/>
      <c r="E111" s="140"/>
      <c r="F111" s="141"/>
      <c r="G111" s="140"/>
      <c r="H111" s="175">
        <f>H108/H107</f>
        <v>1.0520006792302277</v>
      </c>
      <c r="I111" s="175">
        <f>I108/I107</f>
        <v>1.1956000152777246</v>
      </c>
      <c r="J111" s="175">
        <f>J108/J107</f>
        <v>1.1438003990177139</v>
      </c>
      <c r="K111" s="415">
        <f>K108/K107</f>
        <v>1.1298301561059443</v>
      </c>
    </row>
    <row r="112" spans="2:20" ht="15" hidden="1" x14ac:dyDescent="0.25">
      <c r="B112" s="20"/>
      <c r="C112" s="22"/>
      <c r="D112" s="101"/>
      <c r="E112" s="101"/>
      <c r="F112" s="102"/>
      <c r="G112" s="101"/>
      <c r="H112" s="210"/>
      <c r="I112" s="209"/>
      <c r="J112" s="132"/>
      <c r="K112" s="133"/>
    </row>
    <row r="113" spans="2:11" ht="15.75" hidden="1" x14ac:dyDescent="0.25">
      <c r="B113" s="20" t="s">
        <v>186</v>
      </c>
      <c r="C113" s="100" t="s">
        <v>51</v>
      </c>
      <c r="D113" s="104"/>
      <c r="E113" s="104"/>
      <c r="F113" s="104" t="s">
        <v>0</v>
      </c>
      <c r="G113" s="104"/>
      <c r="H113" s="103"/>
      <c r="I113" s="104">
        <v>2021</v>
      </c>
      <c r="J113" s="104"/>
      <c r="K113" s="103"/>
    </row>
    <row r="114" spans="2:11" ht="15" hidden="1" x14ac:dyDescent="0.25">
      <c r="B114" s="20"/>
      <c r="C114" s="49"/>
      <c r="D114" s="104">
        <v>2016</v>
      </c>
      <c r="E114" s="104">
        <v>2017</v>
      </c>
      <c r="F114" s="104">
        <v>2018</v>
      </c>
      <c r="G114" s="104">
        <v>2019</v>
      </c>
      <c r="H114" s="103">
        <v>2020</v>
      </c>
      <c r="I114" s="416" t="s">
        <v>187</v>
      </c>
      <c r="J114" s="104"/>
      <c r="K114" s="103"/>
    </row>
    <row r="115" spans="2:11" ht="15" hidden="1" x14ac:dyDescent="0.25">
      <c r="B115" s="20"/>
      <c r="C115" s="130" t="s">
        <v>34</v>
      </c>
      <c r="D115" s="129">
        <v>5.3999999999999999E-2</v>
      </c>
      <c r="E115" s="129">
        <v>2.5000000000000001E-2</v>
      </c>
      <c r="F115" s="129">
        <v>4.2999999999999997E-2</v>
      </c>
      <c r="G115" s="129">
        <v>0.03</v>
      </c>
      <c r="H115" s="138">
        <v>4.9000000000000002E-2</v>
      </c>
      <c r="I115" s="417">
        <v>8.4000000000000005E-2</v>
      </c>
      <c r="J115" s="129"/>
      <c r="K115" s="138"/>
    </row>
    <row r="116" spans="2:11" ht="15" hidden="1" x14ac:dyDescent="0.25">
      <c r="B116" s="21"/>
      <c r="C116" s="136" t="s">
        <v>35</v>
      </c>
      <c r="D116" s="137">
        <v>7.4999999999999997E-2</v>
      </c>
      <c r="E116" s="137">
        <v>8.4000000000000005E-2</v>
      </c>
      <c r="F116" s="137">
        <v>0.11700000000000001</v>
      </c>
      <c r="G116" s="137">
        <v>-4.2999999999999997E-2</v>
      </c>
      <c r="H116" s="139">
        <v>3.5999999999999997E-2</v>
      </c>
      <c r="I116" s="150"/>
      <c r="J116" s="137"/>
      <c r="K116" s="139"/>
    </row>
    <row r="117" spans="2:11" x14ac:dyDescent="0.2">
      <c r="G117"/>
    </row>
    <row r="118" spans="2:11" x14ac:dyDescent="0.2">
      <c r="G118"/>
    </row>
    <row r="119" spans="2:11" x14ac:dyDescent="0.2">
      <c r="G119"/>
    </row>
    <row r="120" spans="2:11" x14ac:dyDescent="0.2">
      <c r="G120"/>
    </row>
    <row r="121" spans="2:11" x14ac:dyDescent="0.2">
      <c r="C121" s="2"/>
      <c r="D121" s="2"/>
      <c r="G121" s="2"/>
      <c r="H121" s="2"/>
      <c r="I121" s="2"/>
      <c r="J121" s="2"/>
      <c r="K121" s="2"/>
    </row>
    <row r="122" spans="2:11" x14ac:dyDescent="0.2">
      <c r="C122" s="2"/>
      <c r="D122" s="2"/>
      <c r="G122" s="2"/>
      <c r="H122" s="2"/>
      <c r="I122" s="2"/>
      <c r="J122" s="2"/>
      <c r="K122" s="2"/>
    </row>
    <row r="123" spans="2:11" x14ac:dyDescent="0.2">
      <c r="C123" s="2"/>
      <c r="D123" s="2"/>
      <c r="G123"/>
      <c r="J123" s="2"/>
      <c r="K123" s="2"/>
    </row>
    <row r="124" spans="2:11" x14ac:dyDescent="0.2">
      <c r="C124" s="2"/>
      <c r="D124" s="2"/>
      <c r="E124" s="2"/>
      <c r="G124" s="5"/>
      <c r="H124" s="2"/>
      <c r="I124" s="2"/>
      <c r="J124" s="2"/>
      <c r="K124" s="2"/>
    </row>
    <row r="125" spans="2:11" x14ac:dyDescent="0.2">
      <c r="C125" s="2"/>
      <c r="D125" s="2"/>
      <c r="E125" s="2"/>
      <c r="G125" s="5"/>
      <c r="H125" s="2"/>
      <c r="I125" s="2"/>
      <c r="J125" s="2"/>
      <c r="K125" s="2"/>
    </row>
    <row r="126" spans="2:11" x14ac:dyDescent="0.2">
      <c r="C126" s="2"/>
      <c r="D126" s="2"/>
      <c r="E126" s="2"/>
      <c r="G126" s="5"/>
      <c r="H126" s="2"/>
      <c r="I126" s="2"/>
      <c r="J126" s="2"/>
      <c r="K126" s="2"/>
    </row>
    <row r="127" spans="2:11" x14ac:dyDescent="0.2">
      <c r="C127" s="2"/>
      <c r="D127" s="2"/>
      <c r="E127" s="2"/>
      <c r="G127" s="5"/>
      <c r="H127" s="2"/>
      <c r="I127" s="2"/>
      <c r="J127" s="2"/>
      <c r="K127" s="2"/>
    </row>
    <row r="128" spans="2:11" x14ac:dyDescent="0.2">
      <c r="C128" s="2"/>
      <c r="D128" s="2"/>
      <c r="E128" s="2"/>
      <c r="G128" s="5"/>
      <c r="H128" s="2"/>
      <c r="I128" s="2"/>
      <c r="J128" s="2"/>
      <c r="K128" s="2"/>
    </row>
    <row r="129" spans="3:11" x14ac:dyDescent="0.2">
      <c r="C129" s="2"/>
      <c r="D129" s="2"/>
      <c r="E129" s="2"/>
      <c r="G129" s="5"/>
      <c r="H129" s="2"/>
      <c r="I129" s="2"/>
      <c r="J129" s="2"/>
      <c r="K129" s="2"/>
    </row>
    <row r="130" spans="3:11" x14ac:dyDescent="0.2">
      <c r="C130" s="2"/>
      <c r="D130" s="2"/>
      <c r="E130" s="2"/>
      <c r="G130" s="5"/>
      <c r="H130" s="2"/>
      <c r="I130" s="2"/>
      <c r="J130" s="2"/>
      <c r="K130" s="2"/>
    </row>
    <row r="131" spans="3:11" x14ac:dyDescent="0.2">
      <c r="C131" s="2"/>
      <c r="D131" s="2"/>
      <c r="E131" s="2"/>
      <c r="G131" s="5"/>
      <c r="H131" s="2"/>
      <c r="I131" s="2"/>
      <c r="J131" s="2"/>
      <c r="K131" s="2"/>
    </row>
    <row r="132" spans="3:11" x14ac:dyDescent="0.2">
      <c r="C132" s="2"/>
      <c r="D132" s="2"/>
      <c r="E132" s="2"/>
      <c r="G132" s="5"/>
      <c r="H132" s="2"/>
      <c r="I132" s="2"/>
      <c r="J132" s="2"/>
      <c r="K132" s="2"/>
    </row>
    <row r="133" spans="3:11" x14ac:dyDescent="0.2">
      <c r="C133" s="2"/>
      <c r="D133" s="2"/>
      <c r="E133" s="2"/>
      <c r="G133" s="5"/>
      <c r="H133" s="2"/>
      <c r="I133" s="2"/>
      <c r="J133" s="2"/>
      <c r="K133" s="2"/>
    </row>
    <row r="134" spans="3:11" x14ac:dyDescent="0.2">
      <c r="C134" s="2"/>
      <c r="D134" s="2"/>
      <c r="E134" s="2"/>
      <c r="G134" s="5"/>
      <c r="H134" s="2"/>
      <c r="I134" s="2"/>
      <c r="J134" s="2"/>
      <c r="K134" s="2"/>
    </row>
    <row r="135" spans="3:11" x14ac:dyDescent="0.2">
      <c r="C135" s="2"/>
      <c r="D135" s="2"/>
      <c r="E135" s="2"/>
      <c r="G135" s="5"/>
      <c r="H135" s="2"/>
      <c r="I135" s="2"/>
      <c r="J135" s="2"/>
      <c r="K135" s="2"/>
    </row>
    <row r="136" spans="3:11" x14ac:dyDescent="0.2">
      <c r="C136" s="2"/>
      <c r="D136" s="2"/>
      <c r="E136" s="2"/>
      <c r="G136" s="5"/>
      <c r="H136" s="2"/>
      <c r="I136" s="2"/>
      <c r="J136" s="2"/>
      <c r="K136" s="2"/>
    </row>
    <row r="137" spans="3:11" x14ac:dyDescent="0.2">
      <c r="C137" s="2"/>
      <c r="D137" s="2"/>
      <c r="E137" s="2"/>
      <c r="G137" s="5"/>
      <c r="H137" s="2"/>
      <c r="I137" s="2"/>
      <c r="J137" s="2"/>
      <c r="K137" s="2"/>
    </row>
    <row r="138" spans="3:11" x14ac:dyDescent="0.2">
      <c r="C138" s="2"/>
      <c r="D138" s="2"/>
      <c r="E138" s="2"/>
      <c r="F138" s="2"/>
      <c r="G138" s="5"/>
      <c r="H138" s="2"/>
      <c r="I138" s="2"/>
      <c r="J138" s="2"/>
      <c r="K138" s="2"/>
    </row>
    <row r="139" spans="3:11" x14ac:dyDescent="0.2">
      <c r="C139" s="2"/>
      <c r="D139" s="2"/>
      <c r="E139" s="2"/>
      <c r="F139" s="2"/>
      <c r="G139" s="5"/>
      <c r="H139" s="2"/>
      <c r="I139" s="2"/>
      <c r="J139" s="2"/>
      <c r="K139" s="2"/>
    </row>
    <row r="140" spans="3:11" x14ac:dyDescent="0.2">
      <c r="C140" s="2"/>
      <c r="D140" s="2"/>
      <c r="E140" s="2"/>
      <c r="F140" s="2"/>
      <c r="G140" s="5"/>
      <c r="H140" s="2"/>
      <c r="I140" s="2"/>
      <c r="J140" s="2"/>
      <c r="K140" s="2"/>
    </row>
    <row r="141" spans="3:11" x14ac:dyDescent="0.2">
      <c r="C141" s="2"/>
      <c r="D141" s="2"/>
      <c r="E141" s="2"/>
      <c r="F141" s="2"/>
      <c r="G141" s="5"/>
      <c r="H141" s="2"/>
      <c r="I141" s="2"/>
      <c r="J141" s="2"/>
      <c r="K141" s="2"/>
    </row>
    <row r="142" spans="3:11" x14ac:dyDescent="0.2">
      <c r="C142" s="2"/>
      <c r="D142" s="2"/>
      <c r="E142" s="2"/>
      <c r="F142" s="2"/>
      <c r="G142" s="5"/>
      <c r="H142" s="2"/>
      <c r="I142" s="2"/>
      <c r="J142" s="2"/>
      <c r="K142" s="2"/>
    </row>
    <row r="143" spans="3:11" x14ac:dyDescent="0.2">
      <c r="C143" s="2"/>
      <c r="D143" s="2"/>
      <c r="E143" s="2"/>
      <c r="F143" s="2"/>
      <c r="G143" s="5"/>
      <c r="H143" s="2"/>
      <c r="I143" s="2"/>
      <c r="J143" s="2"/>
      <c r="K143" s="2"/>
    </row>
    <row r="144" spans="3:11" x14ac:dyDescent="0.2">
      <c r="C144" s="2"/>
      <c r="D144" s="2"/>
      <c r="E144" s="2"/>
      <c r="F144" s="2"/>
      <c r="G144" s="5"/>
      <c r="H144" s="2"/>
      <c r="I144" s="2"/>
      <c r="J144" s="2"/>
      <c r="K144" s="2"/>
    </row>
    <row r="145" spans="3:11" x14ac:dyDescent="0.2">
      <c r="C145" s="2"/>
      <c r="D145" s="2"/>
      <c r="E145" s="2"/>
      <c r="F145" s="2"/>
      <c r="G145" s="5"/>
      <c r="H145" s="2"/>
      <c r="I145" s="2"/>
      <c r="J145" s="2"/>
      <c r="K145" s="2"/>
    </row>
    <row r="146" spans="3:11" x14ac:dyDescent="0.2">
      <c r="C146" s="2"/>
      <c r="D146" s="2"/>
      <c r="E146" s="2"/>
      <c r="F146" s="2"/>
      <c r="G146" s="5"/>
      <c r="H146" s="2"/>
      <c r="I146" s="2"/>
      <c r="J146" s="2"/>
      <c r="K146" s="2"/>
    </row>
    <row r="147" spans="3:11" x14ac:dyDescent="0.2">
      <c r="C147" s="2"/>
      <c r="D147" s="2"/>
      <c r="E147" s="2"/>
      <c r="F147" s="2"/>
      <c r="G147" s="5"/>
      <c r="H147" s="2"/>
      <c r="I147" s="2"/>
      <c r="J147" s="2"/>
      <c r="K147" s="2"/>
    </row>
    <row r="148" spans="3:11" x14ac:dyDescent="0.2">
      <c r="C148" s="2"/>
      <c r="D148" s="2"/>
      <c r="E148" s="2"/>
      <c r="F148" s="2"/>
      <c r="G148" s="5"/>
      <c r="H148" s="2"/>
      <c r="I148" s="2"/>
      <c r="J148" s="2"/>
      <c r="K148" s="2"/>
    </row>
    <row r="149" spans="3:11" x14ac:dyDescent="0.2">
      <c r="C149" s="2"/>
      <c r="D149" s="2"/>
      <c r="E149" s="2"/>
      <c r="F149" s="2"/>
      <c r="G149" s="5"/>
      <c r="H149" s="2"/>
      <c r="I149" s="2"/>
      <c r="J149" s="2"/>
      <c r="K149" s="2"/>
    </row>
    <row r="150" spans="3:11" x14ac:dyDescent="0.2">
      <c r="C150" s="2"/>
      <c r="D150" s="2"/>
      <c r="E150" s="2"/>
      <c r="F150" s="2"/>
      <c r="G150" s="5"/>
      <c r="H150" s="2"/>
      <c r="I150" s="2"/>
      <c r="J150" s="2"/>
      <c r="K150" s="2"/>
    </row>
    <row r="151" spans="3:11" x14ac:dyDescent="0.2">
      <c r="C151" s="2"/>
      <c r="D151" s="2"/>
      <c r="E151" s="2"/>
      <c r="F151" s="2"/>
      <c r="G151" s="5"/>
      <c r="H151" s="2"/>
      <c r="I151" s="2"/>
      <c r="J151" s="2"/>
      <c r="K151" s="2"/>
    </row>
    <row r="152" spans="3:11" x14ac:dyDescent="0.2">
      <c r="C152" s="2"/>
      <c r="D152" s="2"/>
      <c r="E152" s="2"/>
      <c r="F152" s="2"/>
      <c r="G152" s="5"/>
      <c r="H152" s="2"/>
      <c r="I152" s="2"/>
      <c r="J152" s="2"/>
      <c r="K152" s="2"/>
    </row>
    <row r="153" spans="3:11" x14ac:dyDescent="0.2">
      <c r="C153" s="2"/>
      <c r="D153" s="2"/>
      <c r="E153" s="2"/>
      <c r="F153" s="2"/>
      <c r="G153" s="5"/>
      <c r="H153" s="2"/>
      <c r="I153" s="2"/>
      <c r="J153" s="2"/>
      <c r="K153" s="2"/>
    </row>
    <row r="154" spans="3:11" x14ac:dyDescent="0.2">
      <c r="C154" s="2"/>
      <c r="D154" s="2"/>
      <c r="E154" s="2"/>
      <c r="F154" s="2"/>
      <c r="G154" s="5"/>
      <c r="H154" s="2"/>
      <c r="I154" s="2"/>
      <c r="J154" s="2"/>
      <c r="K154" s="2"/>
    </row>
    <row r="155" spans="3:11" x14ac:dyDescent="0.2">
      <c r="C155" s="2"/>
      <c r="D155" s="2"/>
      <c r="E155" s="2"/>
      <c r="F155" s="2"/>
      <c r="G155" s="5"/>
      <c r="H155" s="2"/>
      <c r="I155" s="2"/>
      <c r="J155" s="2"/>
      <c r="K155" s="2"/>
    </row>
    <row r="156" spans="3:11" x14ac:dyDescent="0.2">
      <c r="C156" s="2"/>
      <c r="D156" s="2"/>
      <c r="E156" s="2"/>
      <c r="F156" s="2"/>
      <c r="G156" s="5"/>
      <c r="H156" s="2"/>
      <c r="I156" s="2"/>
      <c r="J156" s="2"/>
      <c r="K156" s="2"/>
    </row>
    <row r="157" spans="3:11" x14ac:dyDescent="0.2">
      <c r="C157" s="2"/>
      <c r="D157" s="2"/>
      <c r="E157" s="2"/>
      <c r="F157" s="2"/>
      <c r="G157" s="5"/>
      <c r="H157" s="2"/>
      <c r="I157" s="2"/>
      <c r="J157" s="2"/>
      <c r="K157" s="2"/>
    </row>
    <row r="158" spans="3:11" x14ac:dyDescent="0.2">
      <c r="C158" s="2"/>
      <c r="D158" s="2"/>
      <c r="E158" s="2"/>
      <c r="F158" s="2"/>
      <c r="G158" s="5"/>
      <c r="H158" s="2"/>
      <c r="I158" s="2"/>
      <c r="J158" s="2"/>
      <c r="K158" s="2"/>
    </row>
    <row r="159" spans="3:11" x14ac:dyDescent="0.2">
      <c r="C159" s="2"/>
      <c r="D159" s="2"/>
      <c r="E159" s="2"/>
      <c r="F159" s="2"/>
      <c r="G159" s="5"/>
      <c r="H159" s="2"/>
      <c r="I159" s="2"/>
      <c r="J159" s="2"/>
      <c r="K159" s="2"/>
    </row>
    <row r="160" spans="3:11" x14ac:dyDescent="0.2">
      <c r="C160" s="2"/>
      <c r="D160" s="2"/>
      <c r="E160" s="2"/>
      <c r="F160" s="2"/>
      <c r="G160" s="5"/>
      <c r="H160" s="2"/>
      <c r="I160" s="2"/>
      <c r="J160" s="2"/>
      <c r="K160" s="2"/>
    </row>
    <row r="161" spans="3:11" x14ac:dyDescent="0.2">
      <c r="C161" s="2"/>
      <c r="D161" s="2"/>
      <c r="E161" s="2"/>
      <c r="F161" s="2"/>
      <c r="G161" s="5"/>
      <c r="H161" s="2"/>
      <c r="I161" s="2"/>
      <c r="J161" s="2"/>
      <c r="K161" s="2"/>
    </row>
    <row r="162" spans="3:11" x14ac:dyDescent="0.2">
      <c r="C162" s="2"/>
      <c r="D162" s="2"/>
      <c r="E162" s="2"/>
      <c r="F162" s="2"/>
      <c r="G162" s="5"/>
      <c r="H162" s="2"/>
      <c r="I162" s="2"/>
      <c r="J162" s="2"/>
      <c r="K162" s="2"/>
    </row>
    <row r="163" spans="3:11" x14ac:dyDescent="0.2">
      <c r="C163" s="2"/>
      <c r="D163" s="2"/>
      <c r="E163" s="2"/>
      <c r="F163" s="2"/>
      <c r="G163" s="5"/>
      <c r="H163" s="2"/>
      <c r="I163" s="2"/>
      <c r="J163" s="2"/>
      <c r="K163" s="2"/>
    </row>
    <row r="164" spans="3:11" x14ac:dyDescent="0.2">
      <c r="C164" s="2"/>
      <c r="D164" s="2"/>
      <c r="E164" s="2"/>
      <c r="F164" s="2"/>
      <c r="G164" s="5"/>
      <c r="H164" s="2"/>
      <c r="I164" s="2"/>
      <c r="J164" s="2"/>
      <c r="K164" s="2"/>
    </row>
    <row r="165" spans="3:11" x14ac:dyDescent="0.2">
      <c r="C165" s="2"/>
      <c r="D165" s="2"/>
      <c r="E165" s="2"/>
      <c r="F165" s="2"/>
      <c r="G165" s="5"/>
      <c r="H165" s="2"/>
      <c r="I165" s="2"/>
      <c r="J165" s="2"/>
      <c r="K165" s="2"/>
    </row>
    <row r="166" spans="3:11" x14ac:dyDescent="0.2">
      <c r="C166" s="2"/>
      <c r="D166" s="2"/>
      <c r="E166" s="2"/>
      <c r="F166" s="2"/>
      <c r="G166" s="5"/>
      <c r="H166" s="2"/>
      <c r="I166" s="2"/>
      <c r="J166" s="2"/>
      <c r="K166" s="2"/>
    </row>
    <row r="167" spans="3:11" x14ac:dyDescent="0.2">
      <c r="C167" s="2"/>
      <c r="D167" s="2"/>
      <c r="E167" s="2"/>
      <c r="F167" s="2"/>
      <c r="G167" s="5"/>
      <c r="H167" s="2"/>
      <c r="I167" s="2"/>
      <c r="J167" s="2"/>
      <c r="K167" s="2"/>
    </row>
    <row r="168" spans="3:11" x14ac:dyDescent="0.2">
      <c r="C168" s="2"/>
      <c r="D168" s="2"/>
      <c r="E168" s="2"/>
      <c r="F168" s="2"/>
      <c r="G168" s="5"/>
      <c r="H168" s="2"/>
      <c r="I168" s="2"/>
      <c r="J168" s="2"/>
      <c r="K168" s="2"/>
    </row>
    <row r="169" spans="3:11" x14ac:dyDescent="0.2">
      <c r="C169" s="2"/>
      <c r="D169" s="2"/>
      <c r="E169" s="2"/>
      <c r="F169" s="2"/>
      <c r="G169" s="5"/>
      <c r="H169" s="2"/>
      <c r="I169" s="2"/>
      <c r="J169" s="2"/>
      <c r="K169" s="2"/>
    </row>
    <row r="170" spans="3:11" x14ac:dyDescent="0.2">
      <c r="C170" s="2"/>
      <c r="D170" s="2"/>
      <c r="E170" s="2"/>
      <c r="F170" s="2"/>
      <c r="G170" s="5"/>
      <c r="H170" s="2"/>
      <c r="I170" s="2"/>
      <c r="J170" s="2"/>
      <c r="K170" s="2"/>
    </row>
    <row r="171" spans="3:11" x14ac:dyDescent="0.2">
      <c r="C171" s="2"/>
      <c r="D171" s="2"/>
      <c r="E171" s="2"/>
      <c r="F171" s="2"/>
      <c r="G171" s="5"/>
      <c r="H171" s="2"/>
      <c r="I171" s="2"/>
      <c r="J171" s="2"/>
      <c r="K171" s="2"/>
    </row>
    <row r="172" spans="3:11" x14ac:dyDescent="0.2">
      <c r="C172" s="2"/>
      <c r="D172" s="2"/>
      <c r="E172" s="2"/>
      <c r="F172" s="2"/>
      <c r="G172" s="5"/>
      <c r="H172" s="2"/>
      <c r="I172" s="2"/>
      <c r="J172" s="2"/>
      <c r="K172" s="2"/>
    </row>
    <row r="173" spans="3:11" x14ac:dyDescent="0.2">
      <c r="C173" s="2"/>
      <c r="D173" s="2"/>
      <c r="E173" s="2"/>
      <c r="F173" s="2"/>
      <c r="G173" s="5"/>
      <c r="H173" s="2"/>
      <c r="I173" s="2"/>
      <c r="J173" s="2"/>
      <c r="K173" s="2"/>
    </row>
    <row r="174" spans="3:11" x14ac:dyDescent="0.2">
      <c r="C174" s="2"/>
      <c r="D174" s="2"/>
      <c r="E174" s="2"/>
      <c r="F174" s="2"/>
      <c r="G174" s="5"/>
      <c r="H174" s="2"/>
      <c r="I174" s="2"/>
      <c r="J174" s="2"/>
      <c r="K174" s="2"/>
    </row>
    <row r="175" spans="3:11" x14ac:dyDescent="0.2">
      <c r="C175" s="2"/>
      <c r="D175" s="2"/>
      <c r="E175" s="2"/>
      <c r="F175" s="2"/>
      <c r="G175" s="5"/>
      <c r="H175" s="2"/>
      <c r="I175" s="2"/>
      <c r="J175" s="2"/>
      <c r="K175" s="2"/>
    </row>
    <row r="176" spans="3:11" x14ac:dyDescent="0.2">
      <c r="C176" s="2"/>
      <c r="D176" s="2"/>
      <c r="E176" s="2"/>
      <c r="F176" s="2"/>
      <c r="G176" s="5"/>
      <c r="H176" s="2"/>
      <c r="I176" s="2"/>
      <c r="J176" s="2"/>
      <c r="K176" s="2"/>
    </row>
    <row r="177" spans="3:11" x14ac:dyDescent="0.2">
      <c r="C177" s="2"/>
      <c r="D177" s="2"/>
      <c r="E177" s="2"/>
      <c r="F177" s="2"/>
      <c r="G177" s="5"/>
      <c r="H177" s="2"/>
      <c r="I177" s="2"/>
      <c r="J177" s="2"/>
      <c r="K177" s="2"/>
    </row>
    <row r="178" spans="3:11" x14ac:dyDescent="0.2">
      <c r="C178" s="2"/>
      <c r="D178" s="2"/>
      <c r="E178" s="2"/>
      <c r="F178" s="2"/>
      <c r="G178" s="5"/>
      <c r="H178" s="2"/>
      <c r="I178" s="2"/>
      <c r="J178" s="2"/>
      <c r="K178" s="2"/>
    </row>
    <row r="179" spans="3:11" x14ac:dyDescent="0.2">
      <c r="C179" s="2"/>
      <c r="D179" s="2"/>
      <c r="E179" s="2"/>
      <c r="F179" s="2"/>
      <c r="G179" s="5"/>
      <c r="H179" s="2"/>
      <c r="I179" s="2"/>
      <c r="J179" s="2"/>
      <c r="K179" s="2"/>
    </row>
    <row r="180" spans="3:11" x14ac:dyDescent="0.2">
      <c r="C180" s="2"/>
      <c r="D180" s="2"/>
      <c r="E180" s="2"/>
      <c r="F180" s="2"/>
      <c r="G180" s="5"/>
      <c r="H180" s="2"/>
      <c r="I180" s="2"/>
      <c r="J180" s="2"/>
      <c r="K180" s="2"/>
    </row>
    <row r="181" spans="3:11" x14ac:dyDescent="0.2">
      <c r="C181" s="2"/>
      <c r="D181" s="2"/>
      <c r="E181" s="2"/>
      <c r="F181" s="2"/>
      <c r="G181" s="5"/>
      <c r="H181" s="2"/>
      <c r="I181" s="2"/>
      <c r="J181" s="2"/>
      <c r="K181" s="2"/>
    </row>
    <row r="182" spans="3:11" x14ac:dyDescent="0.2">
      <c r="C182" s="2"/>
      <c r="D182" s="2"/>
      <c r="E182" s="2"/>
      <c r="F182" s="2"/>
      <c r="G182" s="5"/>
      <c r="H182" s="2"/>
      <c r="I182" s="2"/>
      <c r="J182" s="2"/>
      <c r="K182" s="2"/>
    </row>
    <row r="183" spans="3:11" x14ac:dyDescent="0.2">
      <c r="C183" s="2"/>
      <c r="D183" s="2"/>
      <c r="E183" s="2"/>
      <c r="F183" s="2"/>
      <c r="G183" s="5"/>
      <c r="H183" s="2"/>
      <c r="I183" s="2"/>
      <c r="J183" s="2"/>
      <c r="K183" s="2"/>
    </row>
    <row r="184" spans="3:11" x14ac:dyDescent="0.2">
      <c r="C184" s="2"/>
      <c r="D184" s="2"/>
      <c r="E184" s="2"/>
      <c r="F184" s="2"/>
      <c r="G184" s="5"/>
      <c r="H184" s="2"/>
      <c r="I184" s="2"/>
      <c r="J184" s="2"/>
      <c r="K184" s="2"/>
    </row>
    <row r="185" spans="3:11" x14ac:dyDescent="0.2">
      <c r="C185" s="2"/>
      <c r="D185" s="2"/>
      <c r="E185" s="2"/>
      <c r="F185" s="2"/>
      <c r="G185" s="5"/>
      <c r="H185" s="2"/>
      <c r="I185" s="2"/>
      <c r="J185" s="2"/>
      <c r="K185" s="2"/>
    </row>
    <row r="186" spans="3:11" x14ac:dyDescent="0.2">
      <c r="C186" s="2"/>
      <c r="D186" s="2"/>
      <c r="E186" s="2"/>
      <c r="F186" s="2"/>
      <c r="G186" s="5"/>
      <c r="H186" s="2"/>
      <c r="I186" s="2"/>
      <c r="J186" s="2"/>
      <c r="K186" s="2"/>
    </row>
    <row r="187" spans="3:11" x14ac:dyDescent="0.2">
      <c r="C187" s="2"/>
      <c r="D187" s="2"/>
      <c r="E187" s="2"/>
      <c r="F187" s="2"/>
      <c r="G187" s="5"/>
      <c r="H187" s="2"/>
      <c r="I187" s="2"/>
      <c r="J187" s="2"/>
      <c r="K187" s="2"/>
    </row>
    <row r="188" spans="3:11" x14ac:dyDescent="0.2">
      <c r="C188" s="2"/>
      <c r="D188" s="2"/>
      <c r="E188" s="2"/>
      <c r="F188" s="2"/>
      <c r="G188" s="5"/>
      <c r="H188" s="2"/>
      <c r="I188" s="2"/>
      <c r="J188" s="2"/>
      <c r="K188" s="2"/>
    </row>
    <row r="189" spans="3:11" x14ac:dyDescent="0.2">
      <c r="C189" s="2"/>
      <c r="D189" s="2"/>
      <c r="E189" s="2"/>
      <c r="F189" s="2"/>
      <c r="G189" s="5"/>
      <c r="H189" s="2"/>
      <c r="I189" s="2"/>
      <c r="J189" s="2"/>
      <c r="K189" s="2"/>
    </row>
    <row r="190" spans="3:11" x14ac:dyDescent="0.2">
      <c r="C190" s="2"/>
      <c r="D190" s="2"/>
      <c r="E190" s="2"/>
      <c r="F190" s="2"/>
      <c r="G190" s="5"/>
      <c r="H190" s="2"/>
      <c r="I190" s="2"/>
      <c r="J190" s="2"/>
      <c r="K190" s="2"/>
    </row>
    <row r="191" spans="3:11" x14ac:dyDescent="0.2">
      <c r="C191" s="2"/>
      <c r="D191" s="2"/>
      <c r="E191" s="2"/>
      <c r="F191" s="2"/>
      <c r="G191" s="5"/>
      <c r="H191" s="2"/>
      <c r="I191" s="2"/>
      <c r="J191" s="2"/>
      <c r="K191" s="2"/>
    </row>
    <row r="192" spans="3:11" x14ac:dyDescent="0.2">
      <c r="C192" s="2"/>
      <c r="D192" s="2"/>
      <c r="E192" s="2"/>
      <c r="F192" s="2"/>
      <c r="G192" s="5"/>
      <c r="H192" s="2"/>
      <c r="I192" s="2"/>
      <c r="J192" s="2"/>
      <c r="K192" s="2"/>
    </row>
    <row r="193" spans="3:11" x14ac:dyDescent="0.2">
      <c r="C193" s="2"/>
      <c r="D193" s="2"/>
      <c r="E193" s="2"/>
      <c r="F193" s="2"/>
      <c r="G193" s="5"/>
      <c r="H193" s="2"/>
      <c r="I193" s="2"/>
      <c r="J193" s="2"/>
      <c r="K193" s="2"/>
    </row>
    <row r="194" spans="3:11" x14ac:dyDescent="0.2">
      <c r="C194" s="2"/>
      <c r="D194" s="2"/>
      <c r="E194" s="2"/>
      <c r="F194" s="2"/>
      <c r="G194" s="5"/>
      <c r="H194" s="2"/>
      <c r="I194" s="2"/>
      <c r="J194" s="2"/>
      <c r="K194" s="2"/>
    </row>
    <row r="195" spans="3:11" x14ac:dyDescent="0.2">
      <c r="C195" s="2"/>
      <c r="D195" s="2"/>
      <c r="E195" s="2"/>
      <c r="F195" s="2"/>
      <c r="G195" s="5"/>
      <c r="H195" s="2"/>
      <c r="I195" s="2"/>
      <c r="J195" s="2"/>
      <c r="K195" s="2"/>
    </row>
    <row r="196" spans="3:11" x14ac:dyDescent="0.2">
      <c r="C196" s="2"/>
      <c r="D196" s="2"/>
      <c r="E196" s="2"/>
      <c r="F196" s="2"/>
      <c r="G196" s="5"/>
      <c r="H196" s="2"/>
      <c r="I196" s="2"/>
      <c r="J196" s="2"/>
      <c r="K196" s="2"/>
    </row>
    <row r="197" spans="3:11" x14ac:dyDescent="0.2">
      <c r="C197" s="2"/>
      <c r="D197" s="2"/>
      <c r="E197" s="2"/>
      <c r="F197" s="2"/>
      <c r="G197" s="5"/>
      <c r="H197" s="2"/>
      <c r="I197" s="2"/>
      <c r="J197" s="2"/>
      <c r="K197" s="2"/>
    </row>
    <row r="198" spans="3:11" x14ac:dyDescent="0.2">
      <c r="C198" s="2"/>
      <c r="D198" s="2"/>
      <c r="E198" s="2"/>
      <c r="F198" s="2"/>
      <c r="G198" s="5"/>
      <c r="H198" s="2"/>
      <c r="I198" s="2"/>
      <c r="J198" s="2"/>
      <c r="K198" s="2"/>
    </row>
    <row r="199" spans="3:11" x14ac:dyDescent="0.2">
      <c r="C199" s="2"/>
      <c r="D199" s="2"/>
      <c r="E199" s="2"/>
      <c r="F199" s="2"/>
      <c r="G199" s="5"/>
      <c r="H199" s="2"/>
      <c r="I199" s="2"/>
      <c r="J199" s="2"/>
      <c r="K199" s="2"/>
    </row>
    <row r="200" spans="3:11" x14ac:dyDescent="0.2">
      <c r="C200" s="2"/>
      <c r="D200" s="2"/>
      <c r="E200" s="2"/>
      <c r="F200" s="2"/>
      <c r="G200" s="5"/>
      <c r="H200" s="2"/>
      <c r="I200" s="2"/>
      <c r="J200" s="2"/>
      <c r="K200" s="2"/>
    </row>
    <row r="201" spans="3:11" x14ac:dyDescent="0.2">
      <c r="C201" s="2"/>
      <c r="D201" s="2"/>
      <c r="E201" s="2"/>
      <c r="F201" s="2"/>
      <c r="G201" s="5"/>
      <c r="H201" s="2"/>
      <c r="I201" s="2"/>
      <c r="J201" s="2"/>
      <c r="K201" s="2"/>
    </row>
    <row r="202" spans="3:11" x14ac:dyDescent="0.2">
      <c r="C202" s="2"/>
      <c r="D202" s="2"/>
      <c r="E202" s="2"/>
      <c r="F202" s="2"/>
      <c r="G202" s="5"/>
      <c r="H202" s="2"/>
      <c r="I202" s="2"/>
      <c r="J202" s="2"/>
      <c r="K202" s="2"/>
    </row>
    <row r="203" spans="3:11" x14ac:dyDescent="0.2">
      <c r="C203" s="2"/>
      <c r="D203" s="2"/>
      <c r="E203" s="2"/>
      <c r="F203" s="2"/>
      <c r="G203" s="5"/>
      <c r="H203" s="2"/>
      <c r="I203" s="2"/>
      <c r="J203" s="2"/>
      <c r="K203" s="2"/>
    </row>
    <row r="204" spans="3:11" x14ac:dyDescent="0.2">
      <c r="C204" s="2"/>
      <c r="D204" s="2"/>
      <c r="E204" s="2"/>
      <c r="F204" s="2"/>
      <c r="G204" s="5"/>
      <c r="H204" s="2"/>
      <c r="I204" s="2"/>
      <c r="J204" s="2"/>
      <c r="K204" s="2"/>
    </row>
    <row r="205" spans="3:11" x14ac:dyDescent="0.2">
      <c r="C205" s="2"/>
      <c r="D205" s="2"/>
      <c r="E205" s="2"/>
      <c r="F205" s="2"/>
      <c r="G205" s="5"/>
      <c r="H205" s="2"/>
      <c r="I205" s="2"/>
      <c r="J205" s="2"/>
      <c r="K205" s="2"/>
    </row>
    <row r="206" spans="3:11" x14ac:dyDescent="0.2">
      <c r="C206" s="2"/>
      <c r="D206" s="2"/>
      <c r="E206" s="2"/>
      <c r="F206" s="2"/>
      <c r="G206" s="5"/>
      <c r="H206" s="2"/>
      <c r="I206" s="2"/>
      <c r="J206" s="2"/>
      <c r="K206" s="2"/>
    </row>
    <row r="207" spans="3:11" x14ac:dyDescent="0.2">
      <c r="C207" s="2"/>
      <c r="D207" s="2"/>
      <c r="E207" s="2"/>
      <c r="F207" s="2"/>
      <c r="G207" s="5"/>
      <c r="H207" s="2"/>
      <c r="I207" s="2"/>
      <c r="J207" s="2"/>
      <c r="K207" s="2"/>
    </row>
    <row r="208" spans="3:11" x14ac:dyDescent="0.2">
      <c r="C208" s="2"/>
      <c r="D208" s="2"/>
      <c r="E208" s="2"/>
      <c r="F208" s="2"/>
      <c r="G208" s="5"/>
      <c r="H208" s="2"/>
      <c r="I208" s="2"/>
      <c r="J208" s="2"/>
      <c r="K208" s="2"/>
    </row>
    <row r="209" spans="3:11" x14ac:dyDescent="0.2">
      <c r="C209" s="2"/>
      <c r="D209" s="2"/>
      <c r="E209" s="2"/>
      <c r="F209" s="2"/>
      <c r="G209" s="5"/>
      <c r="H209" s="2"/>
      <c r="I209" s="2"/>
      <c r="J209" s="2"/>
      <c r="K209" s="2"/>
    </row>
    <row r="210" spans="3:11" x14ac:dyDescent="0.2">
      <c r="C210" s="2"/>
      <c r="D210" s="2"/>
      <c r="E210" s="2"/>
      <c r="F210" s="2"/>
      <c r="G210" s="5"/>
      <c r="H210" s="2"/>
      <c r="I210" s="2"/>
      <c r="J210" s="2"/>
      <c r="K210" s="2"/>
    </row>
    <row r="211" spans="3:11" x14ac:dyDescent="0.2">
      <c r="C211" s="2"/>
      <c r="D211" s="2"/>
      <c r="E211" s="2"/>
      <c r="F211" s="2"/>
      <c r="G211" s="5"/>
      <c r="H211" s="2"/>
      <c r="I211" s="2"/>
      <c r="J211" s="2"/>
      <c r="K211" s="2"/>
    </row>
    <row r="212" spans="3:11" x14ac:dyDescent="0.2">
      <c r="C212" s="2"/>
      <c r="D212" s="2"/>
      <c r="E212" s="2"/>
      <c r="F212" s="2"/>
      <c r="G212" s="5"/>
      <c r="H212" s="2"/>
      <c r="I212" s="2"/>
      <c r="J212" s="2"/>
      <c r="K212" s="2"/>
    </row>
    <row r="213" spans="3:11" x14ac:dyDescent="0.2">
      <c r="C213" s="2"/>
      <c r="D213" s="2"/>
      <c r="E213" s="2"/>
      <c r="F213" s="2"/>
      <c r="G213" s="5"/>
      <c r="H213" s="2"/>
      <c r="I213" s="2"/>
      <c r="J213" s="2"/>
      <c r="K213" s="2"/>
    </row>
    <row r="214" spans="3:11" x14ac:dyDescent="0.2">
      <c r="C214" s="2"/>
      <c r="D214" s="2"/>
      <c r="E214" s="2"/>
      <c r="F214" s="2"/>
      <c r="G214" s="5"/>
      <c r="H214" s="2"/>
      <c r="I214" s="2"/>
      <c r="J214" s="2"/>
      <c r="K214" s="2"/>
    </row>
    <row r="215" spans="3:11" x14ac:dyDescent="0.2">
      <c r="C215" s="2"/>
      <c r="D215" s="2"/>
      <c r="E215" s="2"/>
      <c r="F215" s="2"/>
      <c r="G215" s="5"/>
      <c r="H215" s="2"/>
      <c r="I215" s="2"/>
      <c r="J215" s="2"/>
      <c r="K215" s="2"/>
    </row>
    <row r="216" spans="3:11" x14ac:dyDescent="0.2">
      <c r="C216" s="2"/>
      <c r="D216" s="2"/>
      <c r="E216" s="2"/>
      <c r="F216" s="2"/>
      <c r="G216" s="5"/>
      <c r="H216" s="2"/>
      <c r="I216" s="2"/>
      <c r="J216" s="2"/>
      <c r="K216" s="2"/>
    </row>
    <row r="217" spans="3:11" x14ac:dyDescent="0.2">
      <c r="C217" s="2"/>
      <c r="D217" s="2"/>
      <c r="E217" s="2"/>
      <c r="F217" s="2"/>
      <c r="G217" s="5"/>
      <c r="H217" s="2"/>
      <c r="I217" s="2"/>
      <c r="J217" s="2"/>
      <c r="K217" s="2"/>
    </row>
    <row r="218" spans="3:11" x14ac:dyDescent="0.2">
      <c r="C218" s="2"/>
      <c r="D218" s="2"/>
      <c r="E218" s="2"/>
      <c r="F218" s="2"/>
      <c r="G218" s="5"/>
      <c r="H218" s="2"/>
      <c r="I218" s="2"/>
      <c r="J218" s="2"/>
      <c r="K218" s="2"/>
    </row>
    <row r="219" spans="3:11" x14ac:dyDescent="0.2">
      <c r="C219" s="2"/>
      <c r="D219" s="2"/>
      <c r="E219" s="2"/>
      <c r="F219" s="2"/>
      <c r="G219" s="5"/>
      <c r="H219" s="2"/>
      <c r="I219" s="2"/>
      <c r="J219" s="2"/>
      <c r="K219" s="2"/>
    </row>
    <row r="220" spans="3:11" x14ac:dyDescent="0.2">
      <c r="C220" s="2"/>
      <c r="D220" s="2"/>
      <c r="E220" s="2"/>
      <c r="F220" s="2"/>
      <c r="G220" s="5"/>
      <c r="H220" s="2"/>
      <c r="I220" s="2"/>
      <c r="J220" s="2"/>
      <c r="K220" s="2"/>
    </row>
    <row r="221" spans="3:11" x14ac:dyDescent="0.2">
      <c r="C221" s="2"/>
      <c r="D221" s="2"/>
      <c r="E221" s="2"/>
      <c r="F221" s="2"/>
      <c r="G221" s="5"/>
      <c r="H221" s="2"/>
      <c r="I221" s="2"/>
      <c r="J221" s="2"/>
      <c r="K221" s="2"/>
    </row>
    <row r="222" spans="3:11" x14ac:dyDescent="0.2">
      <c r="C222" s="2"/>
      <c r="D222" s="2"/>
      <c r="E222" s="2"/>
      <c r="F222" s="2"/>
      <c r="G222" s="5"/>
      <c r="H222" s="2"/>
      <c r="I222" s="2"/>
      <c r="J222" s="2"/>
      <c r="K222" s="2"/>
    </row>
    <row r="223" spans="3:11" x14ac:dyDescent="0.2">
      <c r="C223" s="2"/>
      <c r="D223" s="2"/>
      <c r="E223" s="2"/>
      <c r="F223" s="2"/>
      <c r="G223" s="5"/>
      <c r="H223" s="2"/>
      <c r="I223" s="2"/>
      <c r="J223" s="2"/>
      <c r="K223" s="2"/>
    </row>
    <row r="224" spans="3:11" x14ac:dyDescent="0.2">
      <c r="C224" s="2"/>
      <c r="D224" s="2"/>
      <c r="E224" s="2"/>
      <c r="F224" s="2"/>
      <c r="G224" s="5"/>
      <c r="H224" s="2"/>
      <c r="I224" s="2"/>
      <c r="J224" s="2"/>
      <c r="K224" s="2"/>
    </row>
    <row r="225" spans="3:11" x14ac:dyDescent="0.2">
      <c r="C225" s="2"/>
      <c r="D225" s="2"/>
      <c r="E225" s="2"/>
      <c r="F225" s="2"/>
      <c r="G225" s="5"/>
      <c r="H225" s="2"/>
      <c r="I225" s="2"/>
      <c r="J225" s="2"/>
      <c r="K225" s="2"/>
    </row>
    <row r="226" spans="3:11" x14ac:dyDescent="0.2">
      <c r="C226" s="2"/>
      <c r="D226" s="2"/>
      <c r="E226" s="2"/>
      <c r="F226" s="2"/>
      <c r="G226" s="5"/>
      <c r="H226" s="2"/>
      <c r="I226" s="2"/>
      <c r="J226" s="2"/>
      <c r="K226" s="2"/>
    </row>
    <row r="227" spans="3:11" x14ac:dyDescent="0.2">
      <c r="C227" s="2"/>
      <c r="D227" s="2"/>
      <c r="E227" s="2"/>
      <c r="F227" s="2"/>
      <c r="G227" s="5"/>
      <c r="H227" s="2"/>
      <c r="I227" s="2"/>
      <c r="J227" s="2"/>
      <c r="K227" s="2"/>
    </row>
    <row r="228" spans="3:11" x14ac:dyDescent="0.2">
      <c r="C228" s="2"/>
      <c r="D228" s="2"/>
      <c r="E228" s="2"/>
      <c r="F228" s="2"/>
      <c r="G228" s="5"/>
      <c r="H228" s="2"/>
      <c r="I228" s="2"/>
      <c r="J228" s="2"/>
      <c r="K228" s="2"/>
    </row>
    <row r="229" spans="3:11" x14ac:dyDescent="0.2">
      <c r="C229" s="2"/>
      <c r="D229" s="2"/>
      <c r="E229" s="2"/>
      <c r="F229" s="2"/>
      <c r="G229" s="5"/>
      <c r="H229" s="2"/>
      <c r="I229" s="2"/>
      <c r="J229" s="2"/>
      <c r="K229" s="2"/>
    </row>
    <row r="230" spans="3:11" x14ac:dyDescent="0.2">
      <c r="C230" s="2"/>
      <c r="D230" s="2"/>
      <c r="E230" s="2"/>
      <c r="F230" s="2"/>
      <c r="G230" s="5"/>
      <c r="H230" s="2"/>
      <c r="I230" s="2"/>
      <c r="J230" s="2"/>
      <c r="K230" s="2"/>
    </row>
    <row r="231" spans="3:11" x14ac:dyDescent="0.2">
      <c r="C231" s="2"/>
      <c r="D231" s="2"/>
      <c r="E231" s="2"/>
      <c r="F231" s="2"/>
      <c r="G231" s="5"/>
      <c r="H231" s="2"/>
      <c r="I231" s="2"/>
      <c r="J231" s="2"/>
      <c r="K231" s="2"/>
    </row>
    <row r="232" spans="3:11" x14ac:dyDescent="0.2">
      <c r="C232" s="2"/>
      <c r="D232" s="2"/>
      <c r="E232" s="2"/>
      <c r="F232" s="2"/>
      <c r="G232" s="5"/>
      <c r="H232" s="2"/>
      <c r="I232" s="2"/>
      <c r="J232" s="2"/>
      <c r="K232" s="2"/>
    </row>
    <row r="233" spans="3:11" x14ac:dyDescent="0.2">
      <c r="C233" s="2"/>
      <c r="D233" s="2"/>
      <c r="E233" s="2"/>
      <c r="F233" s="2"/>
      <c r="G233" s="5"/>
      <c r="H233" s="2"/>
      <c r="I233" s="2"/>
      <c r="J233" s="2"/>
      <c r="K233" s="2"/>
    </row>
    <row r="234" spans="3:11" x14ac:dyDescent="0.2">
      <c r="C234" s="2"/>
      <c r="D234" s="2"/>
      <c r="E234" s="2"/>
      <c r="F234" s="2"/>
      <c r="G234" s="5"/>
      <c r="H234" s="2"/>
      <c r="I234" s="2"/>
      <c r="J234" s="2"/>
      <c r="K234" s="2"/>
    </row>
    <row r="235" spans="3:11" x14ac:dyDescent="0.2">
      <c r="C235" s="2"/>
      <c r="D235" s="2"/>
      <c r="E235" s="2"/>
      <c r="F235" s="2"/>
      <c r="G235" s="5"/>
      <c r="H235" s="2"/>
      <c r="I235" s="2"/>
      <c r="J235" s="2"/>
      <c r="K235" s="2"/>
    </row>
    <row r="236" spans="3:11" x14ac:dyDescent="0.2">
      <c r="C236" s="2"/>
      <c r="D236" s="2"/>
      <c r="E236" s="2"/>
      <c r="F236" s="2"/>
      <c r="G236" s="5"/>
      <c r="H236" s="2"/>
      <c r="I236" s="2"/>
      <c r="J236" s="2"/>
      <c r="K236" s="2"/>
    </row>
    <row r="237" spans="3:11" x14ac:dyDescent="0.2">
      <c r="C237" s="2"/>
      <c r="D237" s="2"/>
      <c r="E237" s="2"/>
      <c r="F237" s="2"/>
      <c r="G237" s="5"/>
      <c r="H237" s="2"/>
      <c r="I237" s="2"/>
      <c r="J237" s="2"/>
      <c r="K237" s="2"/>
    </row>
    <row r="238" spans="3:11" x14ac:dyDescent="0.2">
      <c r="C238" s="2"/>
      <c r="D238" s="2"/>
      <c r="E238" s="2"/>
      <c r="F238" s="2"/>
      <c r="G238" s="5"/>
      <c r="H238" s="2"/>
      <c r="I238" s="2"/>
      <c r="J238" s="2"/>
      <c r="K238" s="2"/>
    </row>
    <row r="239" spans="3:11" x14ac:dyDescent="0.2">
      <c r="C239" s="2"/>
      <c r="D239" s="2"/>
      <c r="E239" s="2"/>
      <c r="F239" s="2"/>
      <c r="G239" s="5"/>
      <c r="H239" s="2"/>
      <c r="I239" s="2"/>
      <c r="J239" s="2"/>
      <c r="K239" s="2"/>
    </row>
    <row r="240" spans="3:11" x14ac:dyDescent="0.2">
      <c r="C240" s="2"/>
      <c r="D240" s="2"/>
      <c r="E240" s="2"/>
      <c r="F240" s="2"/>
      <c r="G240" s="5"/>
      <c r="H240" s="2"/>
      <c r="I240" s="2"/>
      <c r="J240" s="2"/>
      <c r="K240" s="2"/>
    </row>
    <row r="241" spans="3:11" x14ac:dyDescent="0.2">
      <c r="C241" s="2"/>
      <c r="D241" s="2"/>
      <c r="E241" s="2"/>
      <c r="F241" s="2"/>
      <c r="G241" s="5"/>
      <c r="H241" s="2"/>
      <c r="I241" s="2"/>
      <c r="J241" s="2"/>
      <c r="K241" s="2"/>
    </row>
    <row r="242" spans="3:11" x14ac:dyDescent="0.2">
      <c r="C242" s="2"/>
      <c r="D242" s="2"/>
      <c r="E242" s="2"/>
      <c r="F242" s="2"/>
      <c r="G242" s="5"/>
      <c r="H242" s="2"/>
      <c r="I242" s="2"/>
      <c r="J242" s="2"/>
      <c r="K242" s="2"/>
    </row>
    <row r="243" spans="3:11" x14ac:dyDescent="0.2">
      <c r="C243" s="2"/>
      <c r="D243" s="2"/>
      <c r="E243" s="2"/>
      <c r="F243" s="2"/>
      <c r="G243" s="5"/>
      <c r="H243" s="2"/>
      <c r="I243" s="2"/>
      <c r="J243" s="2"/>
      <c r="K243" s="2"/>
    </row>
    <row r="244" spans="3:11" x14ac:dyDescent="0.2">
      <c r="C244" s="2"/>
      <c r="D244" s="2"/>
      <c r="E244" s="2"/>
      <c r="F244" s="2"/>
      <c r="G244" s="5"/>
      <c r="H244" s="2"/>
      <c r="I244" s="2"/>
      <c r="J244" s="2"/>
      <c r="K244" s="2"/>
    </row>
    <row r="245" spans="3:11" x14ac:dyDescent="0.2">
      <c r="C245" s="2"/>
      <c r="D245" s="2"/>
      <c r="E245" s="2"/>
      <c r="F245" s="2"/>
      <c r="G245" s="5"/>
      <c r="H245" s="2"/>
      <c r="I245" s="2"/>
      <c r="J245" s="2"/>
      <c r="K245" s="2"/>
    </row>
    <row r="246" spans="3:11" x14ac:dyDescent="0.2">
      <c r="C246" s="2"/>
      <c r="D246" s="2"/>
      <c r="E246" s="2"/>
      <c r="F246" s="2"/>
      <c r="G246" s="5"/>
      <c r="H246" s="2"/>
      <c r="I246" s="2"/>
      <c r="J246" s="2"/>
      <c r="K246" s="2"/>
    </row>
    <row r="247" spans="3:11" x14ac:dyDescent="0.2">
      <c r="C247" s="2"/>
      <c r="D247" s="2"/>
      <c r="E247" s="2"/>
      <c r="F247" s="2"/>
      <c r="G247" s="5"/>
      <c r="H247" s="2"/>
      <c r="I247" s="2"/>
      <c r="J247" s="2"/>
      <c r="K247" s="2"/>
    </row>
    <row r="248" spans="3:11" x14ac:dyDescent="0.2">
      <c r="C248" s="2"/>
      <c r="D248" s="2"/>
      <c r="E248" s="2"/>
      <c r="F248" s="2"/>
      <c r="G248" s="5"/>
      <c r="H248" s="2"/>
      <c r="I248" s="2"/>
      <c r="J248" s="2"/>
      <c r="K248" s="2"/>
    </row>
    <row r="249" spans="3:11" x14ac:dyDescent="0.2">
      <c r="C249" s="2"/>
      <c r="D249" s="2"/>
      <c r="E249" s="2"/>
      <c r="F249" s="2"/>
      <c r="G249" s="5"/>
      <c r="H249" s="2"/>
      <c r="I249" s="2"/>
      <c r="J249" s="2"/>
      <c r="K249" s="2"/>
    </row>
    <row r="250" spans="3:11" x14ac:dyDescent="0.2">
      <c r="C250" s="2"/>
      <c r="D250" s="2"/>
      <c r="E250" s="2"/>
      <c r="F250" s="2"/>
      <c r="G250" s="5"/>
      <c r="H250" s="2"/>
      <c r="I250" s="2"/>
      <c r="J250" s="2"/>
      <c r="K250" s="2"/>
    </row>
    <row r="251" spans="3:11" x14ac:dyDescent="0.2">
      <c r="C251" s="2"/>
      <c r="D251" s="2"/>
      <c r="E251" s="2"/>
      <c r="F251" s="2"/>
      <c r="G251" s="5"/>
      <c r="H251" s="2"/>
      <c r="I251" s="2"/>
      <c r="J251" s="2"/>
      <c r="K251" s="2"/>
    </row>
    <row r="252" spans="3:11" x14ac:dyDescent="0.2">
      <c r="C252" s="2"/>
      <c r="D252" s="2"/>
      <c r="E252" s="2"/>
      <c r="F252" s="2"/>
      <c r="G252" s="5"/>
      <c r="H252" s="2"/>
      <c r="I252" s="2"/>
      <c r="J252" s="2"/>
      <c r="K252" s="2"/>
    </row>
    <row r="253" spans="3:11" x14ac:dyDescent="0.2">
      <c r="C253" s="2"/>
      <c r="D253" s="2"/>
      <c r="E253" s="2"/>
      <c r="F253" s="2"/>
      <c r="G253" s="5"/>
      <c r="H253" s="2"/>
      <c r="I253" s="2"/>
      <c r="J253" s="2"/>
      <c r="K253" s="2"/>
    </row>
    <row r="254" spans="3:11" x14ac:dyDescent="0.2">
      <c r="C254" s="2"/>
      <c r="D254" s="2"/>
      <c r="E254" s="2"/>
      <c r="F254" s="2"/>
      <c r="G254" s="5"/>
      <c r="H254" s="2"/>
      <c r="I254" s="2"/>
      <c r="J254" s="2"/>
      <c r="K254" s="2"/>
    </row>
    <row r="255" spans="3:11" x14ac:dyDescent="0.2">
      <c r="C255" s="2"/>
      <c r="D255" s="2"/>
      <c r="E255" s="2"/>
      <c r="F255" s="2"/>
      <c r="G255" s="5"/>
      <c r="H255" s="2"/>
      <c r="I255" s="2"/>
      <c r="J255" s="2"/>
      <c r="K255" s="2"/>
    </row>
    <row r="256" spans="3:11" x14ac:dyDescent="0.2">
      <c r="C256" s="2"/>
      <c r="D256" s="2"/>
      <c r="E256" s="2"/>
      <c r="F256" s="2"/>
      <c r="G256" s="5"/>
      <c r="H256" s="2"/>
      <c r="I256" s="2"/>
      <c r="J256" s="2"/>
      <c r="K256" s="2"/>
    </row>
    <row r="257" spans="3:11" x14ac:dyDescent="0.2">
      <c r="C257" s="2"/>
      <c r="D257" s="2"/>
      <c r="E257" s="2"/>
      <c r="F257" s="2"/>
      <c r="G257" s="5"/>
      <c r="H257" s="2"/>
      <c r="I257" s="2"/>
      <c r="J257" s="2"/>
      <c r="K257" s="2"/>
    </row>
    <row r="258" spans="3:11" x14ac:dyDescent="0.2">
      <c r="C258" s="2"/>
      <c r="D258" s="2"/>
      <c r="E258" s="2"/>
      <c r="F258" s="2"/>
      <c r="G258" s="5"/>
      <c r="H258" s="2"/>
      <c r="I258" s="2"/>
      <c r="J258" s="2"/>
      <c r="K258" s="2"/>
    </row>
    <row r="259" spans="3:11" x14ac:dyDescent="0.2">
      <c r="C259" s="2"/>
      <c r="D259" s="2"/>
      <c r="E259" s="2"/>
      <c r="F259" s="2"/>
      <c r="G259" s="5"/>
      <c r="H259" s="2"/>
      <c r="I259" s="2"/>
      <c r="J259" s="2"/>
      <c r="K259" s="2"/>
    </row>
    <row r="260" spans="3:11" x14ac:dyDescent="0.2">
      <c r="C260" s="2"/>
      <c r="D260" s="2"/>
      <c r="E260" s="2"/>
      <c r="F260" s="2"/>
      <c r="G260" s="5"/>
      <c r="H260" s="2"/>
      <c r="I260" s="2"/>
      <c r="J260" s="2"/>
      <c r="K260" s="2"/>
    </row>
    <row r="261" spans="3:11" x14ac:dyDescent="0.2">
      <c r="C261" s="2"/>
      <c r="D261" s="2"/>
      <c r="E261" s="2"/>
      <c r="F261" s="2"/>
      <c r="G261" s="5"/>
      <c r="H261" s="2"/>
      <c r="I261" s="2"/>
      <c r="J261" s="2"/>
      <c r="K261" s="2"/>
    </row>
    <row r="262" spans="3:11" x14ac:dyDescent="0.2">
      <c r="C262" s="2"/>
      <c r="D262" s="2"/>
      <c r="E262" s="2"/>
      <c r="F262" s="2"/>
      <c r="G262" s="5"/>
      <c r="H262" s="2"/>
      <c r="I262" s="2"/>
      <c r="J262" s="2"/>
      <c r="K262" s="2"/>
    </row>
    <row r="263" spans="3:11" x14ac:dyDescent="0.2">
      <c r="C263" s="2"/>
      <c r="D263" s="2"/>
      <c r="E263" s="2"/>
      <c r="F263" s="2"/>
      <c r="G263" s="5"/>
      <c r="H263" s="2"/>
      <c r="I263" s="2"/>
      <c r="J263" s="2"/>
      <c r="K263" s="2"/>
    </row>
    <row r="264" spans="3:11" x14ac:dyDescent="0.2">
      <c r="C264" s="2"/>
      <c r="D264" s="2"/>
      <c r="E264" s="2"/>
      <c r="F264" s="2"/>
      <c r="G264" s="5"/>
      <c r="H264" s="2"/>
      <c r="I264" s="2"/>
      <c r="J264" s="2"/>
      <c r="K264" s="2"/>
    </row>
    <row r="265" spans="3:11" x14ac:dyDescent="0.2">
      <c r="C265" s="2"/>
      <c r="D265" s="2"/>
      <c r="E265" s="2"/>
      <c r="F265" s="2"/>
      <c r="G265" s="5"/>
      <c r="H265" s="2"/>
      <c r="I265" s="2"/>
      <c r="J265" s="2"/>
      <c r="K265" s="2"/>
    </row>
    <row r="266" spans="3:11" x14ac:dyDescent="0.2">
      <c r="C266" s="2"/>
      <c r="D266" s="2"/>
      <c r="E266" s="2"/>
      <c r="F266" s="2"/>
      <c r="G266" s="5"/>
      <c r="H266" s="2"/>
      <c r="I266" s="2"/>
      <c r="J266" s="2"/>
      <c r="K266" s="2"/>
    </row>
    <row r="267" spans="3:11" x14ac:dyDescent="0.2">
      <c r="C267" s="2"/>
      <c r="D267" s="2"/>
      <c r="E267" s="2"/>
      <c r="F267" s="2"/>
      <c r="G267" s="5"/>
      <c r="H267" s="2"/>
      <c r="I267" s="2"/>
      <c r="J267" s="2"/>
      <c r="K267" s="2"/>
    </row>
    <row r="268" spans="3:11" x14ac:dyDescent="0.2">
      <c r="C268" s="2"/>
      <c r="D268" s="2"/>
      <c r="E268" s="2"/>
      <c r="F268" s="2"/>
      <c r="G268" s="5"/>
      <c r="H268" s="2"/>
      <c r="I268" s="2"/>
      <c r="J268" s="2"/>
      <c r="K268" s="2"/>
    </row>
    <row r="269" spans="3:11" x14ac:dyDescent="0.2">
      <c r="C269" s="2"/>
      <c r="D269" s="2"/>
      <c r="E269" s="2"/>
      <c r="F269" s="2"/>
      <c r="G269" s="5"/>
      <c r="H269" s="2"/>
      <c r="I269" s="2"/>
      <c r="J269" s="2"/>
      <c r="K269" s="2"/>
    </row>
    <row r="270" spans="3:11" x14ac:dyDescent="0.2">
      <c r="C270" s="2"/>
      <c r="D270" s="2"/>
      <c r="E270" s="2"/>
      <c r="F270" s="2"/>
      <c r="G270" s="5"/>
      <c r="H270" s="2"/>
      <c r="I270" s="2"/>
      <c r="J270" s="2"/>
      <c r="K270" s="2"/>
    </row>
    <row r="271" spans="3:11" x14ac:dyDescent="0.2">
      <c r="C271" s="2"/>
      <c r="D271" s="2"/>
      <c r="E271" s="2"/>
      <c r="F271" s="2"/>
      <c r="G271" s="5"/>
      <c r="H271" s="2"/>
      <c r="I271" s="2"/>
      <c r="J271" s="2"/>
      <c r="K271" s="2"/>
    </row>
    <row r="272" spans="3:11" x14ac:dyDescent="0.2">
      <c r="C272" s="2"/>
      <c r="D272" s="2"/>
      <c r="E272" s="2"/>
      <c r="F272" s="2"/>
      <c r="G272" s="5"/>
      <c r="H272" s="2"/>
      <c r="I272" s="2"/>
      <c r="J272" s="2"/>
      <c r="K272" s="2"/>
    </row>
    <row r="273" spans="3:11" x14ac:dyDescent="0.2">
      <c r="C273" s="2"/>
      <c r="D273" s="2"/>
      <c r="E273" s="2"/>
      <c r="F273" s="2"/>
      <c r="G273" s="5"/>
      <c r="H273" s="2"/>
      <c r="I273" s="2"/>
      <c r="J273" s="2"/>
      <c r="K273" s="2"/>
    </row>
    <row r="274" spans="3:11" x14ac:dyDescent="0.2">
      <c r="C274" s="2"/>
      <c r="D274" s="2"/>
      <c r="E274" s="2"/>
      <c r="F274" s="2"/>
      <c r="G274" s="5"/>
      <c r="H274" s="2"/>
      <c r="I274" s="2"/>
      <c r="J274" s="2"/>
      <c r="K274" s="2"/>
    </row>
    <row r="275" spans="3:11" x14ac:dyDescent="0.2">
      <c r="C275" s="2"/>
      <c r="D275" s="2"/>
      <c r="E275" s="2"/>
      <c r="F275" s="2"/>
      <c r="G275" s="5"/>
      <c r="H275" s="2"/>
      <c r="I275" s="2"/>
      <c r="J275" s="2"/>
      <c r="K275" s="2"/>
    </row>
    <row r="276" spans="3:11" x14ac:dyDescent="0.2">
      <c r="C276" s="2"/>
      <c r="D276" s="2"/>
      <c r="E276" s="2"/>
      <c r="F276" s="2"/>
      <c r="G276" s="5"/>
      <c r="H276" s="2"/>
      <c r="I276" s="2"/>
      <c r="J276" s="2"/>
      <c r="K276" s="2"/>
    </row>
    <row r="277" spans="3:11" x14ac:dyDescent="0.2">
      <c r="C277" s="2"/>
      <c r="D277" s="2"/>
      <c r="E277" s="2"/>
      <c r="F277" s="2"/>
      <c r="G277" s="5"/>
      <c r="H277" s="2"/>
      <c r="I277" s="2"/>
      <c r="J277" s="2"/>
      <c r="K277" s="2"/>
    </row>
    <row r="278" spans="3:11" x14ac:dyDescent="0.2">
      <c r="C278" s="2"/>
      <c r="D278" s="2"/>
      <c r="E278" s="2"/>
      <c r="F278" s="2"/>
      <c r="G278" s="5"/>
      <c r="H278" s="2"/>
      <c r="I278" s="2"/>
      <c r="J278" s="2"/>
      <c r="K278" s="2"/>
    </row>
    <row r="279" spans="3:11" x14ac:dyDescent="0.2">
      <c r="C279" s="2"/>
      <c r="D279" s="2"/>
      <c r="E279" s="2"/>
      <c r="F279" s="2"/>
      <c r="G279" s="5"/>
      <c r="H279" s="2"/>
      <c r="I279" s="2"/>
      <c r="J279" s="2"/>
      <c r="K279" s="2"/>
    </row>
    <row r="280" spans="3:11" x14ac:dyDescent="0.2">
      <c r="C280" s="2"/>
      <c r="D280" s="2"/>
      <c r="E280" s="2"/>
      <c r="F280" s="2"/>
      <c r="G280" s="5"/>
      <c r="H280" s="2"/>
      <c r="I280" s="2"/>
      <c r="J280" s="2"/>
      <c r="K280" s="2"/>
    </row>
    <row r="281" spans="3:11" x14ac:dyDescent="0.2">
      <c r="C281" s="2"/>
      <c r="D281" s="2"/>
      <c r="E281" s="2"/>
      <c r="F281" s="2"/>
      <c r="G281" s="5"/>
      <c r="H281" s="2"/>
      <c r="I281" s="2"/>
      <c r="J281" s="2"/>
      <c r="K281" s="2"/>
    </row>
    <row r="282" spans="3:11" x14ac:dyDescent="0.2">
      <c r="C282" s="2"/>
      <c r="D282" s="2"/>
      <c r="E282" s="2"/>
      <c r="F282" s="2"/>
      <c r="G282" s="5"/>
      <c r="H282" s="2"/>
      <c r="I282" s="2"/>
      <c r="J282" s="2"/>
      <c r="K282" s="2"/>
    </row>
    <row r="283" spans="3:11" x14ac:dyDescent="0.2">
      <c r="C283" s="2"/>
      <c r="D283" s="2"/>
      <c r="E283" s="2"/>
      <c r="F283" s="2"/>
      <c r="G283" s="5"/>
      <c r="H283" s="2"/>
      <c r="I283" s="2"/>
      <c r="J283" s="2"/>
      <c r="K283" s="2"/>
    </row>
    <row r="284" spans="3:11" x14ac:dyDescent="0.2">
      <c r="C284" s="2"/>
      <c r="D284" s="2"/>
      <c r="E284" s="2"/>
      <c r="F284" s="2"/>
      <c r="G284" s="5"/>
      <c r="H284" s="2"/>
      <c r="I284" s="2"/>
      <c r="J284" s="2"/>
      <c r="K284" s="2"/>
    </row>
    <row r="285" spans="3:11" x14ac:dyDescent="0.2">
      <c r="C285" s="2"/>
      <c r="D285" s="2"/>
      <c r="E285" s="2"/>
      <c r="F285" s="2"/>
      <c r="G285" s="5"/>
      <c r="H285" s="2"/>
      <c r="I285" s="2"/>
      <c r="J285" s="2"/>
      <c r="K285" s="2"/>
    </row>
    <row r="286" spans="3:11" x14ac:dyDescent="0.2">
      <c r="C286" s="2"/>
      <c r="D286" s="2"/>
      <c r="E286" s="2"/>
      <c r="F286" s="2"/>
      <c r="G286" s="5"/>
      <c r="H286" s="2"/>
      <c r="I286" s="2"/>
      <c r="J286" s="2"/>
      <c r="K286" s="2"/>
    </row>
    <row r="287" spans="3:11" x14ac:dyDescent="0.2">
      <c r="C287" s="2"/>
      <c r="D287" s="2"/>
      <c r="E287" s="2"/>
      <c r="F287" s="2"/>
      <c r="G287" s="5"/>
      <c r="H287" s="2"/>
      <c r="I287" s="2"/>
      <c r="J287" s="2"/>
      <c r="K287" s="2"/>
    </row>
    <row r="288" spans="3:11" x14ac:dyDescent="0.2">
      <c r="C288" s="2"/>
      <c r="D288" s="2"/>
      <c r="E288" s="2"/>
      <c r="F288" s="2"/>
      <c r="G288" s="5"/>
      <c r="H288" s="2"/>
      <c r="I288" s="2"/>
      <c r="J288" s="2"/>
      <c r="K288" s="2"/>
    </row>
    <row r="289" spans="3:11" x14ac:dyDescent="0.2">
      <c r="C289" s="2"/>
      <c r="D289" s="2"/>
      <c r="E289" s="2"/>
      <c r="F289" s="2"/>
      <c r="G289" s="5"/>
      <c r="H289" s="2"/>
      <c r="I289" s="2"/>
      <c r="J289" s="2"/>
      <c r="K289" s="2"/>
    </row>
    <row r="290" spans="3:11" x14ac:dyDescent="0.2">
      <c r="C290" s="2"/>
      <c r="D290" s="2"/>
      <c r="E290" s="2"/>
      <c r="F290" s="2"/>
      <c r="G290" s="5"/>
      <c r="H290" s="2"/>
      <c r="I290" s="2"/>
      <c r="J290" s="2"/>
      <c r="K290" s="2"/>
    </row>
    <row r="291" spans="3:11" x14ac:dyDescent="0.2">
      <c r="C291" s="2"/>
      <c r="D291" s="2"/>
      <c r="E291" s="2"/>
      <c r="F291" s="2"/>
      <c r="G291" s="5"/>
      <c r="H291" s="2"/>
      <c r="I291" s="2"/>
      <c r="J291" s="2"/>
      <c r="K291" s="2"/>
    </row>
    <row r="292" spans="3:11" x14ac:dyDescent="0.2">
      <c r="C292" s="2"/>
      <c r="D292" s="2"/>
      <c r="E292" s="2"/>
      <c r="F292" s="2"/>
      <c r="G292" s="5"/>
      <c r="H292" s="2"/>
      <c r="I292" s="2"/>
      <c r="J292" s="2"/>
      <c r="K292" s="2"/>
    </row>
    <row r="293" spans="3:11" x14ac:dyDescent="0.2">
      <c r="C293" s="2"/>
      <c r="D293" s="2"/>
      <c r="E293" s="2"/>
      <c r="F293" s="2"/>
      <c r="G293" s="5"/>
      <c r="H293" s="2"/>
      <c r="I293" s="2"/>
      <c r="J293" s="2"/>
      <c r="K293" s="2"/>
    </row>
    <row r="294" spans="3:11" x14ac:dyDescent="0.2">
      <c r="C294" s="2"/>
      <c r="D294" s="2"/>
      <c r="E294" s="2"/>
      <c r="F294" s="2"/>
      <c r="G294" s="5"/>
      <c r="H294" s="2"/>
      <c r="I294" s="2"/>
      <c r="J294" s="2"/>
      <c r="K294" s="2"/>
    </row>
    <row r="295" spans="3:11" x14ac:dyDescent="0.2">
      <c r="C295" s="2"/>
      <c r="D295" s="2"/>
      <c r="E295" s="2"/>
      <c r="F295" s="2"/>
      <c r="G295" s="5"/>
      <c r="H295" s="2"/>
      <c r="I295" s="2"/>
      <c r="J295" s="2"/>
      <c r="K295" s="2"/>
    </row>
    <row r="296" spans="3:11" x14ac:dyDescent="0.2">
      <c r="C296" s="2"/>
      <c r="D296" s="2"/>
      <c r="E296" s="2"/>
      <c r="F296" s="2"/>
      <c r="G296" s="5"/>
      <c r="H296" s="2"/>
      <c r="I296" s="2"/>
      <c r="J296" s="2"/>
      <c r="K296" s="2"/>
    </row>
    <row r="297" spans="3:11" x14ac:dyDescent="0.2">
      <c r="C297" s="2"/>
      <c r="D297" s="2"/>
      <c r="E297" s="2"/>
      <c r="F297" s="2"/>
      <c r="G297" s="5"/>
      <c r="H297" s="2"/>
      <c r="I297" s="2"/>
      <c r="J297" s="2"/>
      <c r="K297" s="2"/>
    </row>
    <row r="298" spans="3:11" x14ac:dyDescent="0.2">
      <c r="C298" s="2"/>
      <c r="D298" s="2"/>
      <c r="E298" s="2"/>
      <c r="F298" s="2"/>
      <c r="G298" s="5"/>
      <c r="H298" s="2"/>
      <c r="I298" s="2"/>
      <c r="J298" s="2"/>
      <c r="K298" s="2"/>
    </row>
    <row r="299" spans="3:11" x14ac:dyDescent="0.2">
      <c r="C299" s="2"/>
      <c r="D299" s="2"/>
      <c r="E299" s="2"/>
      <c r="F299" s="2"/>
      <c r="G299" s="5"/>
      <c r="H299" s="2"/>
      <c r="I299" s="2"/>
      <c r="J299" s="2"/>
      <c r="K299" s="2"/>
    </row>
    <row r="300" spans="3:11" x14ac:dyDescent="0.2">
      <c r="C300" s="2"/>
      <c r="D300" s="2"/>
      <c r="E300" s="2"/>
      <c r="F300" s="2"/>
      <c r="G300" s="5"/>
      <c r="H300" s="2"/>
      <c r="I300" s="2"/>
      <c r="J300" s="2"/>
      <c r="K300" s="2"/>
    </row>
    <row r="301" spans="3:11" x14ac:dyDescent="0.2">
      <c r="C301" s="2"/>
      <c r="D301" s="2"/>
      <c r="E301" s="2"/>
      <c r="F301" s="2"/>
      <c r="G301" s="5"/>
      <c r="H301" s="2"/>
      <c r="I301" s="2"/>
      <c r="J301" s="2"/>
      <c r="K301" s="2"/>
    </row>
    <row r="302" spans="3:11" x14ac:dyDescent="0.2">
      <c r="C302" s="2"/>
      <c r="D302" s="2"/>
      <c r="E302" s="2"/>
      <c r="F302" s="2"/>
      <c r="G302" s="5"/>
      <c r="H302" s="2"/>
      <c r="I302" s="2"/>
      <c r="J302" s="2"/>
      <c r="K302" s="2"/>
    </row>
    <row r="303" spans="3:11" x14ac:dyDescent="0.2">
      <c r="C303" s="2"/>
      <c r="D303" s="2"/>
      <c r="E303" s="2"/>
      <c r="F303" s="2"/>
      <c r="G303" s="5"/>
      <c r="H303" s="2"/>
      <c r="I303" s="2"/>
      <c r="J303" s="2"/>
      <c r="K303" s="2"/>
    </row>
    <row r="304" spans="3:11" x14ac:dyDescent="0.2">
      <c r="C304" s="2"/>
      <c r="D304" s="2"/>
      <c r="E304" s="2"/>
      <c r="F304" s="2"/>
      <c r="G304" s="5"/>
      <c r="H304" s="2"/>
      <c r="I304" s="2"/>
      <c r="J304" s="2"/>
      <c r="K304" s="2"/>
    </row>
    <row r="305" spans="3:11" x14ac:dyDescent="0.2">
      <c r="C305" s="2"/>
      <c r="D305" s="2"/>
      <c r="E305" s="2"/>
      <c r="F305" s="2"/>
      <c r="G305" s="5"/>
      <c r="H305" s="2"/>
      <c r="I305" s="2"/>
      <c r="J305" s="2"/>
      <c r="K305" s="2"/>
    </row>
    <row r="306" spans="3:11" x14ac:dyDescent="0.2">
      <c r="C306" s="2"/>
      <c r="D306" s="2"/>
      <c r="E306" s="2"/>
      <c r="F306" s="2"/>
      <c r="G306" s="5"/>
      <c r="H306" s="2"/>
      <c r="I306" s="2"/>
      <c r="J306" s="2"/>
      <c r="K306" s="2"/>
    </row>
    <row r="307" spans="3:11" x14ac:dyDescent="0.2">
      <c r="C307" s="2"/>
      <c r="D307" s="2"/>
      <c r="E307" s="2"/>
      <c r="F307" s="2"/>
      <c r="G307" s="5"/>
      <c r="H307" s="2"/>
      <c r="I307" s="2"/>
      <c r="J307" s="2"/>
      <c r="K307" s="2"/>
    </row>
    <row r="308" spans="3:11" x14ac:dyDescent="0.2">
      <c r="C308" s="2"/>
      <c r="D308" s="2"/>
      <c r="E308" s="2"/>
      <c r="F308" s="2"/>
      <c r="G308" s="5"/>
      <c r="H308" s="2"/>
      <c r="I308" s="2"/>
      <c r="J308" s="2"/>
      <c r="K308" s="2"/>
    </row>
    <row r="309" spans="3:11" x14ac:dyDescent="0.2">
      <c r="C309" s="2"/>
      <c r="D309" s="2"/>
      <c r="E309" s="2"/>
      <c r="F309" s="2"/>
      <c r="G309" s="5"/>
      <c r="H309" s="2"/>
      <c r="I309" s="2"/>
      <c r="J309" s="2"/>
      <c r="K309" s="2"/>
    </row>
    <row r="310" spans="3:11" x14ac:dyDescent="0.2">
      <c r="C310" s="2"/>
      <c r="D310" s="2"/>
      <c r="E310" s="2"/>
      <c r="F310" s="2"/>
      <c r="G310" s="5"/>
      <c r="H310" s="2"/>
      <c r="I310" s="2"/>
      <c r="J310" s="2"/>
      <c r="K310" s="2"/>
    </row>
    <row r="311" spans="3:11" x14ac:dyDescent="0.2">
      <c r="C311" s="2"/>
      <c r="D311" s="2"/>
      <c r="E311" s="2"/>
      <c r="F311" s="2"/>
      <c r="G311" s="5"/>
      <c r="H311" s="2"/>
      <c r="I311" s="2"/>
      <c r="J311" s="2"/>
      <c r="K311" s="2"/>
    </row>
    <row r="312" spans="3:11" x14ac:dyDescent="0.2">
      <c r="C312" s="2"/>
      <c r="D312" s="2"/>
      <c r="E312" s="2"/>
      <c r="F312" s="2"/>
      <c r="G312" s="5"/>
      <c r="H312" s="2"/>
      <c r="I312" s="2"/>
      <c r="J312" s="2"/>
      <c r="K312" s="2"/>
    </row>
    <row r="313" spans="3:11" x14ac:dyDescent="0.2">
      <c r="C313" s="2"/>
      <c r="D313" s="2"/>
      <c r="E313" s="2"/>
      <c r="F313" s="2"/>
      <c r="G313" s="5"/>
      <c r="H313" s="2"/>
      <c r="I313" s="2"/>
      <c r="J313" s="2"/>
      <c r="K313" s="2"/>
    </row>
    <row r="314" spans="3:11" x14ac:dyDescent="0.2">
      <c r="C314" s="2"/>
      <c r="D314" s="2"/>
      <c r="E314" s="2"/>
      <c r="F314" s="2"/>
      <c r="G314" s="5"/>
      <c r="H314" s="2"/>
      <c r="I314" s="2"/>
      <c r="J314" s="2"/>
      <c r="K314" s="2"/>
    </row>
    <row r="315" spans="3:11" x14ac:dyDescent="0.2">
      <c r="C315" s="2"/>
      <c r="D315" s="2"/>
      <c r="E315" s="2"/>
      <c r="F315" s="2"/>
      <c r="G315" s="5"/>
      <c r="H315" s="2"/>
      <c r="I315" s="2"/>
      <c r="J315" s="2"/>
      <c r="K315" s="2"/>
    </row>
    <row r="316" spans="3:11" x14ac:dyDescent="0.2">
      <c r="C316" s="2"/>
      <c r="D316" s="2"/>
      <c r="E316" s="2"/>
      <c r="F316" s="2"/>
      <c r="G316" s="5"/>
      <c r="H316" s="2"/>
      <c r="I316" s="2"/>
      <c r="J316" s="2"/>
      <c r="K316" s="2"/>
    </row>
    <row r="317" spans="3:11" x14ac:dyDescent="0.2">
      <c r="C317" s="2"/>
      <c r="D317" s="2"/>
      <c r="E317" s="2"/>
      <c r="F317" s="2"/>
      <c r="G317" s="5"/>
      <c r="H317" s="2"/>
      <c r="I317" s="2"/>
      <c r="J317" s="2"/>
      <c r="K317" s="2"/>
    </row>
    <row r="318" spans="3:11" x14ac:dyDescent="0.2">
      <c r="C318" s="2"/>
      <c r="D318" s="2"/>
      <c r="E318" s="2"/>
      <c r="F318" s="2"/>
      <c r="G318" s="5"/>
      <c r="H318" s="2"/>
      <c r="I318" s="2"/>
      <c r="J318" s="2"/>
      <c r="K318" s="2"/>
    </row>
    <row r="319" spans="3:11" x14ac:dyDescent="0.2">
      <c r="C319" s="2"/>
      <c r="D319" s="2"/>
      <c r="E319" s="2"/>
      <c r="F319" s="2"/>
      <c r="G319" s="5"/>
      <c r="H319" s="2"/>
      <c r="I319" s="2"/>
      <c r="J319" s="2"/>
      <c r="K319" s="2"/>
    </row>
    <row r="320" spans="3:11" x14ac:dyDescent="0.2">
      <c r="C320" s="2"/>
      <c r="D320" s="2"/>
      <c r="E320" s="2"/>
      <c r="F320" s="2"/>
      <c r="G320" s="5"/>
      <c r="H320" s="2"/>
      <c r="I320" s="2"/>
      <c r="J320" s="2"/>
      <c r="K320" s="2"/>
    </row>
    <row r="321" spans="3:11" x14ac:dyDescent="0.2">
      <c r="C321" s="2"/>
      <c r="D321" s="2"/>
      <c r="E321" s="2"/>
      <c r="F321" s="2"/>
      <c r="G321" s="5"/>
      <c r="H321" s="2"/>
      <c r="I321" s="2"/>
      <c r="J321" s="2"/>
      <c r="K321" s="2"/>
    </row>
    <row r="322" spans="3:11" x14ac:dyDescent="0.2">
      <c r="C322" s="2"/>
      <c r="D322" s="2"/>
      <c r="E322" s="2"/>
      <c r="F322" s="2"/>
      <c r="G322" s="5"/>
      <c r="H322" s="2"/>
      <c r="I322" s="2"/>
      <c r="J322" s="2"/>
      <c r="K322" s="2"/>
    </row>
    <row r="323" spans="3:11" x14ac:dyDescent="0.2">
      <c r="C323" s="2"/>
      <c r="D323" s="2"/>
      <c r="E323" s="2"/>
      <c r="F323" s="2"/>
      <c r="G323" s="5"/>
      <c r="H323" s="2"/>
      <c r="I323" s="2"/>
      <c r="J323" s="2"/>
      <c r="K323" s="2"/>
    </row>
    <row r="324" spans="3:11" x14ac:dyDescent="0.2">
      <c r="C324" s="2"/>
      <c r="D324" s="2"/>
      <c r="E324" s="2"/>
      <c r="F324" s="2"/>
      <c r="G324" s="5"/>
      <c r="H324" s="2"/>
      <c r="I324" s="2"/>
      <c r="J324" s="2"/>
      <c r="K324" s="2"/>
    </row>
    <row r="325" spans="3:11" x14ac:dyDescent="0.2">
      <c r="C325" s="2"/>
      <c r="D325" s="2"/>
      <c r="E325" s="2"/>
      <c r="F325" s="2"/>
      <c r="G325" s="5"/>
      <c r="H325" s="2"/>
      <c r="I325" s="2"/>
      <c r="J325" s="2"/>
      <c r="K325" s="2"/>
    </row>
    <row r="326" spans="3:11" x14ac:dyDescent="0.2">
      <c r="C326" s="2"/>
      <c r="D326" s="2"/>
      <c r="E326" s="2"/>
      <c r="F326" s="2"/>
      <c r="G326" s="5"/>
      <c r="H326" s="2"/>
      <c r="I326" s="2"/>
      <c r="J326" s="2"/>
      <c r="K326" s="2"/>
    </row>
    <row r="327" spans="3:11" x14ac:dyDescent="0.2">
      <c r="C327" s="2"/>
      <c r="D327" s="2"/>
      <c r="E327" s="2"/>
      <c r="F327" s="2"/>
      <c r="G327" s="5"/>
      <c r="H327" s="2"/>
      <c r="I327" s="2"/>
      <c r="J327" s="2"/>
      <c r="K327" s="2"/>
    </row>
    <row r="328" spans="3:11" x14ac:dyDescent="0.2">
      <c r="C328" s="2"/>
      <c r="D328" s="2"/>
      <c r="E328" s="2"/>
      <c r="F328" s="2"/>
      <c r="G328" s="5"/>
      <c r="H328" s="2"/>
      <c r="I328" s="2"/>
      <c r="J328" s="2"/>
      <c r="K328" s="2"/>
    </row>
    <row r="329" spans="3:11" x14ac:dyDescent="0.2">
      <c r="C329" s="2"/>
      <c r="D329" s="2"/>
      <c r="E329" s="2"/>
      <c r="F329" s="2"/>
      <c r="G329" s="5"/>
      <c r="H329" s="2"/>
      <c r="I329" s="2"/>
      <c r="J329" s="2"/>
      <c r="K329" s="2"/>
    </row>
    <row r="330" spans="3:11" x14ac:dyDescent="0.2">
      <c r="C330" s="2"/>
      <c r="D330" s="2"/>
      <c r="E330" s="2"/>
      <c r="F330" s="2"/>
      <c r="G330" s="5"/>
      <c r="H330" s="2"/>
      <c r="I330" s="2"/>
      <c r="J330" s="2"/>
      <c r="K330" s="2"/>
    </row>
    <row r="331" spans="3:11" x14ac:dyDescent="0.2">
      <c r="C331" s="2"/>
      <c r="D331" s="2"/>
      <c r="E331" s="2"/>
      <c r="F331" s="2"/>
      <c r="G331" s="5"/>
      <c r="H331" s="2"/>
      <c r="I331" s="2"/>
      <c r="J331" s="2"/>
      <c r="K331" s="2"/>
    </row>
    <row r="332" spans="3:11" x14ac:dyDescent="0.2">
      <c r="C332" s="2"/>
      <c r="D332" s="2"/>
      <c r="E332" s="2"/>
      <c r="F332" s="2"/>
      <c r="G332" s="5"/>
      <c r="H332" s="2"/>
      <c r="I332" s="2"/>
      <c r="J332" s="2"/>
      <c r="K332" s="2"/>
    </row>
    <row r="333" spans="3:11" x14ac:dyDescent="0.2">
      <c r="C333" s="2"/>
      <c r="D333" s="2"/>
      <c r="E333" s="2"/>
      <c r="F333" s="2"/>
      <c r="G333" s="5"/>
      <c r="H333" s="2"/>
      <c r="I333" s="2"/>
      <c r="J333" s="2"/>
      <c r="K333" s="2"/>
    </row>
    <row r="334" spans="3:11" x14ac:dyDescent="0.2">
      <c r="C334" s="2"/>
      <c r="D334" s="2"/>
      <c r="E334" s="2"/>
      <c r="F334" s="2"/>
      <c r="G334" s="5"/>
      <c r="H334" s="2"/>
      <c r="I334" s="2"/>
      <c r="J334" s="2"/>
      <c r="K334" s="2"/>
    </row>
    <row r="335" spans="3:11" x14ac:dyDescent="0.2">
      <c r="C335" s="2"/>
      <c r="D335" s="2"/>
      <c r="E335" s="2"/>
      <c r="F335" s="2"/>
      <c r="G335" s="5"/>
      <c r="H335" s="2"/>
      <c r="I335" s="2"/>
      <c r="J335" s="2"/>
      <c r="K335" s="2"/>
    </row>
    <row r="336" spans="3:11" x14ac:dyDescent="0.2">
      <c r="C336" s="2"/>
      <c r="D336" s="2"/>
      <c r="E336" s="2"/>
      <c r="F336" s="2"/>
      <c r="G336" s="5"/>
      <c r="H336" s="2"/>
      <c r="I336" s="2"/>
      <c r="J336" s="2"/>
      <c r="K336" s="2"/>
    </row>
    <row r="337" spans="3:11" x14ac:dyDescent="0.2">
      <c r="C337" s="2"/>
      <c r="D337" s="2"/>
      <c r="E337" s="2"/>
      <c r="F337" s="2"/>
      <c r="G337" s="5"/>
      <c r="H337" s="2"/>
      <c r="I337" s="2"/>
      <c r="J337" s="2"/>
      <c r="K337" s="2"/>
    </row>
    <row r="338" spans="3:11" x14ac:dyDescent="0.2">
      <c r="C338" s="2"/>
      <c r="D338" s="2"/>
      <c r="E338" s="2"/>
      <c r="F338" s="2"/>
      <c r="G338" s="5"/>
      <c r="H338" s="2"/>
      <c r="I338" s="2"/>
      <c r="J338" s="2"/>
      <c r="K338" s="2"/>
    </row>
    <row r="339" spans="3:11" x14ac:dyDescent="0.2">
      <c r="C339" s="2"/>
      <c r="D339" s="2"/>
      <c r="E339" s="2"/>
      <c r="F339" s="2"/>
      <c r="G339" s="5"/>
      <c r="H339" s="2"/>
      <c r="I339" s="2"/>
      <c r="J339" s="2"/>
      <c r="K339" s="2"/>
    </row>
    <row r="340" spans="3:11" x14ac:dyDescent="0.2">
      <c r="C340" s="2"/>
      <c r="D340" s="2"/>
      <c r="E340" s="2"/>
      <c r="F340" s="2"/>
      <c r="G340" s="5"/>
      <c r="H340" s="2"/>
      <c r="I340" s="2"/>
      <c r="J340" s="2"/>
      <c r="K340" s="2"/>
    </row>
    <row r="341" spans="3:11" x14ac:dyDescent="0.2">
      <c r="C341" s="2"/>
      <c r="D341" s="2"/>
      <c r="E341" s="2"/>
      <c r="F341" s="2"/>
      <c r="G341" s="5"/>
      <c r="H341" s="2"/>
      <c r="I341" s="2"/>
      <c r="J341" s="2"/>
      <c r="K341" s="2"/>
    </row>
    <row r="342" spans="3:11" x14ac:dyDescent="0.2">
      <c r="C342" s="2"/>
      <c r="D342" s="2"/>
      <c r="E342" s="2"/>
      <c r="F342" s="2"/>
      <c r="G342" s="5"/>
      <c r="H342" s="2"/>
      <c r="I342" s="2"/>
      <c r="J342" s="2"/>
      <c r="K342" s="2"/>
    </row>
    <row r="343" spans="3:11" x14ac:dyDescent="0.2">
      <c r="C343" s="2"/>
      <c r="D343" s="2"/>
      <c r="E343" s="2"/>
      <c r="F343" s="2"/>
      <c r="G343" s="5"/>
      <c r="H343" s="2"/>
      <c r="I343" s="2"/>
      <c r="J343" s="2"/>
      <c r="K343" s="2"/>
    </row>
    <row r="344" spans="3:11" x14ac:dyDescent="0.2">
      <c r="C344" s="2"/>
      <c r="D344" s="2"/>
      <c r="E344" s="2"/>
      <c r="F344" s="2"/>
      <c r="G344" s="5"/>
      <c r="H344" s="2"/>
      <c r="I344" s="2"/>
      <c r="J344" s="2"/>
      <c r="K344" s="2"/>
    </row>
    <row r="345" spans="3:11" x14ac:dyDescent="0.2">
      <c r="C345" s="2"/>
      <c r="D345" s="2"/>
      <c r="E345" s="2"/>
      <c r="F345" s="2"/>
      <c r="G345" s="5"/>
      <c r="H345" s="2"/>
      <c r="I345" s="2"/>
      <c r="J345" s="2"/>
      <c r="K345" s="2"/>
    </row>
    <row r="346" spans="3:11" x14ac:dyDescent="0.2">
      <c r="C346" s="2"/>
      <c r="D346" s="2"/>
      <c r="E346" s="2"/>
      <c r="F346" s="2"/>
      <c r="G346" s="5"/>
      <c r="H346" s="2"/>
      <c r="I346" s="2"/>
      <c r="J346" s="2"/>
      <c r="K346" s="2"/>
    </row>
    <row r="347" spans="3:11" x14ac:dyDescent="0.2">
      <c r="C347" s="2"/>
      <c r="D347" s="2"/>
      <c r="E347" s="2"/>
      <c r="F347" s="2"/>
      <c r="G347" s="5"/>
      <c r="H347" s="2"/>
      <c r="I347" s="2"/>
      <c r="J347" s="2"/>
      <c r="K347" s="2"/>
    </row>
    <row r="348" spans="3:11" x14ac:dyDescent="0.2">
      <c r="C348" s="2"/>
      <c r="D348" s="2"/>
      <c r="E348" s="2"/>
      <c r="F348" s="2"/>
      <c r="G348" s="5"/>
      <c r="H348" s="2"/>
      <c r="I348" s="2"/>
      <c r="J348" s="2"/>
      <c r="K348" s="2"/>
    </row>
    <row r="349" spans="3:11" x14ac:dyDescent="0.2">
      <c r="C349" s="2"/>
      <c r="D349" s="2"/>
      <c r="E349" s="2"/>
      <c r="F349" s="2"/>
      <c r="G349" s="5"/>
      <c r="H349" s="2"/>
      <c r="I349" s="2"/>
      <c r="J349" s="2"/>
      <c r="K349" s="2"/>
    </row>
    <row r="350" spans="3:11" x14ac:dyDescent="0.2">
      <c r="C350" s="2"/>
      <c r="D350" s="2"/>
      <c r="E350" s="2"/>
      <c r="F350" s="2"/>
      <c r="G350" s="5"/>
      <c r="H350" s="2"/>
      <c r="I350" s="2"/>
      <c r="J350" s="2"/>
      <c r="K350" s="2"/>
    </row>
    <row r="351" spans="3:11" x14ac:dyDescent="0.2">
      <c r="C351" s="2"/>
      <c r="D351" s="2"/>
      <c r="E351" s="2"/>
      <c r="F351" s="2"/>
      <c r="G351" s="5"/>
      <c r="H351" s="2"/>
      <c r="I351" s="2"/>
      <c r="J351" s="2"/>
      <c r="K351" s="2"/>
    </row>
    <row r="352" spans="3:11" x14ac:dyDescent="0.2">
      <c r="C352" s="2"/>
      <c r="D352" s="2"/>
      <c r="E352" s="2"/>
      <c r="F352" s="2"/>
      <c r="G352" s="5"/>
      <c r="H352" s="2"/>
      <c r="I352" s="2"/>
      <c r="J352" s="2"/>
      <c r="K352" s="2"/>
    </row>
    <row r="353" spans="3:11" x14ac:dyDescent="0.2">
      <c r="C353" s="2"/>
      <c r="D353" s="2"/>
      <c r="E353" s="2"/>
      <c r="F353" s="2"/>
      <c r="G353" s="5"/>
      <c r="H353" s="2"/>
      <c r="I353" s="2"/>
      <c r="J353" s="2"/>
      <c r="K353" s="2"/>
    </row>
    <row r="354" spans="3:11" x14ac:dyDescent="0.2">
      <c r="C354" s="2"/>
      <c r="D354" s="2"/>
      <c r="E354" s="2"/>
      <c r="F354" s="2"/>
      <c r="G354" s="5"/>
      <c r="H354" s="2"/>
      <c r="I354" s="2"/>
      <c r="J354" s="2"/>
      <c r="K354" s="2"/>
    </row>
    <row r="355" spans="3:11" x14ac:dyDescent="0.2">
      <c r="C355" s="2"/>
      <c r="D355" s="2"/>
      <c r="E355" s="2"/>
      <c r="F355" s="2"/>
      <c r="G355" s="5"/>
      <c r="H355" s="2"/>
      <c r="I355" s="2"/>
      <c r="J355" s="2"/>
      <c r="K355" s="2"/>
    </row>
    <row r="356" spans="3:11" x14ac:dyDescent="0.2">
      <c r="C356" s="2"/>
      <c r="D356" s="2"/>
      <c r="E356" s="2"/>
      <c r="F356" s="2"/>
      <c r="G356" s="5"/>
      <c r="H356" s="2"/>
      <c r="I356" s="2"/>
      <c r="J356" s="2"/>
      <c r="K356" s="2"/>
    </row>
    <row r="357" spans="3:11" x14ac:dyDescent="0.2">
      <c r="C357" s="2"/>
      <c r="D357" s="2"/>
      <c r="E357" s="2"/>
      <c r="F357" s="2"/>
      <c r="G357" s="5"/>
      <c r="H357" s="2"/>
      <c r="I357" s="2"/>
      <c r="J357" s="2"/>
      <c r="K357" s="2"/>
    </row>
    <row r="358" spans="3:11" x14ac:dyDescent="0.2">
      <c r="C358" s="2"/>
      <c r="D358" s="2"/>
      <c r="E358" s="2"/>
      <c r="F358" s="2"/>
      <c r="G358" s="5"/>
      <c r="H358" s="2"/>
      <c r="I358" s="2"/>
      <c r="J358" s="2"/>
      <c r="K358" s="2"/>
    </row>
    <row r="359" spans="3:11" x14ac:dyDescent="0.2">
      <c r="C359" s="2"/>
      <c r="D359" s="2"/>
      <c r="E359" s="2"/>
      <c r="F359" s="2"/>
      <c r="G359" s="5"/>
      <c r="H359" s="2"/>
      <c r="I359" s="2"/>
      <c r="J359" s="2"/>
      <c r="K359" s="2"/>
    </row>
    <row r="360" spans="3:11" x14ac:dyDescent="0.2">
      <c r="C360" s="2"/>
      <c r="D360" s="2"/>
      <c r="E360" s="2"/>
      <c r="F360" s="2"/>
      <c r="G360" s="5"/>
      <c r="H360" s="2"/>
      <c r="I360" s="2"/>
      <c r="J360" s="2"/>
      <c r="K360" s="2"/>
    </row>
    <row r="361" spans="3:11" x14ac:dyDescent="0.2">
      <c r="C361" s="2"/>
      <c r="D361" s="2"/>
      <c r="E361" s="2"/>
      <c r="F361" s="2"/>
      <c r="G361" s="5"/>
      <c r="H361" s="2"/>
      <c r="I361" s="2"/>
      <c r="J361" s="2"/>
      <c r="K361" s="2"/>
    </row>
    <row r="362" spans="3:11" x14ac:dyDescent="0.2">
      <c r="C362" s="2"/>
      <c r="D362" s="2"/>
      <c r="E362" s="2"/>
      <c r="F362" s="2"/>
      <c r="G362" s="5"/>
      <c r="H362" s="2"/>
      <c r="I362" s="2"/>
      <c r="J362" s="2"/>
      <c r="K362" s="2"/>
    </row>
    <row r="363" spans="3:11" x14ac:dyDescent="0.2">
      <c r="C363" s="2"/>
      <c r="D363" s="2"/>
      <c r="E363" s="2"/>
      <c r="F363" s="2"/>
      <c r="G363" s="5"/>
      <c r="H363" s="2"/>
      <c r="I363" s="2"/>
      <c r="J363" s="2"/>
      <c r="K363" s="2"/>
    </row>
    <row r="364" spans="3:11" x14ac:dyDescent="0.2">
      <c r="C364" s="2"/>
      <c r="D364" s="2"/>
      <c r="E364" s="2"/>
      <c r="F364" s="2"/>
      <c r="G364" s="5"/>
      <c r="H364" s="2"/>
      <c r="I364" s="2"/>
      <c r="J364" s="2"/>
      <c r="K364" s="2"/>
    </row>
    <row r="365" spans="3:11" x14ac:dyDescent="0.2">
      <c r="C365" s="2"/>
      <c r="D365" s="2"/>
      <c r="E365" s="2"/>
      <c r="F365" s="2"/>
      <c r="G365" s="5"/>
      <c r="H365" s="2"/>
      <c r="I365" s="2"/>
      <c r="J365" s="2"/>
      <c r="K365" s="2"/>
    </row>
    <row r="366" spans="3:11" x14ac:dyDescent="0.2">
      <c r="C366" s="2"/>
      <c r="D366" s="2"/>
      <c r="E366" s="2"/>
      <c r="F366" s="2"/>
      <c r="G366" s="5"/>
      <c r="H366" s="2"/>
      <c r="I366" s="2"/>
      <c r="J366" s="2"/>
      <c r="K366" s="2"/>
    </row>
    <row r="367" spans="3:11" x14ac:dyDescent="0.2">
      <c r="C367" s="2"/>
      <c r="D367" s="2"/>
      <c r="E367" s="2"/>
      <c r="F367" s="2"/>
      <c r="G367" s="5"/>
      <c r="H367" s="2"/>
      <c r="I367" s="2"/>
      <c r="J367" s="2"/>
      <c r="K367" s="2"/>
    </row>
    <row r="368" spans="3:11" x14ac:dyDescent="0.2">
      <c r="C368" s="2"/>
      <c r="D368" s="2"/>
      <c r="E368" s="2"/>
      <c r="F368" s="2"/>
      <c r="G368" s="5"/>
      <c r="H368" s="2"/>
      <c r="I368" s="2"/>
      <c r="J368" s="2"/>
      <c r="K368" s="2"/>
    </row>
    <row r="369" spans="3:11" x14ac:dyDescent="0.2">
      <c r="C369" s="2"/>
      <c r="D369" s="2"/>
      <c r="E369" s="2"/>
      <c r="F369" s="2"/>
      <c r="G369" s="5"/>
      <c r="H369" s="2"/>
      <c r="I369" s="2"/>
      <c r="J369" s="2"/>
      <c r="K369" s="2"/>
    </row>
    <row r="370" spans="3:11" x14ac:dyDescent="0.2">
      <c r="C370" s="2"/>
      <c r="D370" s="2"/>
      <c r="E370" s="2"/>
      <c r="F370" s="2"/>
      <c r="G370" s="5"/>
      <c r="H370" s="2"/>
      <c r="I370" s="2"/>
      <c r="J370" s="2"/>
      <c r="K370" s="2"/>
    </row>
    <row r="371" spans="3:11" x14ac:dyDescent="0.2">
      <c r="C371" s="2"/>
      <c r="D371" s="2"/>
      <c r="E371" s="2"/>
      <c r="F371" s="2"/>
      <c r="G371" s="5"/>
      <c r="H371" s="2"/>
      <c r="I371" s="2"/>
      <c r="J371" s="2"/>
      <c r="K371" s="2"/>
    </row>
    <row r="372" spans="3:11" x14ac:dyDescent="0.2">
      <c r="C372" s="2"/>
      <c r="D372" s="2"/>
      <c r="E372" s="2"/>
      <c r="F372" s="2"/>
      <c r="G372" s="5"/>
      <c r="H372" s="2"/>
      <c r="I372" s="2"/>
      <c r="J372" s="2"/>
      <c r="K372" s="2"/>
    </row>
    <row r="373" spans="3:11" x14ac:dyDescent="0.2">
      <c r="C373" s="2"/>
      <c r="D373" s="2"/>
      <c r="E373" s="2"/>
      <c r="F373" s="2"/>
      <c r="G373" s="5"/>
      <c r="H373" s="2"/>
      <c r="I373" s="2"/>
      <c r="J373" s="2"/>
      <c r="K373" s="2"/>
    </row>
    <row r="374" spans="3:11" x14ac:dyDescent="0.2">
      <c r="C374" s="2"/>
      <c r="D374" s="2"/>
      <c r="E374" s="2"/>
      <c r="F374" s="2"/>
      <c r="G374" s="5"/>
      <c r="H374" s="2"/>
      <c r="I374" s="2"/>
      <c r="J374" s="2"/>
      <c r="K374" s="2"/>
    </row>
    <row r="375" spans="3:11" x14ac:dyDescent="0.2">
      <c r="C375" s="2"/>
      <c r="D375" s="2"/>
      <c r="E375" s="2"/>
      <c r="F375" s="2"/>
      <c r="G375" s="5"/>
      <c r="H375" s="2"/>
      <c r="I375" s="2"/>
      <c r="J375" s="2"/>
      <c r="K375" s="2"/>
    </row>
    <row r="376" spans="3:11" x14ac:dyDescent="0.2">
      <c r="C376" s="2"/>
      <c r="D376" s="2"/>
      <c r="E376" s="2"/>
      <c r="F376" s="2"/>
      <c r="G376" s="5"/>
      <c r="H376" s="2"/>
      <c r="I376" s="2"/>
      <c r="J376" s="2"/>
      <c r="K376" s="2"/>
    </row>
    <row r="377" spans="3:11" x14ac:dyDescent="0.2">
      <c r="C377" s="2"/>
      <c r="D377" s="2"/>
      <c r="E377" s="2"/>
      <c r="F377" s="2"/>
      <c r="G377" s="5"/>
      <c r="H377" s="2"/>
      <c r="I377" s="2"/>
      <c r="J377" s="2"/>
      <c r="K377" s="2"/>
    </row>
    <row r="378" spans="3:11" x14ac:dyDescent="0.2">
      <c r="C378" s="2"/>
      <c r="D378" s="2"/>
      <c r="E378" s="2"/>
      <c r="F378" s="2"/>
      <c r="G378" s="5"/>
      <c r="H378" s="2"/>
      <c r="I378" s="2"/>
      <c r="J378" s="2"/>
      <c r="K378" s="2"/>
    </row>
    <row r="379" spans="3:11" x14ac:dyDescent="0.2">
      <c r="C379" s="2"/>
      <c r="D379" s="2"/>
      <c r="E379" s="2"/>
      <c r="F379" s="2"/>
      <c r="G379" s="5"/>
      <c r="H379" s="2"/>
      <c r="I379" s="2"/>
      <c r="J379" s="2"/>
      <c r="K379" s="2"/>
    </row>
    <row r="380" spans="3:11" x14ac:dyDescent="0.2">
      <c r="C380" s="2"/>
      <c r="D380" s="2"/>
      <c r="E380" s="2"/>
      <c r="F380" s="2"/>
      <c r="G380" s="5"/>
      <c r="H380" s="2"/>
      <c r="I380" s="2"/>
      <c r="J380" s="2"/>
      <c r="K380" s="2"/>
    </row>
    <row r="381" spans="3:11" x14ac:dyDescent="0.2">
      <c r="C381" s="2"/>
      <c r="D381" s="2"/>
      <c r="E381" s="2"/>
      <c r="F381" s="2"/>
      <c r="G381" s="5"/>
      <c r="H381" s="2"/>
      <c r="I381" s="2"/>
      <c r="J381" s="2"/>
      <c r="K381" s="2"/>
    </row>
    <row r="382" spans="3:11" x14ac:dyDescent="0.2">
      <c r="C382" s="2"/>
      <c r="D382" s="2"/>
      <c r="E382" s="2"/>
      <c r="F382" s="2"/>
      <c r="G382" s="5"/>
      <c r="H382" s="2"/>
      <c r="I382" s="2"/>
      <c r="J382" s="2"/>
      <c r="K382" s="2"/>
    </row>
    <row r="383" spans="3:11" x14ac:dyDescent="0.2">
      <c r="C383" s="2"/>
      <c r="D383" s="2"/>
      <c r="E383" s="2"/>
      <c r="F383" s="2"/>
      <c r="G383" s="5"/>
      <c r="H383" s="2"/>
      <c r="I383" s="2"/>
      <c r="J383" s="2"/>
      <c r="K383" s="2"/>
    </row>
    <row r="384" spans="3:11" x14ac:dyDescent="0.2">
      <c r="C384" s="2"/>
      <c r="D384" s="2"/>
      <c r="E384" s="2"/>
      <c r="F384" s="2"/>
      <c r="G384" s="5"/>
      <c r="H384" s="2"/>
      <c r="I384" s="2"/>
      <c r="J384" s="2"/>
      <c r="K384" s="2"/>
    </row>
    <row r="385" spans="3:11" x14ac:dyDescent="0.2">
      <c r="C385" s="2"/>
      <c r="D385" s="2"/>
      <c r="E385" s="2"/>
      <c r="F385" s="2"/>
      <c r="G385" s="5"/>
      <c r="H385" s="2"/>
      <c r="I385" s="2"/>
      <c r="J385" s="2"/>
      <c r="K385" s="2"/>
    </row>
    <row r="386" spans="3:11" x14ac:dyDescent="0.2">
      <c r="C386" s="2"/>
      <c r="D386" s="2"/>
      <c r="E386" s="2"/>
      <c r="F386" s="2"/>
      <c r="G386" s="5"/>
      <c r="H386" s="2"/>
      <c r="I386" s="2"/>
      <c r="J386" s="2"/>
      <c r="K386" s="2"/>
    </row>
    <row r="387" spans="3:11" x14ac:dyDescent="0.2">
      <c r="C387" s="2"/>
      <c r="D387" s="2"/>
      <c r="E387" s="2"/>
      <c r="F387" s="2"/>
      <c r="G387" s="5"/>
      <c r="H387" s="2"/>
      <c r="I387" s="2"/>
      <c r="J387" s="2"/>
      <c r="K387" s="2"/>
    </row>
    <row r="388" spans="3:11" x14ac:dyDescent="0.2">
      <c r="C388" s="2"/>
      <c r="D388" s="2"/>
      <c r="E388" s="2"/>
      <c r="F388" s="2"/>
      <c r="G388" s="5"/>
      <c r="H388" s="2"/>
      <c r="I388" s="2"/>
      <c r="J388" s="2"/>
      <c r="K388" s="2"/>
    </row>
    <row r="389" spans="3:11" x14ac:dyDescent="0.2">
      <c r="C389" s="2"/>
      <c r="D389" s="2"/>
      <c r="E389" s="2"/>
      <c r="F389" s="2"/>
      <c r="G389" s="5"/>
      <c r="H389" s="2"/>
      <c r="I389" s="2"/>
      <c r="J389" s="2"/>
      <c r="K389" s="2"/>
    </row>
    <row r="390" spans="3:11" x14ac:dyDescent="0.2">
      <c r="C390" s="2"/>
      <c r="D390" s="2"/>
      <c r="E390" s="2"/>
      <c r="F390" s="2"/>
      <c r="G390" s="5"/>
      <c r="H390" s="2"/>
      <c r="I390" s="2"/>
      <c r="J390" s="2"/>
      <c r="K390" s="2"/>
    </row>
    <row r="391" spans="3:11" x14ac:dyDescent="0.2">
      <c r="C391" s="2"/>
      <c r="D391" s="2"/>
      <c r="E391" s="2"/>
      <c r="F391" s="2"/>
      <c r="G391" s="5"/>
      <c r="H391" s="2"/>
      <c r="I391" s="2"/>
      <c r="J391" s="2"/>
      <c r="K391" s="2"/>
    </row>
    <row r="392" spans="3:11" x14ac:dyDescent="0.2">
      <c r="C392" s="2"/>
      <c r="D392" s="2"/>
      <c r="E392" s="2"/>
      <c r="F392" s="2"/>
      <c r="G392" s="5"/>
      <c r="H392" s="2"/>
      <c r="I392" s="2"/>
      <c r="J392" s="2"/>
      <c r="K392" s="2"/>
    </row>
    <row r="393" spans="3:11" x14ac:dyDescent="0.2">
      <c r="C393" s="2"/>
      <c r="D393" s="2"/>
      <c r="E393" s="2"/>
      <c r="F393" s="2"/>
      <c r="G393" s="5"/>
      <c r="H393" s="2"/>
      <c r="I393" s="2"/>
      <c r="J393" s="2"/>
      <c r="K393" s="2"/>
    </row>
    <row r="394" spans="3:11" x14ac:dyDescent="0.2">
      <c r="C394" s="2"/>
      <c r="D394" s="2"/>
      <c r="E394" s="2"/>
      <c r="F394" s="2"/>
      <c r="G394" s="5"/>
      <c r="H394" s="2"/>
      <c r="I394" s="2"/>
      <c r="J394" s="2"/>
      <c r="K394" s="2"/>
    </row>
    <row r="395" spans="3:11" x14ac:dyDescent="0.2">
      <c r="C395" s="2"/>
      <c r="D395" s="2"/>
      <c r="E395" s="2"/>
      <c r="F395" s="2"/>
      <c r="G395" s="5"/>
      <c r="H395" s="2"/>
      <c r="I395" s="2"/>
      <c r="J395" s="2"/>
      <c r="K395" s="2"/>
    </row>
    <row r="396" spans="3:11" x14ac:dyDescent="0.2">
      <c r="C396" s="2"/>
      <c r="D396" s="2"/>
      <c r="E396" s="2"/>
      <c r="F396" s="2"/>
      <c r="G396" s="5"/>
      <c r="H396" s="2"/>
      <c r="I396" s="2"/>
      <c r="J396" s="2"/>
      <c r="K396" s="2"/>
    </row>
    <row r="397" spans="3:11" x14ac:dyDescent="0.2">
      <c r="C397" s="2"/>
      <c r="D397" s="2"/>
      <c r="E397" s="2"/>
      <c r="F397" s="2"/>
      <c r="G397" s="5"/>
      <c r="H397" s="2"/>
      <c r="I397" s="2"/>
      <c r="J397" s="2"/>
      <c r="K397" s="2"/>
    </row>
    <row r="398" spans="3:11" x14ac:dyDescent="0.2">
      <c r="C398" s="2"/>
      <c r="D398" s="2"/>
      <c r="E398" s="2"/>
      <c r="F398" s="2"/>
      <c r="G398" s="5"/>
      <c r="H398" s="2"/>
      <c r="I398" s="2"/>
      <c r="J398" s="2"/>
      <c r="K398" s="2"/>
    </row>
    <row r="399" spans="3:11" x14ac:dyDescent="0.2">
      <c r="C399" s="2"/>
      <c r="D399" s="2"/>
      <c r="E399" s="2"/>
      <c r="F399" s="2"/>
      <c r="G399" s="5"/>
      <c r="H399" s="2"/>
      <c r="I399" s="2"/>
      <c r="J399" s="2"/>
      <c r="K399" s="2"/>
    </row>
    <row r="400" spans="3:11" x14ac:dyDescent="0.2">
      <c r="C400" s="2"/>
      <c r="D400" s="2"/>
      <c r="E400" s="2"/>
      <c r="F400" s="2"/>
      <c r="G400" s="5"/>
      <c r="H400" s="2"/>
      <c r="I400" s="2"/>
      <c r="J400" s="2"/>
      <c r="K400" s="2"/>
    </row>
    <row r="401" spans="3:11" x14ac:dyDescent="0.2">
      <c r="C401" s="2"/>
      <c r="D401" s="2"/>
      <c r="E401" s="2"/>
      <c r="F401" s="2"/>
      <c r="G401" s="5"/>
      <c r="H401" s="2"/>
      <c r="I401" s="2"/>
      <c r="J401" s="2"/>
      <c r="K401" s="2"/>
    </row>
    <row r="402" spans="3:11" x14ac:dyDescent="0.2">
      <c r="C402" s="2"/>
      <c r="D402" s="2"/>
      <c r="E402" s="2"/>
      <c r="F402" s="2"/>
      <c r="G402" s="5"/>
      <c r="H402" s="2"/>
      <c r="I402" s="2"/>
      <c r="J402" s="2"/>
      <c r="K402" s="2"/>
    </row>
    <row r="403" spans="3:11" x14ac:dyDescent="0.2">
      <c r="C403" s="2"/>
      <c r="D403" s="2"/>
      <c r="E403" s="2"/>
      <c r="F403" s="2"/>
      <c r="G403" s="5"/>
      <c r="H403" s="2"/>
      <c r="I403" s="2"/>
      <c r="J403" s="2"/>
      <c r="K403" s="2"/>
    </row>
    <row r="404" spans="3:11" x14ac:dyDescent="0.2">
      <c r="C404" s="2"/>
      <c r="D404" s="2"/>
      <c r="E404" s="2"/>
      <c r="F404" s="2"/>
      <c r="G404" s="5"/>
      <c r="H404" s="2"/>
      <c r="I404" s="2"/>
      <c r="J404" s="2"/>
      <c r="K404" s="2"/>
    </row>
    <row r="405" spans="3:11" x14ac:dyDescent="0.2">
      <c r="C405" s="2"/>
      <c r="D405" s="2"/>
      <c r="E405" s="2"/>
      <c r="F405" s="2"/>
      <c r="G405" s="5"/>
      <c r="H405" s="2"/>
      <c r="I405" s="2"/>
      <c r="J405" s="2"/>
      <c r="K405" s="2"/>
    </row>
    <row r="406" spans="3:11" x14ac:dyDescent="0.2">
      <c r="C406" s="2"/>
      <c r="D406" s="2"/>
      <c r="E406" s="2"/>
      <c r="F406" s="2"/>
      <c r="G406" s="5"/>
      <c r="H406" s="2"/>
      <c r="I406" s="2"/>
      <c r="J406" s="2"/>
      <c r="K406" s="2"/>
    </row>
    <row r="407" spans="3:11" x14ac:dyDescent="0.2">
      <c r="C407" s="2"/>
      <c r="D407" s="2"/>
      <c r="E407" s="2"/>
      <c r="F407" s="2"/>
      <c r="G407" s="5"/>
      <c r="H407" s="2"/>
      <c r="I407" s="2"/>
      <c r="J407" s="2"/>
      <c r="K407" s="2"/>
    </row>
    <row r="408" spans="3:11" x14ac:dyDescent="0.2">
      <c r="C408" s="2"/>
      <c r="D408" s="2"/>
      <c r="E408" s="2"/>
      <c r="F408" s="2"/>
      <c r="G408" s="5"/>
      <c r="H408" s="2"/>
      <c r="I408" s="2"/>
      <c r="J408" s="2"/>
      <c r="K408" s="2"/>
    </row>
    <row r="409" spans="3:11" x14ac:dyDescent="0.2">
      <c r="C409" s="2"/>
      <c r="D409" s="2"/>
      <c r="E409" s="2"/>
      <c r="F409" s="2"/>
      <c r="G409" s="5"/>
      <c r="H409" s="2"/>
      <c r="I409" s="2"/>
      <c r="J409" s="2"/>
      <c r="K409" s="2"/>
    </row>
    <row r="410" spans="3:11" x14ac:dyDescent="0.2">
      <c r="C410" s="2"/>
      <c r="D410" s="2"/>
      <c r="E410" s="2"/>
      <c r="F410" s="2"/>
      <c r="G410" s="5"/>
      <c r="H410" s="2"/>
      <c r="I410" s="2"/>
      <c r="J410" s="2"/>
      <c r="K410" s="2"/>
    </row>
    <row r="411" spans="3:11" x14ac:dyDescent="0.2">
      <c r="C411" s="2"/>
      <c r="D411" s="2"/>
      <c r="E411" s="2"/>
      <c r="F411" s="2"/>
      <c r="G411" s="5"/>
      <c r="H411" s="2"/>
      <c r="I411" s="2"/>
      <c r="J411" s="2"/>
      <c r="K411" s="2"/>
    </row>
    <row r="412" spans="3:11" x14ac:dyDescent="0.2">
      <c r="C412" s="2"/>
      <c r="D412" s="2"/>
      <c r="E412" s="2"/>
      <c r="F412" s="2"/>
      <c r="G412" s="5"/>
      <c r="H412" s="2"/>
      <c r="I412" s="2"/>
      <c r="J412" s="2"/>
      <c r="K412" s="2"/>
    </row>
    <row r="413" spans="3:11" x14ac:dyDescent="0.2">
      <c r="C413" s="2"/>
      <c r="D413" s="2"/>
      <c r="E413" s="2"/>
      <c r="F413" s="2"/>
      <c r="G413" s="5"/>
      <c r="H413" s="2"/>
      <c r="I413" s="2"/>
      <c r="J413" s="2"/>
      <c r="K413" s="2"/>
    </row>
    <row r="414" spans="3:11" x14ac:dyDescent="0.2">
      <c r="C414" s="2"/>
      <c r="D414" s="2"/>
      <c r="E414" s="2"/>
      <c r="F414" s="2"/>
      <c r="G414" s="5"/>
      <c r="H414" s="2"/>
      <c r="I414" s="2"/>
      <c r="J414" s="2"/>
      <c r="K414" s="2"/>
    </row>
    <row r="415" spans="3:11" x14ac:dyDescent="0.2">
      <c r="C415" s="2"/>
      <c r="D415" s="2"/>
      <c r="E415" s="2"/>
      <c r="F415" s="2"/>
      <c r="G415" s="5"/>
      <c r="H415" s="2"/>
      <c r="I415" s="2"/>
      <c r="J415" s="2"/>
      <c r="K415" s="2"/>
    </row>
    <row r="416" spans="3:11" x14ac:dyDescent="0.2">
      <c r="C416" s="2"/>
      <c r="D416" s="2"/>
      <c r="E416" s="2"/>
      <c r="F416" s="2"/>
      <c r="G416" s="5"/>
      <c r="H416" s="2"/>
      <c r="I416" s="2"/>
      <c r="J416" s="2"/>
      <c r="K416" s="2"/>
    </row>
    <row r="417" spans="3:11" x14ac:dyDescent="0.2">
      <c r="C417" s="2"/>
      <c r="D417" s="2"/>
      <c r="E417" s="2"/>
      <c r="F417" s="2"/>
      <c r="G417" s="5"/>
      <c r="H417" s="2"/>
      <c r="I417" s="2"/>
      <c r="J417" s="2"/>
      <c r="K417" s="2"/>
    </row>
    <row r="418" spans="3:11" x14ac:dyDescent="0.2">
      <c r="C418" s="2"/>
      <c r="D418" s="2"/>
      <c r="E418" s="2"/>
      <c r="F418" s="2"/>
      <c r="G418" s="5"/>
      <c r="H418" s="2"/>
      <c r="I418" s="2"/>
      <c r="J418" s="2"/>
      <c r="K418" s="2"/>
    </row>
    <row r="419" spans="3:11" x14ac:dyDescent="0.2">
      <c r="C419" s="2"/>
      <c r="D419" s="2"/>
      <c r="E419" s="2"/>
      <c r="F419" s="2"/>
      <c r="G419" s="5"/>
      <c r="H419" s="2"/>
      <c r="I419" s="2"/>
      <c r="J419" s="2"/>
      <c r="K419" s="2"/>
    </row>
    <row r="420" spans="3:11" x14ac:dyDescent="0.2">
      <c r="C420" s="2"/>
      <c r="D420" s="2"/>
      <c r="E420" s="2"/>
      <c r="F420" s="2"/>
      <c r="G420" s="5"/>
      <c r="H420" s="2"/>
      <c r="I420" s="2"/>
      <c r="J420" s="2"/>
      <c r="K420" s="2"/>
    </row>
    <row r="421" spans="3:11" x14ac:dyDescent="0.2">
      <c r="C421" s="2"/>
      <c r="D421" s="2"/>
      <c r="E421" s="2"/>
      <c r="F421" s="2"/>
      <c r="G421" s="5"/>
      <c r="H421" s="2"/>
      <c r="I421" s="2"/>
      <c r="J421" s="2"/>
      <c r="K421" s="2"/>
    </row>
    <row r="422" spans="3:11" x14ac:dyDescent="0.2">
      <c r="C422" s="2"/>
      <c r="D422" s="2"/>
      <c r="E422" s="2"/>
      <c r="F422" s="2"/>
      <c r="G422" s="5"/>
      <c r="H422" s="2"/>
      <c r="I422" s="2"/>
      <c r="J422" s="2"/>
      <c r="K422" s="2"/>
    </row>
    <row r="423" spans="3:11" x14ac:dyDescent="0.2">
      <c r="C423" s="2"/>
      <c r="D423" s="2"/>
      <c r="E423" s="2"/>
      <c r="F423" s="2"/>
      <c r="G423" s="5"/>
      <c r="H423" s="2"/>
      <c r="I423" s="2"/>
      <c r="J423" s="2"/>
      <c r="K423" s="2"/>
    </row>
    <row r="424" spans="3:11" x14ac:dyDescent="0.2">
      <c r="C424" s="2"/>
      <c r="D424" s="2"/>
      <c r="E424" s="2"/>
      <c r="F424" s="2"/>
      <c r="G424" s="5"/>
      <c r="H424" s="2"/>
      <c r="I424" s="2"/>
      <c r="J424" s="2"/>
      <c r="K424" s="2"/>
    </row>
    <row r="425" spans="3:11" x14ac:dyDescent="0.2">
      <c r="C425" s="2"/>
      <c r="D425" s="2"/>
      <c r="E425" s="2"/>
      <c r="F425" s="2"/>
      <c r="G425" s="5"/>
      <c r="H425" s="2"/>
      <c r="I425" s="2"/>
      <c r="J425" s="2"/>
      <c r="K425" s="2"/>
    </row>
    <row r="426" spans="3:11" x14ac:dyDescent="0.2">
      <c r="C426" s="2"/>
      <c r="D426" s="2"/>
      <c r="E426" s="2"/>
      <c r="F426" s="2"/>
      <c r="G426" s="5"/>
      <c r="H426" s="2"/>
      <c r="I426" s="2"/>
      <c r="J426" s="2"/>
      <c r="K426" s="2"/>
    </row>
    <row r="427" spans="3:11" x14ac:dyDescent="0.2">
      <c r="C427" s="2"/>
      <c r="D427" s="2"/>
      <c r="E427" s="2"/>
      <c r="F427" s="2"/>
      <c r="G427" s="5"/>
      <c r="H427" s="2"/>
      <c r="I427" s="2"/>
      <c r="J427" s="2"/>
      <c r="K427" s="2"/>
    </row>
    <row r="428" spans="3:11" x14ac:dyDescent="0.2">
      <c r="C428" s="2"/>
      <c r="D428" s="2"/>
      <c r="E428" s="2"/>
      <c r="F428" s="2"/>
      <c r="G428" s="5"/>
      <c r="H428" s="2"/>
      <c r="I428" s="2"/>
      <c r="J428" s="2"/>
      <c r="K428" s="2"/>
    </row>
    <row r="429" spans="3:11" x14ac:dyDescent="0.2">
      <c r="C429" s="2"/>
      <c r="D429" s="2"/>
      <c r="E429" s="2"/>
      <c r="F429" s="2"/>
      <c r="G429" s="5"/>
      <c r="H429" s="2"/>
      <c r="I429" s="2"/>
      <c r="J429" s="2"/>
      <c r="K429" s="2"/>
    </row>
    <row r="430" spans="3:11" x14ac:dyDescent="0.2">
      <c r="C430" s="2"/>
      <c r="D430" s="2"/>
      <c r="E430" s="2"/>
      <c r="F430" s="2"/>
      <c r="G430" s="5"/>
      <c r="H430" s="2"/>
      <c r="I430" s="2"/>
      <c r="J430" s="2"/>
      <c r="K430" s="2"/>
    </row>
    <row r="431" spans="3:11" x14ac:dyDescent="0.2">
      <c r="C431" s="2"/>
      <c r="D431" s="2"/>
      <c r="E431" s="2"/>
      <c r="F431" s="2"/>
      <c r="G431" s="5"/>
      <c r="H431" s="2"/>
      <c r="I431" s="2"/>
      <c r="J431" s="2"/>
      <c r="K431" s="2"/>
    </row>
    <row r="432" spans="3:11" x14ac:dyDescent="0.2">
      <c r="C432" s="2"/>
      <c r="D432" s="2"/>
      <c r="E432" s="2"/>
      <c r="F432" s="2"/>
      <c r="G432" s="5"/>
      <c r="H432" s="2"/>
      <c r="I432" s="2"/>
      <c r="J432" s="2"/>
      <c r="K432" s="2"/>
    </row>
    <row r="433" spans="3:11" x14ac:dyDescent="0.2">
      <c r="C433" s="2"/>
      <c r="D433" s="2"/>
      <c r="E433" s="2"/>
      <c r="F433" s="2"/>
      <c r="G433" s="5"/>
      <c r="H433" s="2"/>
      <c r="I433" s="2"/>
      <c r="J433" s="2"/>
      <c r="K433" s="2"/>
    </row>
    <row r="434" spans="3:11" x14ac:dyDescent="0.2">
      <c r="C434" s="2"/>
      <c r="D434" s="2"/>
      <c r="E434" s="2"/>
      <c r="F434" s="2"/>
      <c r="G434" s="5"/>
      <c r="H434" s="2"/>
      <c r="I434" s="2"/>
      <c r="J434" s="2"/>
      <c r="K434" s="2"/>
    </row>
    <row r="435" spans="3:11" x14ac:dyDescent="0.2">
      <c r="C435" s="2"/>
      <c r="D435" s="2"/>
      <c r="E435" s="2"/>
      <c r="F435" s="2"/>
      <c r="G435" s="5"/>
      <c r="H435" s="2"/>
      <c r="I435" s="2"/>
      <c r="J435" s="2"/>
      <c r="K435" s="2"/>
    </row>
    <row r="436" spans="3:11" x14ac:dyDescent="0.2">
      <c r="C436" s="2"/>
      <c r="D436" s="2"/>
      <c r="E436" s="2"/>
      <c r="F436" s="2"/>
      <c r="G436" s="5"/>
      <c r="H436" s="2"/>
      <c r="I436" s="2"/>
      <c r="J436" s="2"/>
      <c r="K436" s="2"/>
    </row>
    <row r="437" spans="3:11" x14ac:dyDescent="0.2">
      <c r="C437" s="2"/>
      <c r="D437" s="2"/>
      <c r="E437" s="2"/>
      <c r="F437" s="2"/>
      <c r="G437" s="5"/>
      <c r="H437" s="2"/>
      <c r="I437" s="2"/>
      <c r="J437" s="2"/>
      <c r="K437" s="2"/>
    </row>
    <row r="438" spans="3:11" x14ac:dyDescent="0.2">
      <c r="C438" s="2"/>
      <c r="D438" s="2"/>
      <c r="E438" s="2"/>
      <c r="F438" s="2"/>
      <c r="G438" s="5"/>
      <c r="H438" s="2"/>
      <c r="I438" s="2"/>
      <c r="J438" s="2"/>
      <c r="K438" s="2"/>
    </row>
    <row r="439" spans="3:11" x14ac:dyDescent="0.2">
      <c r="C439" s="2"/>
      <c r="D439" s="2"/>
      <c r="E439" s="2"/>
      <c r="F439" s="2"/>
      <c r="G439" s="5"/>
      <c r="H439" s="2"/>
      <c r="I439" s="2"/>
      <c r="J439" s="2"/>
      <c r="K439" s="2"/>
    </row>
    <row r="440" spans="3:11" x14ac:dyDescent="0.2">
      <c r="C440" s="2"/>
      <c r="D440" s="2"/>
      <c r="E440" s="2"/>
      <c r="F440" s="2"/>
      <c r="G440" s="5"/>
      <c r="H440" s="2"/>
      <c r="I440" s="2"/>
      <c r="J440" s="2"/>
      <c r="K440" s="2"/>
    </row>
    <row r="441" spans="3:11" x14ac:dyDescent="0.2">
      <c r="C441" s="2"/>
      <c r="D441" s="2"/>
      <c r="E441" s="2"/>
      <c r="F441" s="2"/>
      <c r="G441" s="5"/>
      <c r="H441" s="2"/>
      <c r="I441" s="2"/>
      <c r="J441" s="2"/>
      <c r="K441" s="2"/>
    </row>
    <row r="442" spans="3:11" x14ac:dyDescent="0.2">
      <c r="C442" s="2"/>
      <c r="D442" s="2"/>
      <c r="E442" s="2"/>
      <c r="F442" s="2"/>
      <c r="G442" s="5"/>
      <c r="H442" s="2"/>
      <c r="I442" s="2"/>
      <c r="J442" s="2"/>
      <c r="K442" s="2"/>
    </row>
    <row r="443" spans="3:11" x14ac:dyDescent="0.2">
      <c r="C443" s="2"/>
      <c r="D443" s="2"/>
      <c r="E443" s="2"/>
      <c r="F443" s="2"/>
      <c r="G443" s="5"/>
      <c r="H443" s="2"/>
      <c r="I443" s="2"/>
      <c r="J443" s="2"/>
      <c r="K443" s="2"/>
    </row>
    <row r="444" spans="3:11" x14ac:dyDescent="0.2">
      <c r="C444" s="2"/>
      <c r="D444" s="2"/>
      <c r="E444" s="2"/>
      <c r="F444" s="2"/>
      <c r="G444" s="5"/>
      <c r="H444" s="2"/>
      <c r="I444" s="2"/>
      <c r="J444" s="2"/>
      <c r="K444" s="2"/>
    </row>
    <row r="445" spans="3:11" x14ac:dyDescent="0.2">
      <c r="C445" s="2"/>
      <c r="D445" s="2"/>
      <c r="E445" s="2"/>
      <c r="F445" s="2"/>
      <c r="G445" s="5"/>
      <c r="H445" s="2"/>
      <c r="I445" s="2"/>
      <c r="J445" s="2"/>
      <c r="K445" s="2"/>
    </row>
    <row r="446" spans="3:11" x14ac:dyDescent="0.2">
      <c r="C446" s="2"/>
      <c r="D446" s="2"/>
      <c r="E446" s="2"/>
      <c r="F446" s="2"/>
      <c r="G446" s="5"/>
      <c r="H446" s="2"/>
      <c r="I446" s="2"/>
      <c r="J446" s="2"/>
      <c r="K446" s="2"/>
    </row>
    <row r="447" spans="3:11" x14ac:dyDescent="0.2">
      <c r="C447" s="2"/>
      <c r="D447" s="2"/>
      <c r="E447" s="2"/>
      <c r="F447" s="2"/>
      <c r="G447" s="5"/>
      <c r="H447" s="2"/>
      <c r="I447" s="2"/>
      <c r="J447" s="2"/>
      <c r="K447" s="2"/>
    </row>
    <row r="448" spans="3:11" x14ac:dyDescent="0.2">
      <c r="C448" s="2"/>
      <c r="D448" s="2"/>
      <c r="E448" s="2"/>
      <c r="F448" s="2"/>
      <c r="G448" s="5"/>
      <c r="H448" s="2"/>
      <c r="I448" s="2"/>
      <c r="J448" s="2"/>
      <c r="K448" s="2"/>
    </row>
    <row r="449" spans="3:11" x14ac:dyDescent="0.2">
      <c r="C449" s="2"/>
      <c r="D449" s="2"/>
      <c r="E449" s="2"/>
      <c r="F449" s="2"/>
      <c r="G449" s="5"/>
      <c r="H449" s="2"/>
      <c r="I449" s="2"/>
      <c r="J449" s="2"/>
      <c r="K449" s="2"/>
    </row>
    <row r="450" spans="3:11" x14ac:dyDescent="0.2">
      <c r="C450" s="2"/>
      <c r="D450" s="2"/>
      <c r="E450" s="2"/>
      <c r="F450" s="2"/>
      <c r="G450" s="5"/>
      <c r="H450" s="2"/>
      <c r="I450" s="2"/>
      <c r="J450" s="2"/>
      <c r="K450" s="2"/>
    </row>
    <row r="451" spans="3:11" x14ac:dyDescent="0.2">
      <c r="C451" s="2"/>
      <c r="D451" s="2"/>
      <c r="E451" s="2"/>
      <c r="F451" s="2"/>
      <c r="G451" s="5"/>
      <c r="H451" s="2"/>
      <c r="I451" s="2"/>
      <c r="J451" s="2"/>
      <c r="K451" s="2"/>
    </row>
    <row r="452" spans="3:11" x14ac:dyDescent="0.2">
      <c r="C452" s="2"/>
      <c r="D452" s="2"/>
      <c r="E452" s="2"/>
      <c r="F452" s="2"/>
      <c r="G452" s="5"/>
      <c r="H452" s="2"/>
      <c r="I452" s="2"/>
      <c r="J452" s="2"/>
      <c r="K452" s="2"/>
    </row>
    <row r="453" spans="3:11" x14ac:dyDescent="0.2">
      <c r="C453" s="2"/>
      <c r="D453" s="2"/>
      <c r="E453" s="2"/>
      <c r="F453" s="2"/>
      <c r="G453" s="5"/>
      <c r="H453" s="2"/>
      <c r="I453" s="2"/>
      <c r="J453" s="2"/>
      <c r="K453" s="2"/>
    </row>
    <row r="454" spans="3:11" x14ac:dyDescent="0.2">
      <c r="C454" s="2"/>
      <c r="D454" s="2"/>
      <c r="E454" s="2"/>
      <c r="F454" s="2"/>
      <c r="G454" s="5"/>
      <c r="H454" s="2"/>
      <c r="I454" s="2"/>
      <c r="J454" s="2"/>
      <c r="K454" s="2"/>
    </row>
    <row r="455" spans="3:11" x14ac:dyDescent="0.2">
      <c r="C455" s="2"/>
      <c r="D455" s="2"/>
      <c r="E455" s="2"/>
      <c r="F455" s="2"/>
      <c r="G455" s="5"/>
      <c r="H455" s="2"/>
      <c r="I455" s="2"/>
      <c r="J455" s="2"/>
      <c r="K455" s="2"/>
    </row>
    <row r="456" spans="3:11" x14ac:dyDescent="0.2">
      <c r="C456" s="2"/>
      <c r="D456" s="2"/>
      <c r="E456" s="2"/>
      <c r="F456" s="2"/>
      <c r="G456" s="5"/>
      <c r="H456" s="2"/>
      <c r="I456" s="2"/>
      <c r="J456" s="2"/>
      <c r="K456" s="2"/>
    </row>
    <row r="457" spans="3:11" x14ac:dyDescent="0.2">
      <c r="C457" s="2"/>
      <c r="D457" s="2"/>
      <c r="E457" s="2"/>
      <c r="F457" s="2"/>
      <c r="G457" s="5"/>
      <c r="H457" s="2"/>
      <c r="I457" s="2"/>
      <c r="J457" s="2"/>
      <c r="K457" s="2"/>
    </row>
    <row r="458" spans="3:11" x14ac:dyDescent="0.2">
      <c r="C458" s="2"/>
      <c r="D458" s="2"/>
      <c r="E458" s="2"/>
      <c r="F458" s="2"/>
      <c r="G458" s="5"/>
      <c r="H458" s="2"/>
      <c r="I458" s="2"/>
      <c r="J458" s="2"/>
      <c r="K458" s="2"/>
    </row>
    <row r="459" spans="3:11" x14ac:dyDescent="0.2">
      <c r="C459" s="2"/>
      <c r="D459" s="2"/>
      <c r="E459" s="2"/>
      <c r="F459" s="2"/>
      <c r="G459" s="5"/>
      <c r="H459" s="2"/>
      <c r="I459" s="2"/>
      <c r="J459" s="2"/>
      <c r="K459" s="2"/>
    </row>
    <row r="460" spans="3:11" x14ac:dyDescent="0.2">
      <c r="C460" s="2"/>
      <c r="D460" s="2"/>
      <c r="E460" s="2"/>
      <c r="F460" s="2"/>
      <c r="G460" s="5"/>
      <c r="H460" s="2"/>
      <c r="I460" s="2"/>
      <c r="J460" s="2"/>
      <c r="K460" s="2"/>
    </row>
    <row r="461" spans="3:11" x14ac:dyDescent="0.2">
      <c r="C461" s="2"/>
      <c r="D461" s="2"/>
      <c r="E461" s="2"/>
      <c r="F461" s="2"/>
      <c r="G461" s="5"/>
      <c r="H461" s="2"/>
      <c r="I461" s="2"/>
      <c r="J461" s="2"/>
      <c r="K461" s="2"/>
    </row>
    <row r="462" spans="3:11" x14ac:dyDescent="0.2">
      <c r="C462" s="2"/>
      <c r="D462" s="2"/>
      <c r="E462" s="2"/>
      <c r="F462" s="2"/>
      <c r="G462" s="5"/>
      <c r="H462" s="2"/>
      <c r="I462" s="2"/>
      <c r="J462" s="2"/>
      <c r="K462" s="2"/>
    </row>
    <row r="463" spans="3:11" x14ac:dyDescent="0.2">
      <c r="C463" s="2"/>
      <c r="D463" s="2"/>
      <c r="E463" s="2"/>
      <c r="F463" s="2"/>
      <c r="G463" s="5"/>
      <c r="H463" s="2"/>
      <c r="I463" s="2"/>
      <c r="J463" s="2"/>
      <c r="K463" s="2"/>
    </row>
    <row r="464" spans="3:11" x14ac:dyDescent="0.2">
      <c r="C464" s="2"/>
      <c r="D464" s="2"/>
      <c r="E464" s="2"/>
      <c r="F464" s="2"/>
      <c r="G464" s="5"/>
      <c r="H464" s="2"/>
      <c r="I464" s="2"/>
      <c r="J464" s="2"/>
      <c r="K464" s="2"/>
    </row>
    <row r="465" spans="3:11" x14ac:dyDescent="0.2">
      <c r="C465" s="2"/>
      <c r="D465" s="2"/>
      <c r="E465" s="2"/>
      <c r="F465" s="2"/>
      <c r="G465" s="5"/>
      <c r="H465" s="2"/>
      <c r="I465" s="2"/>
      <c r="J465" s="2"/>
      <c r="K465" s="2"/>
    </row>
    <row r="466" spans="3:11" x14ac:dyDescent="0.2">
      <c r="C466" s="2"/>
      <c r="D466" s="2"/>
      <c r="E466" s="2"/>
      <c r="F466" s="2"/>
      <c r="G466" s="5"/>
      <c r="H466" s="2"/>
      <c r="I466" s="2"/>
      <c r="J466" s="2"/>
      <c r="K466" s="2"/>
    </row>
    <row r="467" spans="3:11" x14ac:dyDescent="0.2">
      <c r="C467" s="2"/>
      <c r="D467" s="2"/>
      <c r="E467" s="2"/>
      <c r="F467" s="2"/>
      <c r="G467" s="5"/>
      <c r="H467" s="2"/>
      <c r="I467" s="2"/>
      <c r="J467" s="2"/>
      <c r="K467" s="2"/>
    </row>
    <row r="468" spans="3:11" x14ac:dyDescent="0.2">
      <c r="C468" s="2"/>
      <c r="D468" s="2"/>
      <c r="E468" s="2"/>
      <c r="F468" s="2"/>
      <c r="G468" s="5"/>
      <c r="H468" s="2"/>
      <c r="I468" s="2"/>
      <c r="J468" s="2"/>
      <c r="K468" s="2"/>
    </row>
    <row r="469" spans="3:11" x14ac:dyDescent="0.2">
      <c r="C469" s="2"/>
      <c r="D469" s="2"/>
      <c r="E469" s="2"/>
      <c r="F469" s="2"/>
      <c r="G469" s="5"/>
      <c r="H469" s="2"/>
      <c r="I469" s="2"/>
      <c r="J469" s="2"/>
      <c r="K469" s="2"/>
    </row>
    <row r="470" spans="3:11" x14ac:dyDescent="0.2">
      <c r="C470" s="2"/>
      <c r="D470" s="2"/>
      <c r="E470" s="2"/>
      <c r="F470" s="2"/>
      <c r="G470" s="5"/>
      <c r="H470" s="2"/>
      <c r="I470" s="2"/>
      <c r="J470" s="2"/>
      <c r="K470" s="2"/>
    </row>
    <row r="471" spans="3:11" x14ac:dyDescent="0.2">
      <c r="C471" s="2"/>
      <c r="D471" s="2"/>
      <c r="E471" s="2"/>
      <c r="F471" s="2"/>
      <c r="G471" s="5"/>
      <c r="H471" s="2"/>
      <c r="I471" s="2"/>
      <c r="J471" s="2"/>
      <c r="K471" s="2"/>
    </row>
    <row r="472" spans="3:11" x14ac:dyDescent="0.2">
      <c r="C472" s="2"/>
      <c r="D472" s="2"/>
      <c r="E472" s="2"/>
      <c r="F472" s="2"/>
      <c r="G472" s="5"/>
      <c r="H472" s="2"/>
      <c r="I472" s="2"/>
      <c r="J472" s="2"/>
      <c r="K472" s="2"/>
    </row>
    <row r="473" spans="3:11" x14ac:dyDescent="0.2">
      <c r="C473" s="2"/>
      <c r="D473" s="2"/>
      <c r="E473" s="2"/>
      <c r="F473" s="2"/>
      <c r="G473" s="5"/>
      <c r="H473" s="2"/>
      <c r="I473" s="2"/>
      <c r="J473" s="2"/>
      <c r="K473" s="2"/>
    </row>
    <row r="474" spans="3:11" x14ac:dyDescent="0.2">
      <c r="C474" s="2"/>
      <c r="D474" s="2"/>
      <c r="E474" s="2"/>
      <c r="F474" s="2"/>
      <c r="G474" s="5"/>
      <c r="H474" s="2"/>
      <c r="I474" s="2"/>
      <c r="J474" s="2"/>
      <c r="K474" s="2"/>
    </row>
    <row r="475" spans="3:11" x14ac:dyDescent="0.2">
      <c r="C475" s="2"/>
      <c r="D475" s="2"/>
      <c r="E475" s="2"/>
      <c r="F475" s="2"/>
      <c r="G475" s="5"/>
      <c r="H475" s="2"/>
      <c r="I475" s="2"/>
      <c r="J475" s="2"/>
      <c r="K475" s="2"/>
    </row>
    <row r="476" spans="3:11" x14ac:dyDescent="0.2">
      <c r="C476" s="2"/>
      <c r="D476" s="2"/>
      <c r="E476" s="2"/>
      <c r="F476" s="2"/>
      <c r="G476" s="5"/>
      <c r="H476" s="2"/>
      <c r="I476" s="2"/>
      <c r="J476" s="2"/>
      <c r="K476" s="2"/>
    </row>
    <row r="477" spans="3:11" x14ac:dyDescent="0.2">
      <c r="C477" s="2"/>
      <c r="D477" s="2"/>
      <c r="E477" s="2"/>
      <c r="F477" s="2"/>
      <c r="G477" s="5"/>
      <c r="H477" s="2"/>
      <c r="I477" s="2"/>
      <c r="J477" s="2"/>
      <c r="K477" s="2"/>
    </row>
    <row r="478" spans="3:11" x14ac:dyDescent="0.2">
      <c r="C478" s="2"/>
      <c r="D478" s="2"/>
      <c r="E478" s="2"/>
      <c r="F478" s="2"/>
      <c r="G478" s="5"/>
      <c r="H478" s="2"/>
      <c r="I478" s="2"/>
      <c r="J478" s="2"/>
      <c r="K478" s="2"/>
    </row>
    <row r="479" spans="3:11" x14ac:dyDescent="0.2">
      <c r="C479" s="2"/>
      <c r="D479" s="2"/>
      <c r="E479" s="2"/>
      <c r="F479" s="2"/>
      <c r="G479" s="5"/>
      <c r="H479" s="2"/>
      <c r="I479" s="2"/>
      <c r="J479" s="2"/>
      <c r="K479" s="2"/>
    </row>
    <row r="480" spans="3:11" x14ac:dyDescent="0.2">
      <c r="C480" s="2"/>
      <c r="D480" s="2"/>
      <c r="E480" s="2"/>
      <c r="F480" s="2"/>
      <c r="G480" s="5"/>
      <c r="H480" s="2"/>
      <c r="I480" s="2"/>
      <c r="J480" s="2"/>
      <c r="K480" s="2"/>
    </row>
    <row r="481" spans="3:11" x14ac:dyDescent="0.2">
      <c r="C481" s="2"/>
      <c r="D481" s="2"/>
      <c r="E481" s="2"/>
      <c r="F481" s="2"/>
      <c r="G481" s="5"/>
      <c r="H481" s="2"/>
      <c r="I481" s="2"/>
      <c r="J481" s="2"/>
      <c r="K481" s="2"/>
    </row>
    <row r="482" spans="3:11" x14ac:dyDescent="0.2">
      <c r="C482" s="2"/>
      <c r="D482" s="2"/>
      <c r="E482" s="2"/>
      <c r="F482" s="2"/>
      <c r="G482" s="5"/>
      <c r="H482" s="2"/>
      <c r="I482" s="2"/>
      <c r="J482" s="2"/>
      <c r="K482" s="2"/>
    </row>
    <row r="483" spans="3:11" x14ac:dyDescent="0.2">
      <c r="C483" s="2"/>
      <c r="D483" s="2"/>
      <c r="E483" s="2"/>
      <c r="F483" s="2"/>
      <c r="G483" s="5"/>
      <c r="H483" s="2"/>
      <c r="I483" s="2"/>
      <c r="J483" s="2"/>
      <c r="K483" s="2"/>
    </row>
    <row r="484" spans="3:11" x14ac:dyDescent="0.2">
      <c r="C484" s="2"/>
      <c r="D484" s="2"/>
      <c r="E484" s="2"/>
      <c r="F484" s="2"/>
      <c r="G484" s="5"/>
      <c r="H484" s="2"/>
      <c r="I484" s="2"/>
      <c r="J484" s="2"/>
      <c r="K484" s="2"/>
    </row>
    <row r="485" spans="3:11" x14ac:dyDescent="0.2">
      <c r="C485" s="2"/>
      <c r="D485" s="2"/>
      <c r="E485" s="2"/>
      <c r="F485" s="2"/>
      <c r="G485" s="5"/>
      <c r="H485" s="2"/>
      <c r="I485" s="2"/>
      <c r="J485" s="2"/>
      <c r="K485" s="2"/>
    </row>
    <row r="486" spans="3:11" x14ac:dyDescent="0.2">
      <c r="C486" s="2"/>
      <c r="D486" s="2"/>
      <c r="E486" s="2"/>
      <c r="F486" s="2"/>
      <c r="G486" s="5"/>
      <c r="H486" s="2"/>
      <c r="I486" s="2"/>
      <c r="J486" s="2"/>
      <c r="K486" s="2"/>
    </row>
    <row r="487" spans="3:11" x14ac:dyDescent="0.2">
      <c r="C487" s="2"/>
      <c r="D487" s="2"/>
      <c r="E487" s="2"/>
      <c r="F487" s="2"/>
      <c r="G487" s="5"/>
      <c r="H487" s="2"/>
      <c r="I487" s="2"/>
      <c r="J487" s="2"/>
      <c r="K487" s="2"/>
    </row>
    <row r="488" spans="3:11" x14ac:dyDescent="0.2">
      <c r="C488" s="2"/>
      <c r="D488" s="2"/>
      <c r="E488" s="2"/>
      <c r="F488" s="2"/>
      <c r="G488" s="5"/>
      <c r="H488" s="2"/>
      <c r="I488" s="2"/>
      <c r="J488" s="2"/>
      <c r="K488" s="2"/>
    </row>
    <row r="489" spans="3:11" x14ac:dyDescent="0.2">
      <c r="C489" s="2"/>
      <c r="D489" s="2"/>
      <c r="E489" s="2"/>
      <c r="F489" s="2"/>
      <c r="G489" s="5"/>
      <c r="H489" s="2"/>
      <c r="I489" s="2"/>
      <c r="J489" s="2"/>
      <c r="K489" s="2"/>
    </row>
    <row r="490" spans="3:11" x14ac:dyDescent="0.2">
      <c r="C490" s="2"/>
      <c r="D490" s="2"/>
      <c r="E490" s="2"/>
      <c r="F490" s="2"/>
      <c r="G490" s="5"/>
      <c r="H490" s="2"/>
      <c r="I490" s="2"/>
      <c r="J490" s="2"/>
      <c r="K490" s="2"/>
    </row>
    <row r="491" spans="3:11" x14ac:dyDescent="0.2">
      <c r="C491" s="2"/>
      <c r="D491" s="2"/>
      <c r="E491" s="2"/>
      <c r="F491" s="2"/>
      <c r="G491" s="5"/>
      <c r="H491" s="2"/>
      <c r="I491" s="2"/>
      <c r="J491" s="2"/>
      <c r="K491" s="2"/>
    </row>
    <row r="492" spans="3:11" x14ac:dyDescent="0.2">
      <c r="C492" s="2"/>
      <c r="D492" s="2"/>
      <c r="E492" s="2"/>
      <c r="F492" s="2"/>
      <c r="G492" s="5"/>
      <c r="H492" s="2"/>
      <c r="I492" s="2"/>
      <c r="J492" s="2"/>
      <c r="K492" s="2"/>
    </row>
    <row r="493" spans="3:11" x14ac:dyDescent="0.2">
      <c r="C493" s="2"/>
      <c r="D493" s="2"/>
      <c r="E493" s="2"/>
      <c r="F493" s="2"/>
      <c r="G493" s="5"/>
      <c r="H493" s="2"/>
      <c r="I493" s="2"/>
      <c r="J493" s="2"/>
      <c r="K493" s="2"/>
    </row>
    <row r="494" spans="3:11" x14ac:dyDescent="0.2">
      <c r="C494" s="2"/>
      <c r="D494" s="2"/>
      <c r="E494" s="2"/>
      <c r="F494" s="2"/>
      <c r="G494" s="5"/>
      <c r="H494" s="2"/>
      <c r="I494" s="2"/>
      <c r="J494" s="2"/>
      <c r="K494" s="2"/>
    </row>
    <row r="495" spans="3:11" x14ac:dyDescent="0.2">
      <c r="C495" s="2"/>
      <c r="D495" s="2"/>
      <c r="E495" s="2"/>
      <c r="F495" s="2"/>
      <c r="G495" s="5"/>
      <c r="H495" s="2"/>
      <c r="I495" s="2"/>
      <c r="J495" s="2"/>
      <c r="K495" s="2"/>
    </row>
    <row r="496" spans="3:11" x14ac:dyDescent="0.2">
      <c r="C496" s="2"/>
      <c r="D496" s="2"/>
      <c r="E496" s="2"/>
      <c r="F496" s="2"/>
      <c r="G496" s="5"/>
      <c r="H496" s="2"/>
      <c r="I496" s="2"/>
      <c r="J496" s="2"/>
      <c r="K496" s="2"/>
    </row>
    <row r="497" spans="3:11" x14ac:dyDescent="0.2">
      <c r="C497" s="2"/>
      <c r="D497" s="2"/>
      <c r="E497" s="2"/>
      <c r="F497" s="2"/>
      <c r="G497" s="5"/>
      <c r="H497" s="2"/>
      <c r="I497" s="2"/>
      <c r="J497" s="2"/>
      <c r="K497" s="2"/>
    </row>
    <row r="498" spans="3:11" x14ac:dyDescent="0.2">
      <c r="C498" s="2"/>
      <c r="D498" s="2"/>
      <c r="E498" s="2"/>
      <c r="F498" s="2"/>
      <c r="G498" s="5"/>
      <c r="H498" s="2"/>
      <c r="I498" s="2"/>
      <c r="J498" s="2"/>
      <c r="K498" s="2"/>
    </row>
    <row r="499" spans="3:11" x14ac:dyDescent="0.2">
      <c r="C499" s="2"/>
      <c r="D499" s="2"/>
      <c r="E499" s="2"/>
      <c r="F499" s="2"/>
      <c r="G499" s="5"/>
      <c r="H499" s="2"/>
      <c r="I499" s="2"/>
      <c r="J499" s="2"/>
      <c r="K499" s="2"/>
    </row>
    <row r="500" spans="3:11" x14ac:dyDescent="0.2">
      <c r="C500" s="2"/>
      <c r="D500" s="2"/>
      <c r="E500" s="2"/>
      <c r="F500" s="2"/>
      <c r="G500" s="5"/>
      <c r="H500" s="2"/>
      <c r="I500" s="2"/>
      <c r="J500" s="2"/>
      <c r="K500" s="2"/>
    </row>
    <row r="501" spans="3:11" x14ac:dyDescent="0.2">
      <c r="C501" s="2"/>
      <c r="D501" s="2"/>
      <c r="E501" s="2"/>
      <c r="F501" s="2"/>
      <c r="G501" s="5"/>
      <c r="H501" s="2"/>
      <c r="I501" s="2"/>
      <c r="J501" s="2"/>
      <c r="K501" s="2"/>
    </row>
    <row r="502" spans="3:11" x14ac:dyDescent="0.2">
      <c r="C502" s="2"/>
      <c r="D502" s="2"/>
      <c r="E502" s="2"/>
      <c r="F502" s="2"/>
      <c r="G502" s="5"/>
      <c r="H502" s="2"/>
      <c r="I502" s="2"/>
      <c r="J502" s="2"/>
      <c r="K502" s="2"/>
    </row>
    <row r="503" spans="3:11" x14ac:dyDescent="0.2">
      <c r="C503" s="2"/>
      <c r="D503" s="2"/>
      <c r="E503" s="2"/>
      <c r="F503" s="2"/>
      <c r="G503" s="5"/>
      <c r="H503" s="2"/>
      <c r="I503" s="2"/>
      <c r="J503" s="2"/>
      <c r="K503" s="2"/>
    </row>
    <row r="504" spans="3:11" x14ac:dyDescent="0.2">
      <c r="C504" s="2"/>
      <c r="D504" s="2"/>
      <c r="E504" s="2"/>
      <c r="F504" s="2"/>
      <c r="G504" s="5"/>
      <c r="H504" s="2"/>
      <c r="I504" s="2"/>
      <c r="J504" s="2"/>
      <c r="K504" s="2"/>
    </row>
    <row r="505" spans="3:11" x14ac:dyDescent="0.2">
      <c r="C505" s="2"/>
      <c r="D505" s="2"/>
      <c r="E505" s="2"/>
      <c r="F505" s="2"/>
      <c r="G505" s="5"/>
      <c r="H505" s="2"/>
      <c r="I505" s="2"/>
      <c r="J505" s="2"/>
      <c r="K505" s="2"/>
    </row>
    <row r="506" spans="3:11" x14ac:dyDescent="0.2">
      <c r="C506" s="2"/>
      <c r="D506" s="2"/>
      <c r="E506" s="2"/>
      <c r="F506" s="2"/>
      <c r="G506" s="5"/>
      <c r="H506" s="2"/>
      <c r="I506" s="2"/>
      <c r="J506" s="2"/>
      <c r="K506" s="2"/>
    </row>
    <row r="507" spans="3:11" x14ac:dyDescent="0.2">
      <c r="C507" s="2"/>
      <c r="D507" s="2"/>
      <c r="E507" s="2"/>
      <c r="F507" s="2"/>
      <c r="G507" s="5"/>
      <c r="H507" s="2"/>
      <c r="I507" s="2"/>
      <c r="J507" s="2"/>
      <c r="K507" s="2"/>
    </row>
    <row r="508" spans="3:11" x14ac:dyDescent="0.2">
      <c r="C508" s="2"/>
      <c r="D508" s="2"/>
      <c r="E508" s="2"/>
      <c r="F508" s="2"/>
      <c r="G508" s="5"/>
      <c r="H508" s="2"/>
      <c r="I508" s="2"/>
      <c r="J508" s="2"/>
      <c r="K508" s="2"/>
    </row>
    <row r="509" spans="3:11" x14ac:dyDescent="0.2">
      <c r="C509" s="2"/>
      <c r="D509" s="2"/>
      <c r="E509" s="2"/>
      <c r="F509" s="2"/>
      <c r="G509" s="5"/>
      <c r="H509" s="2"/>
      <c r="I509" s="2"/>
      <c r="J509" s="2"/>
      <c r="K509" s="2"/>
    </row>
    <row r="510" spans="3:11" x14ac:dyDescent="0.2">
      <c r="C510" s="2"/>
      <c r="D510" s="2"/>
      <c r="E510" s="2"/>
      <c r="F510" s="2"/>
      <c r="G510" s="5"/>
      <c r="H510" s="2"/>
      <c r="I510" s="2"/>
      <c r="J510" s="2"/>
      <c r="K510" s="2"/>
    </row>
    <row r="511" spans="3:11" x14ac:dyDescent="0.2">
      <c r="C511" s="2"/>
      <c r="D511" s="2"/>
      <c r="E511" s="2"/>
      <c r="F511" s="2"/>
      <c r="G511" s="5"/>
      <c r="H511" s="2"/>
      <c r="I511" s="2"/>
      <c r="J511" s="2"/>
      <c r="K511" s="2"/>
    </row>
    <row r="512" spans="3:11" x14ac:dyDescent="0.2">
      <c r="C512" s="2"/>
      <c r="D512" s="2"/>
      <c r="E512" s="2"/>
      <c r="F512" s="2"/>
      <c r="G512" s="5"/>
      <c r="H512" s="2"/>
      <c r="I512" s="2"/>
      <c r="J512" s="2"/>
      <c r="K512" s="2"/>
    </row>
    <row r="513" spans="3:11" x14ac:dyDescent="0.2">
      <c r="C513" s="2"/>
      <c r="D513" s="2"/>
      <c r="E513" s="2"/>
      <c r="F513" s="2"/>
      <c r="G513" s="5"/>
      <c r="H513" s="2"/>
      <c r="I513" s="2"/>
      <c r="J513" s="2"/>
      <c r="K513" s="2"/>
    </row>
    <row r="514" spans="3:11" x14ac:dyDescent="0.2">
      <c r="C514" s="2"/>
      <c r="D514" s="2"/>
      <c r="E514" s="2"/>
      <c r="F514" s="2"/>
      <c r="G514" s="5"/>
      <c r="H514" s="2"/>
      <c r="I514" s="2"/>
      <c r="J514" s="2"/>
      <c r="K514" s="2"/>
    </row>
    <row r="515" spans="3:11" x14ac:dyDescent="0.2">
      <c r="C515" s="2"/>
      <c r="D515" s="2"/>
      <c r="E515" s="2"/>
      <c r="F515" s="2"/>
      <c r="G515" s="5"/>
      <c r="H515" s="2"/>
      <c r="I515" s="2"/>
      <c r="J515" s="2"/>
      <c r="K515" s="2"/>
    </row>
    <row r="516" spans="3:11" x14ac:dyDescent="0.2">
      <c r="C516" s="2"/>
      <c r="D516" s="2"/>
      <c r="E516" s="2"/>
      <c r="F516" s="2"/>
      <c r="G516" s="5"/>
      <c r="H516" s="2"/>
      <c r="I516" s="2"/>
      <c r="J516" s="2"/>
      <c r="K516" s="2"/>
    </row>
    <row r="517" spans="3:11" x14ac:dyDescent="0.2">
      <c r="C517" s="2"/>
      <c r="D517" s="2"/>
      <c r="E517" s="2"/>
      <c r="F517" s="2"/>
      <c r="G517" s="5"/>
      <c r="H517" s="2"/>
      <c r="I517" s="2"/>
      <c r="J517" s="2"/>
      <c r="K517" s="2"/>
    </row>
    <row r="518" spans="3:11" x14ac:dyDescent="0.2">
      <c r="C518" s="2"/>
      <c r="D518" s="2"/>
      <c r="E518" s="2"/>
      <c r="F518" s="2"/>
      <c r="G518" s="5"/>
      <c r="H518" s="2"/>
      <c r="I518" s="2"/>
      <c r="J518" s="2"/>
      <c r="K518" s="2"/>
    </row>
    <row r="519" spans="3:11" x14ac:dyDescent="0.2">
      <c r="C519" s="2"/>
      <c r="D519" s="2"/>
      <c r="E519" s="2"/>
      <c r="F519" s="2"/>
      <c r="G519" s="5"/>
      <c r="H519" s="2"/>
      <c r="I519" s="2"/>
      <c r="J519" s="2"/>
      <c r="K519" s="2"/>
    </row>
    <row r="520" spans="3:11" x14ac:dyDescent="0.2">
      <c r="C520" s="2"/>
      <c r="D520" s="2"/>
      <c r="E520" s="2"/>
      <c r="F520" s="2"/>
      <c r="G520" s="5"/>
      <c r="H520" s="2"/>
      <c r="I520" s="2"/>
      <c r="J520" s="2"/>
      <c r="K520" s="2"/>
    </row>
    <row r="521" spans="3:11" x14ac:dyDescent="0.2">
      <c r="C521" s="2"/>
      <c r="D521" s="2"/>
      <c r="E521" s="2"/>
      <c r="F521" s="2"/>
      <c r="G521" s="5"/>
      <c r="H521" s="2"/>
      <c r="I521" s="2"/>
      <c r="J521" s="2"/>
      <c r="K521" s="2"/>
    </row>
    <row r="522" spans="3:11" x14ac:dyDescent="0.2">
      <c r="C522" s="2"/>
      <c r="D522" s="2"/>
      <c r="E522" s="2"/>
      <c r="F522" s="2"/>
      <c r="G522" s="5"/>
      <c r="H522" s="2"/>
      <c r="I522" s="2"/>
      <c r="J522" s="2"/>
      <c r="K522" s="2"/>
    </row>
    <row r="523" spans="3:11" x14ac:dyDescent="0.2">
      <c r="C523" s="2"/>
      <c r="D523" s="2"/>
      <c r="E523" s="2"/>
      <c r="F523" s="2"/>
      <c r="G523" s="5"/>
      <c r="H523" s="2"/>
      <c r="I523" s="2"/>
      <c r="J523" s="2"/>
      <c r="K523" s="2"/>
    </row>
    <row r="524" spans="3:11" x14ac:dyDescent="0.2">
      <c r="C524" s="2"/>
      <c r="D524" s="2"/>
      <c r="E524" s="2"/>
      <c r="F524" s="2"/>
      <c r="G524" s="5"/>
      <c r="H524" s="2"/>
      <c r="I524" s="2"/>
      <c r="J524" s="2"/>
      <c r="K524" s="2"/>
    </row>
    <row r="525" spans="3:11" x14ac:dyDescent="0.2">
      <c r="C525" s="2"/>
      <c r="D525" s="2"/>
      <c r="E525" s="2"/>
      <c r="F525" s="2"/>
      <c r="G525" s="5"/>
      <c r="H525" s="2"/>
      <c r="I525" s="2"/>
      <c r="J525" s="2"/>
      <c r="K525" s="2"/>
    </row>
    <row r="526" spans="3:11" x14ac:dyDescent="0.2">
      <c r="C526" s="2"/>
      <c r="D526" s="2"/>
      <c r="E526" s="2"/>
      <c r="F526" s="2"/>
      <c r="G526" s="5"/>
      <c r="H526" s="2"/>
      <c r="I526" s="2"/>
      <c r="J526" s="2"/>
      <c r="K526" s="2"/>
    </row>
    <row r="527" spans="3:11" x14ac:dyDescent="0.2">
      <c r="C527" s="2"/>
      <c r="D527" s="2"/>
      <c r="E527" s="2"/>
      <c r="F527" s="2"/>
      <c r="G527" s="5"/>
      <c r="H527" s="2"/>
      <c r="I527" s="2"/>
      <c r="J527" s="2"/>
      <c r="K527" s="2"/>
    </row>
    <row r="528" spans="3:11" x14ac:dyDescent="0.2">
      <c r="C528" s="2"/>
      <c r="D528" s="2"/>
      <c r="E528" s="2"/>
      <c r="F528" s="2"/>
      <c r="G528" s="5"/>
      <c r="H528" s="2"/>
      <c r="I528" s="2"/>
      <c r="J528" s="2"/>
      <c r="K528" s="2"/>
    </row>
    <row r="529" spans="3:11" x14ac:dyDescent="0.2">
      <c r="C529" s="2"/>
      <c r="D529" s="2"/>
      <c r="E529" s="2"/>
      <c r="F529" s="2"/>
      <c r="G529" s="5"/>
      <c r="H529" s="2"/>
      <c r="I529" s="2"/>
      <c r="J529" s="2"/>
      <c r="K529" s="2"/>
    </row>
    <row r="530" spans="3:11" x14ac:dyDescent="0.2">
      <c r="C530" s="2"/>
      <c r="D530" s="2"/>
      <c r="E530" s="2"/>
      <c r="F530" s="2"/>
      <c r="G530" s="5"/>
      <c r="H530" s="2"/>
      <c r="I530" s="2"/>
      <c r="J530" s="2"/>
      <c r="K530" s="2"/>
    </row>
    <row r="531" spans="3:11" x14ac:dyDescent="0.2">
      <c r="C531" s="2"/>
      <c r="D531" s="2"/>
      <c r="E531" s="2"/>
      <c r="F531" s="2"/>
      <c r="G531" s="5"/>
      <c r="H531" s="2"/>
      <c r="I531" s="2"/>
      <c r="J531" s="2"/>
      <c r="K531" s="2"/>
    </row>
    <row r="532" spans="3:11" x14ac:dyDescent="0.2">
      <c r="C532" s="2"/>
      <c r="D532" s="2"/>
      <c r="E532" s="2"/>
      <c r="F532" s="2"/>
      <c r="G532" s="5"/>
      <c r="H532" s="2"/>
      <c r="I532" s="2"/>
      <c r="J532" s="2"/>
      <c r="K532" s="2"/>
    </row>
    <row r="533" spans="3:11" x14ac:dyDescent="0.2">
      <c r="C533" s="2"/>
      <c r="D533" s="2"/>
      <c r="E533" s="2"/>
      <c r="F533" s="2"/>
      <c r="G533" s="5"/>
      <c r="H533" s="2"/>
      <c r="I533" s="2"/>
      <c r="J533" s="2"/>
      <c r="K533" s="2"/>
    </row>
    <row r="534" spans="3:11" x14ac:dyDescent="0.2">
      <c r="C534" s="2"/>
      <c r="D534" s="2"/>
      <c r="E534" s="2"/>
      <c r="F534" s="2"/>
      <c r="G534" s="5"/>
      <c r="H534" s="2"/>
      <c r="I534" s="2"/>
      <c r="J534" s="2"/>
      <c r="K534" s="2"/>
    </row>
    <row r="535" spans="3:11" x14ac:dyDescent="0.2">
      <c r="C535" s="2"/>
      <c r="D535" s="2"/>
      <c r="E535" s="2"/>
      <c r="F535" s="2"/>
      <c r="G535" s="5"/>
      <c r="H535" s="2"/>
      <c r="I535" s="2"/>
      <c r="J535" s="2"/>
      <c r="K535" s="2"/>
    </row>
    <row r="536" spans="3:11" x14ac:dyDescent="0.2">
      <c r="C536" s="2"/>
      <c r="D536" s="2"/>
      <c r="E536" s="2"/>
      <c r="F536" s="2"/>
      <c r="G536" s="5"/>
      <c r="H536" s="2"/>
      <c r="I536" s="2"/>
      <c r="J536" s="2"/>
      <c r="K536" s="2"/>
    </row>
    <row r="537" spans="3:11" x14ac:dyDescent="0.2">
      <c r="C537" s="2"/>
      <c r="D537" s="2"/>
      <c r="E537" s="2"/>
      <c r="F537" s="2"/>
      <c r="G537" s="5"/>
      <c r="H537" s="2"/>
      <c r="I537" s="2"/>
      <c r="J537" s="2"/>
      <c r="K537" s="2"/>
    </row>
    <row r="538" spans="3:11" x14ac:dyDescent="0.2">
      <c r="C538" s="2"/>
      <c r="D538" s="2"/>
      <c r="E538" s="2"/>
      <c r="F538" s="2"/>
      <c r="G538" s="5"/>
      <c r="H538" s="2"/>
      <c r="I538" s="2"/>
      <c r="J538" s="2"/>
      <c r="K538" s="2"/>
    </row>
    <row r="539" spans="3:11" x14ac:dyDescent="0.2">
      <c r="C539" s="2"/>
      <c r="D539" s="2"/>
      <c r="E539" s="2"/>
      <c r="F539" s="2"/>
      <c r="G539" s="5"/>
      <c r="H539" s="2"/>
      <c r="I539" s="2"/>
      <c r="J539" s="2"/>
      <c r="K539" s="2"/>
    </row>
    <row r="540" spans="3:11" x14ac:dyDescent="0.2">
      <c r="C540" s="2"/>
      <c r="D540" s="2"/>
      <c r="E540" s="2"/>
      <c r="F540" s="2"/>
      <c r="G540" s="5"/>
      <c r="H540" s="2"/>
      <c r="I540" s="2"/>
      <c r="J540" s="2"/>
      <c r="K540" s="2"/>
    </row>
    <row r="541" spans="3:11" x14ac:dyDescent="0.2">
      <c r="C541" s="2"/>
      <c r="D541" s="2"/>
      <c r="E541" s="2"/>
      <c r="F541" s="2"/>
      <c r="G541" s="5"/>
      <c r="H541" s="2"/>
      <c r="I541" s="2"/>
      <c r="J541" s="2"/>
      <c r="K541" s="2"/>
    </row>
    <row r="542" spans="3:11" x14ac:dyDescent="0.2">
      <c r="C542" s="2"/>
      <c r="D542" s="2"/>
      <c r="E542" s="2"/>
      <c r="F542" s="2"/>
      <c r="G542" s="5"/>
      <c r="H542" s="2"/>
      <c r="I542" s="2"/>
      <c r="J542" s="2"/>
      <c r="K542" s="2"/>
    </row>
    <row r="543" spans="3:11" x14ac:dyDescent="0.2">
      <c r="C543" s="2"/>
      <c r="D543" s="2"/>
      <c r="E543" s="2"/>
      <c r="F543" s="2"/>
      <c r="G543" s="5"/>
      <c r="H543" s="2"/>
      <c r="I543" s="2"/>
      <c r="J543" s="2"/>
      <c r="K543" s="2"/>
    </row>
    <row r="544" spans="3:11" x14ac:dyDescent="0.2">
      <c r="C544" s="2"/>
      <c r="D544" s="2"/>
      <c r="E544" s="2"/>
      <c r="F544" s="2"/>
      <c r="G544" s="5"/>
      <c r="H544" s="2"/>
      <c r="I544" s="2"/>
      <c r="J544" s="2"/>
      <c r="K544" s="2"/>
    </row>
    <row r="545" spans="3:11" x14ac:dyDescent="0.2">
      <c r="C545" s="2"/>
      <c r="D545" s="2"/>
      <c r="E545" s="2"/>
      <c r="F545" s="2"/>
      <c r="G545" s="5"/>
      <c r="H545" s="2"/>
      <c r="I545" s="2"/>
      <c r="J545" s="2"/>
      <c r="K545" s="2"/>
    </row>
    <row r="546" spans="3:11" x14ac:dyDescent="0.2">
      <c r="C546" s="2"/>
      <c r="D546" s="2"/>
      <c r="E546" s="2"/>
      <c r="F546" s="2"/>
      <c r="G546" s="5"/>
      <c r="H546" s="2"/>
      <c r="I546" s="2"/>
      <c r="J546" s="2"/>
      <c r="K546" s="2"/>
    </row>
    <row r="547" spans="3:11" x14ac:dyDescent="0.2">
      <c r="C547" s="2"/>
      <c r="D547" s="2"/>
      <c r="E547" s="2"/>
      <c r="F547" s="2"/>
      <c r="G547" s="5"/>
      <c r="H547" s="2"/>
      <c r="I547" s="2"/>
      <c r="J547" s="2"/>
      <c r="K547" s="2"/>
    </row>
    <row r="548" spans="3:11" x14ac:dyDescent="0.2">
      <c r="C548" s="2"/>
      <c r="D548" s="2"/>
      <c r="E548" s="2"/>
      <c r="F548" s="2"/>
      <c r="G548" s="5"/>
      <c r="H548" s="2"/>
      <c r="I548" s="2"/>
      <c r="J548" s="2"/>
      <c r="K548" s="2"/>
    </row>
    <row r="549" spans="3:11" x14ac:dyDescent="0.2">
      <c r="C549" s="2"/>
      <c r="D549" s="2"/>
      <c r="E549" s="2"/>
      <c r="F549" s="2"/>
      <c r="G549" s="5"/>
      <c r="H549" s="2"/>
      <c r="I549" s="2"/>
      <c r="J549" s="2"/>
      <c r="K549" s="2"/>
    </row>
    <row r="550" spans="3:11" x14ac:dyDescent="0.2">
      <c r="C550" s="2"/>
      <c r="D550" s="2"/>
      <c r="E550" s="2"/>
      <c r="F550" s="2"/>
      <c r="G550" s="5"/>
      <c r="H550" s="2"/>
      <c r="I550" s="2"/>
      <c r="J550" s="2"/>
      <c r="K550" s="2"/>
    </row>
    <row r="551" spans="3:11" x14ac:dyDescent="0.2">
      <c r="C551" s="2"/>
      <c r="D551" s="2"/>
      <c r="E551" s="2"/>
      <c r="F551" s="2"/>
      <c r="G551" s="5"/>
      <c r="H551" s="2"/>
      <c r="I551" s="2"/>
      <c r="J551" s="2"/>
      <c r="K551" s="2"/>
    </row>
    <row r="552" spans="3:11" x14ac:dyDescent="0.2">
      <c r="C552" s="2"/>
      <c r="D552" s="2"/>
      <c r="E552" s="2"/>
      <c r="F552" s="2"/>
      <c r="G552" s="5"/>
      <c r="H552" s="2"/>
      <c r="I552" s="2"/>
      <c r="J552" s="2"/>
      <c r="K552" s="2"/>
    </row>
    <row r="553" spans="3:11" x14ac:dyDescent="0.2">
      <c r="C553" s="2"/>
      <c r="D553" s="2"/>
      <c r="E553" s="2"/>
      <c r="F553" s="2"/>
      <c r="G553" s="5"/>
      <c r="H553" s="2"/>
      <c r="I553" s="2"/>
      <c r="J553" s="2"/>
      <c r="K553" s="2"/>
    </row>
    <row r="554" spans="3:11" x14ac:dyDescent="0.2">
      <c r="C554" s="2"/>
      <c r="D554" s="2"/>
      <c r="E554" s="2"/>
      <c r="F554" s="2"/>
      <c r="G554" s="5"/>
      <c r="H554" s="2"/>
      <c r="I554" s="2"/>
      <c r="J554" s="2"/>
      <c r="K554" s="2"/>
    </row>
    <row r="555" spans="3:11" x14ac:dyDescent="0.2">
      <c r="C555" s="2"/>
      <c r="D555" s="2"/>
      <c r="E555" s="2"/>
      <c r="F555" s="2"/>
      <c r="G555" s="5"/>
      <c r="H555" s="2"/>
      <c r="I555" s="2"/>
      <c r="J555" s="2"/>
      <c r="K555" s="2"/>
    </row>
    <row r="556" spans="3:11" x14ac:dyDescent="0.2">
      <c r="C556" s="2"/>
      <c r="D556" s="2"/>
      <c r="E556" s="2"/>
      <c r="F556" s="2"/>
      <c r="G556" s="5"/>
      <c r="H556" s="2"/>
      <c r="I556" s="2"/>
      <c r="J556" s="2"/>
      <c r="K556" s="2"/>
    </row>
    <row r="557" spans="3:11" x14ac:dyDescent="0.2">
      <c r="C557" s="2"/>
      <c r="D557" s="2"/>
      <c r="E557" s="2"/>
      <c r="F557" s="2"/>
      <c r="G557" s="5"/>
      <c r="H557" s="2"/>
      <c r="I557" s="2"/>
      <c r="J557" s="2"/>
      <c r="K557" s="2"/>
    </row>
    <row r="558" spans="3:11" x14ac:dyDescent="0.2">
      <c r="C558" s="2"/>
      <c r="D558" s="2"/>
      <c r="E558" s="2"/>
      <c r="F558" s="2"/>
      <c r="G558" s="5"/>
      <c r="H558" s="2"/>
      <c r="I558" s="2"/>
      <c r="J558" s="2"/>
      <c r="K558" s="2"/>
    </row>
    <row r="559" spans="3:11" x14ac:dyDescent="0.2">
      <c r="C559" s="2"/>
      <c r="D559" s="2"/>
      <c r="E559" s="2"/>
      <c r="F559" s="2"/>
      <c r="G559" s="5"/>
      <c r="H559" s="2"/>
      <c r="I559" s="2"/>
      <c r="J559" s="2"/>
      <c r="K559" s="2"/>
    </row>
    <row r="560" spans="3:11" x14ac:dyDescent="0.2">
      <c r="C560" s="2"/>
      <c r="D560" s="2"/>
      <c r="E560" s="2"/>
      <c r="F560" s="2"/>
      <c r="G560" s="5"/>
      <c r="H560" s="2"/>
      <c r="I560" s="2"/>
      <c r="J560" s="2"/>
      <c r="K560" s="2"/>
    </row>
    <row r="561" spans="3:11" x14ac:dyDescent="0.2">
      <c r="C561" s="2"/>
      <c r="D561" s="2"/>
      <c r="E561" s="2"/>
      <c r="F561" s="2"/>
      <c r="G561" s="5"/>
      <c r="H561" s="2"/>
      <c r="I561" s="2"/>
      <c r="J561" s="2"/>
      <c r="K561" s="2"/>
    </row>
    <row r="562" spans="3:11" x14ac:dyDescent="0.2">
      <c r="C562" s="2"/>
      <c r="D562" s="2"/>
      <c r="E562" s="2"/>
      <c r="F562" s="2"/>
      <c r="G562" s="5"/>
      <c r="H562" s="2"/>
      <c r="I562" s="2"/>
      <c r="J562" s="2"/>
      <c r="K562" s="2"/>
    </row>
    <row r="563" spans="3:11" x14ac:dyDescent="0.2">
      <c r="C563" s="2"/>
      <c r="D563" s="2"/>
      <c r="E563" s="2"/>
      <c r="F563" s="2"/>
      <c r="G563" s="5"/>
      <c r="H563" s="2"/>
      <c r="I563" s="2"/>
      <c r="J563" s="2"/>
      <c r="K563" s="2"/>
    </row>
    <row r="564" spans="3:11" x14ac:dyDescent="0.2">
      <c r="C564" s="2"/>
      <c r="D564" s="2"/>
      <c r="E564" s="2"/>
      <c r="F564" s="2"/>
      <c r="G564" s="5"/>
      <c r="H564" s="2"/>
      <c r="I564" s="2"/>
      <c r="J564" s="2"/>
      <c r="K564" s="2"/>
    </row>
    <row r="565" spans="3:11" x14ac:dyDescent="0.2">
      <c r="C565" s="2"/>
      <c r="D565" s="2"/>
      <c r="E565" s="2"/>
      <c r="F565" s="2"/>
      <c r="G565" s="5"/>
      <c r="H565" s="2"/>
      <c r="I565" s="2"/>
      <c r="J565" s="2"/>
      <c r="K565" s="2"/>
    </row>
    <row r="566" spans="3:11" x14ac:dyDescent="0.2">
      <c r="C566" s="2"/>
      <c r="D566" s="2"/>
      <c r="E566" s="2"/>
      <c r="F566" s="2"/>
      <c r="G566" s="5"/>
      <c r="H566" s="2"/>
      <c r="I566" s="2"/>
      <c r="J566" s="2"/>
      <c r="K566" s="2"/>
    </row>
    <row r="567" spans="3:11" x14ac:dyDescent="0.2">
      <c r="C567" s="2"/>
      <c r="D567" s="2"/>
      <c r="E567" s="2"/>
      <c r="F567" s="2"/>
      <c r="G567" s="5"/>
      <c r="H567" s="2"/>
      <c r="I567" s="2"/>
      <c r="J567" s="2"/>
      <c r="K567" s="2"/>
    </row>
    <row r="568" spans="3:11" x14ac:dyDescent="0.2">
      <c r="C568" s="2"/>
      <c r="D568" s="2"/>
      <c r="E568" s="2"/>
      <c r="F568" s="2"/>
      <c r="G568" s="5"/>
      <c r="H568" s="2"/>
      <c r="I568" s="2"/>
      <c r="J568" s="2"/>
      <c r="K568" s="2"/>
    </row>
    <row r="569" spans="3:11" x14ac:dyDescent="0.2">
      <c r="C569" s="2"/>
      <c r="D569" s="2"/>
      <c r="E569" s="2"/>
      <c r="F569" s="2"/>
      <c r="G569" s="5"/>
      <c r="H569" s="2"/>
      <c r="I569" s="2"/>
      <c r="J569" s="2"/>
      <c r="K569" s="2"/>
    </row>
    <row r="570" spans="3:11" x14ac:dyDescent="0.2">
      <c r="C570" s="2"/>
      <c r="D570" s="2"/>
      <c r="E570" s="2"/>
      <c r="F570" s="2"/>
      <c r="G570" s="5"/>
      <c r="H570" s="2"/>
      <c r="I570" s="2"/>
      <c r="J570" s="2"/>
      <c r="K570" s="2"/>
    </row>
    <row r="571" spans="3:11" x14ac:dyDescent="0.2">
      <c r="C571" s="2"/>
      <c r="D571" s="2"/>
      <c r="E571" s="2"/>
      <c r="F571" s="2"/>
      <c r="G571" s="5"/>
      <c r="H571" s="2"/>
      <c r="I571" s="2"/>
      <c r="J571" s="2"/>
      <c r="K571" s="2"/>
    </row>
    <row r="572" spans="3:11" x14ac:dyDescent="0.2">
      <c r="C572" s="2"/>
      <c r="D572" s="2"/>
      <c r="E572" s="2"/>
      <c r="F572" s="2"/>
      <c r="G572" s="5"/>
      <c r="H572" s="2"/>
      <c r="I572" s="2"/>
      <c r="J572" s="2"/>
      <c r="K572" s="2"/>
    </row>
    <row r="573" spans="3:11" x14ac:dyDescent="0.2">
      <c r="C573" s="2"/>
      <c r="D573" s="2"/>
      <c r="E573" s="2"/>
      <c r="F573" s="2"/>
      <c r="G573" s="5"/>
      <c r="H573" s="2"/>
      <c r="I573" s="2"/>
      <c r="J573" s="2"/>
      <c r="K573" s="2"/>
    </row>
    <row r="574" spans="3:11" x14ac:dyDescent="0.2">
      <c r="C574" s="2"/>
      <c r="D574" s="2"/>
      <c r="E574" s="2"/>
      <c r="F574" s="2"/>
      <c r="G574" s="5"/>
      <c r="H574" s="2"/>
      <c r="I574" s="2"/>
      <c r="J574" s="2"/>
      <c r="K574" s="2"/>
    </row>
    <row r="575" spans="3:11" x14ac:dyDescent="0.2">
      <c r="C575" s="2"/>
      <c r="D575" s="2"/>
      <c r="E575" s="2"/>
      <c r="F575" s="2"/>
      <c r="G575" s="5"/>
      <c r="H575" s="2"/>
      <c r="I575" s="2"/>
      <c r="J575" s="2"/>
      <c r="K575" s="2"/>
    </row>
    <row r="576" spans="3:11" x14ac:dyDescent="0.2">
      <c r="C576" s="2"/>
      <c r="D576" s="2"/>
      <c r="E576" s="2"/>
      <c r="F576" s="2"/>
      <c r="G576" s="5"/>
      <c r="H576" s="2"/>
      <c r="I576" s="2"/>
      <c r="J576" s="2"/>
      <c r="K576" s="2"/>
    </row>
    <row r="577" spans="3:11" x14ac:dyDescent="0.2">
      <c r="C577" s="2"/>
      <c r="D577" s="2"/>
      <c r="E577" s="2"/>
      <c r="F577" s="2"/>
      <c r="G577" s="5"/>
      <c r="H577" s="2"/>
      <c r="I577" s="2"/>
      <c r="J577" s="2"/>
      <c r="K577" s="2"/>
    </row>
    <row r="578" spans="3:11" x14ac:dyDescent="0.2">
      <c r="C578" s="2"/>
      <c r="D578" s="2"/>
      <c r="E578" s="2"/>
      <c r="F578" s="2"/>
      <c r="G578" s="5"/>
      <c r="H578" s="2"/>
      <c r="I578" s="2"/>
      <c r="J578" s="2"/>
      <c r="K578" s="2"/>
    </row>
    <row r="579" spans="3:11" x14ac:dyDescent="0.2">
      <c r="C579" s="2"/>
      <c r="D579" s="2"/>
      <c r="E579" s="2"/>
      <c r="F579" s="2"/>
      <c r="G579" s="5"/>
      <c r="H579" s="2"/>
      <c r="I579" s="2"/>
      <c r="J579" s="2"/>
      <c r="K579" s="2"/>
    </row>
    <row r="580" spans="3:11" x14ac:dyDescent="0.2">
      <c r="C580" s="2"/>
      <c r="D580" s="2"/>
      <c r="E580" s="2"/>
      <c r="F580" s="2"/>
      <c r="G580" s="5"/>
      <c r="H580" s="2"/>
      <c r="I580" s="2"/>
      <c r="J580" s="2"/>
      <c r="K580" s="2"/>
    </row>
    <row r="581" spans="3:11" x14ac:dyDescent="0.2">
      <c r="C581" s="2"/>
      <c r="D581" s="2"/>
      <c r="E581" s="2"/>
      <c r="F581" s="2"/>
      <c r="G581" s="5"/>
      <c r="H581" s="2"/>
      <c r="I581" s="2"/>
      <c r="J581" s="2"/>
      <c r="K581" s="2"/>
    </row>
    <row r="582" spans="3:11" x14ac:dyDescent="0.2">
      <c r="C582" s="2"/>
      <c r="D582" s="2"/>
      <c r="E582" s="2"/>
      <c r="F582" s="2"/>
      <c r="G582" s="5"/>
      <c r="H582" s="2"/>
      <c r="I582" s="2"/>
      <c r="J582" s="2"/>
      <c r="K582" s="2"/>
    </row>
    <row r="583" spans="3:11" x14ac:dyDescent="0.2">
      <c r="C583" s="2"/>
      <c r="D583" s="2"/>
      <c r="E583" s="2"/>
      <c r="F583" s="2"/>
      <c r="G583" s="5"/>
      <c r="H583" s="2"/>
      <c r="I583" s="2"/>
      <c r="J583" s="2"/>
      <c r="K583" s="2"/>
    </row>
    <row r="584" spans="3:11" x14ac:dyDescent="0.2">
      <c r="C584" s="2"/>
      <c r="D584" s="2"/>
      <c r="E584" s="2"/>
      <c r="F584" s="2"/>
      <c r="G584" s="5"/>
      <c r="H584" s="2"/>
      <c r="I584" s="2"/>
      <c r="J584" s="2"/>
      <c r="K584" s="2"/>
    </row>
    <row r="585" spans="3:11" x14ac:dyDescent="0.2">
      <c r="C585" s="2"/>
      <c r="D585" s="2"/>
      <c r="E585" s="2"/>
      <c r="F585" s="2"/>
      <c r="G585" s="5"/>
      <c r="H585" s="2"/>
      <c r="I585" s="2"/>
      <c r="J585" s="2"/>
      <c r="K585" s="2"/>
    </row>
    <row r="586" spans="3:11" x14ac:dyDescent="0.2">
      <c r="C586" s="2"/>
      <c r="D586" s="2"/>
      <c r="E586" s="2"/>
      <c r="F586" s="2"/>
      <c r="G586" s="5"/>
      <c r="H586" s="2"/>
      <c r="I586" s="2"/>
      <c r="J586" s="2"/>
      <c r="K586" s="2"/>
    </row>
    <row r="587" spans="3:11" x14ac:dyDescent="0.2">
      <c r="C587" s="2"/>
      <c r="D587" s="2"/>
      <c r="E587" s="2"/>
      <c r="F587" s="2"/>
      <c r="G587" s="5"/>
      <c r="H587" s="2"/>
      <c r="I587" s="2"/>
      <c r="J587" s="2"/>
      <c r="K587" s="2"/>
    </row>
    <row r="588" spans="3:11" x14ac:dyDescent="0.2">
      <c r="C588" s="2"/>
      <c r="D588" s="2"/>
      <c r="E588" s="2"/>
      <c r="F588" s="2"/>
      <c r="G588" s="5"/>
      <c r="H588" s="2"/>
      <c r="I588" s="2"/>
      <c r="J588" s="2"/>
      <c r="K588" s="2"/>
    </row>
    <row r="589" spans="3:11" x14ac:dyDescent="0.2">
      <c r="C589" s="2"/>
      <c r="D589" s="2"/>
      <c r="E589" s="2"/>
      <c r="F589" s="2"/>
      <c r="G589" s="5"/>
      <c r="H589" s="2"/>
      <c r="I589" s="2"/>
      <c r="J589" s="2"/>
      <c r="K589" s="2"/>
    </row>
    <row r="590" spans="3:11" x14ac:dyDescent="0.2">
      <c r="C590" s="2"/>
      <c r="D590" s="2"/>
      <c r="E590" s="2"/>
      <c r="F590" s="2"/>
      <c r="G590" s="5"/>
      <c r="H590" s="2"/>
      <c r="I590" s="2"/>
      <c r="J590" s="2"/>
      <c r="K590" s="2"/>
    </row>
    <row r="591" spans="3:11" x14ac:dyDescent="0.2">
      <c r="C591" s="2"/>
      <c r="D591" s="2"/>
      <c r="E591" s="2"/>
      <c r="F591" s="2"/>
      <c r="G591" s="5"/>
      <c r="H591" s="2"/>
      <c r="I591" s="2"/>
      <c r="J591" s="2"/>
      <c r="K591" s="2"/>
    </row>
    <row r="592" spans="3:11" x14ac:dyDescent="0.2">
      <c r="C592" s="2"/>
      <c r="D592" s="2"/>
      <c r="E592" s="2"/>
      <c r="F592" s="2"/>
      <c r="G592" s="5"/>
      <c r="H592" s="2"/>
      <c r="I592" s="2"/>
      <c r="J592" s="2"/>
      <c r="K592" s="2"/>
    </row>
    <row r="593" spans="3:11" x14ac:dyDescent="0.2">
      <c r="C593" s="2"/>
      <c r="D593" s="2"/>
      <c r="E593" s="2"/>
      <c r="F593" s="2"/>
      <c r="G593" s="5"/>
      <c r="H593" s="2"/>
      <c r="I593" s="2"/>
      <c r="J593" s="2"/>
      <c r="K593" s="2"/>
    </row>
    <row r="594" spans="3:11" x14ac:dyDescent="0.2">
      <c r="C594" s="2"/>
      <c r="D594" s="2"/>
      <c r="E594" s="2"/>
      <c r="F594" s="2"/>
      <c r="G594" s="5"/>
      <c r="H594" s="2"/>
      <c r="I594" s="2"/>
      <c r="J594" s="2"/>
      <c r="K594" s="2"/>
    </row>
    <row r="595" spans="3:11" x14ac:dyDescent="0.2">
      <c r="C595" s="2"/>
      <c r="D595" s="2"/>
      <c r="E595" s="2"/>
      <c r="F595" s="2"/>
      <c r="G595" s="5"/>
      <c r="H595" s="2"/>
      <c r="I595" s="2"/>
      <c r="J595" s="2"/>
      <c r="K595" s="2"/>
    </row>
    <row r="596" spans="3:11" x14ac:dyDescent="0.2">
      <c r="C596" s="2"/>
      <c r="D596" s="2"/>
      <c r="E596" s="2"/>
      <c r="F596" s="2"/>
      <c r="G596" s="5"/>
      <c r="H596" s="2"/>
      <c r="I596" s="2"/>
      <c r="J596" s="2"/>
      <c r="K596" s="2"/>
    </row>
    <row r="597" spans="3:11" x14ac:dyDescent="0.2">
      <c r="C597" s="2"/>
      <c r="D597" s="2"/>
      <c r="E597" s="2"/>
      <c r="F597" s="2"/>
      <c r="G597" s="5"/>
      <c r="H597" s="2"/>
      <c r="I597" s="2"/>
      <c r="J597" s="2"/>
      <c r="K597" s="2"/>
    </row>
    <row r="598" spans="3:11" x14ac:dyDescent="0.2">
      <c r="C598" s="2"/>
      <c r="D598" s="2"/>
      <c r="E598" s="2"/>
      <c r="F598" s="2"/>
      <c r="G598" s="5"/>
      <c r="H598" s="2"/>
      <c r="I598" s="2"/>
      <c r="J598" s="2"/>
      <c r="K598" s="2"/>
    </row>
    <row r="599" spans="3:11" x14ac:dyDescent="0.2">
      <c r="C599" s="2"/>
      <c r="D599" s="2"/>
      <c r="E599" s="2"/>
      <c r="F599" s="2"/>
      <c r="G599" s="5"/>
      <c r="H599" s="2"/>
      <c r="I599" s="2"/>
      <c r="J599" s="2"/>
      <c r="K599" s="2"/>
    </row>
    <row r="600" spans="3:11" x14ac:dyDescent="0.2">
      <c r="C600" s="2"/>
      <c r="D600" s="2"/>
      <c r="E600" s="2"/>
      <c r="F600" s="2"/>
      <c r="G600" s="5"/>
      <c r="H600" s="2"/>
      <c r="I600" s="2"/>
      <c r="J600" s="2"/>
      <c r="K600" s="2"/>
    </row>
    <row r="601" spans="3:11" x14ac:dyDescent="0.2">
      <c r="C601" s="2"/>
      <c r="D601" s="2"/>
      <c r="E601" s="2"/>
      <c r="F601" s="2"/>
      <c r="G601" s="5"/>
      <c r="H601" s="2"/>
      <c r="I601" s="2"/>
      <c r="J601" s="2"/>
      <c r="K601" s="2"/>
    </row>
    <row r="602" spans="3:11" x14ac:dyDescent="0.2">
      <c r="C602" s="2"/>
      <c r="D602" s="2"/>
      <c r="E602" s="2"/>
      <c r="F602" s="2"/>
      <c r="G602" s="5"/>
      <c r="H602" s="2"/>
      <c r="I602" s="2"/>
      <c r="J602" s="2"/>
      <c r="K602" s="2"/>
    </row>
    <row r="603" spans="3:11" x14ac:dyDescent="0.2">
      <c r="C603" s="2"/>
      <c r="D603" s="2"/>
      <c r="E603" s="2"/>
      <c r="F603" s="2"/>
      <c r="G603" s="5"/>
      <c r="H603" s="2"/>
      <c r="I603" s="2"/>
      <c r="J603" s="2"/>
      <c r="K603" s="2"/>
    </row>
  </sheetData>
  <mergeCells count="6">
    <mergeCell ref="D48:E48"/>
    <mergeCell ref="C1:K1"/>
    <mergeCell ref="I3:J3"/>
    <mergeCell ref="D39:E39"/>
    <mergeCell ref="D42:E42"/>
    <mergeCell ref="D45:E45"/>
  </mergeCells>
  <conditionalFormatting sqref="C35:K35">
    <cfRule type="top10" dxfId="1461" priority="1" stopIfTrue="1" rank="10"/>
  </conditionalFormatting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Q71"/>
  <sheetViews>
    <sheetView showGridLines="0" zoomScale="90" zoomScaleNormal="90" workbookViewId="0">
      <pane xSplit="2" ySplit="2" topLeftCell="BAL3" activePane="bottomRight" state="frozen"/>
      <selection activeCell="C4" sqref="C4"/>
      <selection pane="topRight" activeCell="C4" sqref="C4"/>
      <selection pane="bottomLeft" activeCell="C4" sqref="C4"/>
      <selection pane="bottomRight" activeCell="BAQ58" sqref="BAQ58"/>
    </sheetView>
  </sheetViews>
  <sheetFormatPr defaultRowHeight="12.75" outlineLevelRow="1" outlineLevelCol="1" x14ac:dyDescent="0.2"/>
  <cols>
    <col min="1" max="1" width="6" customWidth="1"/>
    <col min="2" max="2" width="20" customWidth="1"/>
    <col min="3" max="4" width="14.28515625" hidden="1" customWidth="1" outlineLevel="1"/>
    <col min="5" max="5" width="13.7109375" hidden="1" customWidth="1" outlineLevel="1"/>
    <col min="6" max="6" width="13.85546875" hidden="1" customWidth="1" outlineLevel="1"/>
    <col min="7" max="7" width="13.42578125" hidden="1" customWidth="1" outlineLevel="1"/>
    <col min="8" max="8" width="14.28515625" hidden="1" customWidth="1" outlineLevel="1"/>
    <col min="9" max="10" width="12.7109375" hidden="1" customWidth="1" outlineLevel="1"/>
    <col min="11" max="11" width="13.42578125" hidden="1" customWidth="1" outlineLevel="1"/>
    <col min="12" max="13" width="12.7109375" hidden="1" customWidth="1" outlineLevel="1"/>
    <col min="14" max="14" width="11.7109375" hidden="1" customWidth="1" outlineLevel="1"/>
    <col min="15" max="15" width="12.5703125" hidden="1" customWidth="1" outlineLevel="1"/>
    <col min="16" max="16" width="11.7109375" hidden="1" customWidth="1" outlineLevel="1"/>
    <col min="17" max="17" width="11.85546875" hidden="1" customWidth="1" outlineLevel="1"/>
    <col min="18" max="19" width="11.7109375" hidden="1" customWidth="1" outlineLevel="1"/>
    <col min="20" max="20" width="12.28515625" hidden="1" customWidth="1" outlineLevel="1"/>
    <col min="21" max="21" width="14.140625" hidden="1" customWidth="1" outlineLevel="1"/>
    <col min="22" max="22" width="13.28515625" hidden="1" customWidth="1" outlineLevel="1"/>
    <col min="23" max="23" width="13.140625" hidden="1" customWidth="1" outlineLevel="1"/>
    <col min="24" max="24" width="14.42578125" hidden="1" customWidth="1" outlineLevel="1"/>
    <col min="25" max="25" width="14" hidden="1" customWidth="1" outlineLevel="1"/>
    <col min="26" max="26" width="12.5703125" hidden="1" customWidth="1" outlineLevel="1"/>
    <col min="27" max="27" width="13" hidden="1" customWidth="1" outlineLevel="1"/>
    <col min="28" max="28" width="13.85546875" hidden="1" customWidth="1" outlineLevel="1"/>
    <col min="29" max="29" width="13.140625" hidden="1" customWidth="1" outlineLevel="1"/>
    <col min="30" max="30" width="13.28515625" hidden="1" customWidth="1" outlineLevel="1"/>
    <col min="31" max="31" width="13.5703125" hidden="1" customWidth="1" outlineLevel="1"/>
    <col min="32" max="32" width="12.7109375" hidden="1" customWidth="1" outlineLevel="1"/>
    <col min="33" max="33" width="12.28515625" hidden="1" customWidth="1" outlineLevel="1"/>
    <col min="34" max="34" width="12.42578125" hidden="1" customWidth="1" outlineLevel="1"/>
    <col min="35" max="35" width="13.28515625" hidden="1" customWidth="1" outlineLevel="1"/>
    <col min="36" max="36" width="14.28515625" hidden="1" customWidth="1" outlineLevel="1"/>
    <col min="37" max="37" width="14" hidden="1" customWidth="1" outlineLevel="1"/>
    <col min="38" max="38" width="13.7109375" hidden="1" customWidth="1" outlineLevel="1"/>
    <col min="39" max="39" width="12.5703125" hidden="1" customWidth="1" outlineLevel="1"/>
    <col min="40" max="40" width="12.42578125" hidden="1" customWidth="1" outlineLevel="1"/>
    <col min="41" max="41" width="12.28515625" hidden="1" customWidth="1" outlineLevel="1"/>
    <col min="42" max="42" width="12.42578125" hidden="1" customWidth="1" outlineLevel="1"/>
    <col min="43" max="43" width="13.28515625" hidden="1" customWidth="1" outlineLevel="1"/>
    <col min="44" max="44" width="11.85546875" hidden="1" customWidth="1" outlineLevel="1"/>
    <col min="45" max="45" width="14.42578125" hidden="1" customWidth="1" outlineLevel="1"/>
    <col min="46" max="46" width="13.7109375" hidden="1" customWidth="1" outlineLevel="1"/>
    <col min="47" max="47" width="13.42578125" hidden="1" customWidth="1" outlineLevel="1"/>
    <col min="48" max="48" width="12.7109375" hidden="1" customWidth="1" outlineLevel="1"/>
    <col min="49" max="49" width="14.5703125" hidden="1" customWidth="1" outlineLevel="1"/>
    <col min="50" max="50" width="13.85546875" hidden="1" customWidth="1" outlineLevel="1"/>
    <col min="51" max="51" width="13.140625" hidden="1" customWidth="1" outlineLevel="1"/>
    <col min="52" max="52" width="12.42578125" hidden="1" customWidth="1" outlineLevel="1"/>
    <col min="53" max="53" width="14.140625" hidden="1" customWidth="1" outlineLevel="1"/>
    <col min="54" max="54" width="13.42578125" hidden="1" customWidth="1" outlineLevel="1"/>
    <col min="55" max="55" width="14" hidden="1" customWidth="1" outlineLevel="1"/>
    <col min="56" max="57" width="13.42578125" hidden="1" customWidth="1" outlineLevel="1"/>
    <col min="58" max="58" width="13.140625" hidden="1" customWidth="1" outlineLevel="1"/>
    <col min="59" max="60" width="11.7109375" hidden="1" customWidth="1" outlineLevel="1"/>
    <col min="61" max="61" width="11.85546875" hidden="1" customWidth="1" outlineLevel="1"/>
    <col min="62" max="62" width="13.5703125" hidden="1" customWidth="1" outlineLevel="1"/>
    <col min="63" max="63" width="13.85546875" hidden="1" customWidth="1" outlineLevel="1"/>
    <col min="64" max="64" width="13.140625" hidden="1" customWidth="1" outlineLevel="1"/>
    <col min="65" max="67" width="12.7109375" hidden="1" customWidth="1" outlineLevel="1"/>
    <col min="68" max="68" width="13.28515625" hidden="1" customWidth="1" outlineLevel="1"/>
    <col min="69" max="69" width="13.7109375" hidden="1" customWidth="1" outlineLevel="1"/>
    <col min="70" max="70" width="14.28515625" hidden="1" customWidth="1" outlineLevel="1"/>
    <col min="71" max="71" width="13.140625" hidden="1" customWidth="1" outlineLevel="1"/>
    <col min="72" max="72" width="13.28515625" hidden="1" customWidth="1" outlineLevel="1"/>
    <col min="73" max="73" width="13.42578125" hidden="1" customWidth="1" outlineLevel="1"/>
    <col min="74" max="74" width="12.7109375" hidden="1" customWidth="1" outlineLevel="1"/>
    <col min="75" max="75" width="14.28515625" hidden="1" customWidth="1" outlineLevel="1"/>
    <col min="76" max="76" width="13.85546875" hidden="1" customWidth="1" outlineLevel="1"/>
    <col min="77" max="78" width="11.85546875" hidden="1" customWidth="1" outlineLevel="1"/>
    <col min="79" max="79" width="12.28515625" hidden="1" customWidth="1" outlineLevel="1"/>
    <col min="80" max="80" width="14.5703125" hidden="1" customWidth="1" outlineLevel="1"/>
    <col min="81" max="81" width="14.7109375" hidden="1" customWidth="1" outlineLevel="1"/>
    <col min="82" max="82" width="13.28515625" hidden="1" customWidth="1" outlineLevel="1"/>
    <col min="83" max="83" width="12.7109375" hidden="1" customWidth="1" outlineLevel="1"/>
    <col min="84" max="84" width="12.85546875" hidden="1" customWidth="1" outlineLevel="1"/>
    <col min="85" max="85" width="13.85546875" hidden="1" customWidth="1" outlineLevel="1"/>
    <col min="86" max="86" width="14" hidden="1" customWidth="1" outlineLevel="1"/>
    <col min="87" max="87" width="13.5703125" hidden="1" customWidth="1" outlineLevel="1"/>
    <col min="88" max="88" width="12.85546875" hidden="1" customWidth="1" outlineLevel="1"/>
    <col min="89" max="89" width="13.28515625" hidden="1" customWidth="1" outlineLevel="1"/>
    <col min="90" max="90" width="12.7109375" hidden="1" customWidth="1" outlineLevel="1"/>
    <col min="91" max="92" width="12.5703125" hidden="1" customWidth="1" outlineLevel="1"/>
    <col min="93" max="93" width="13.42578125" hidden="1" customWidth="1" outlineLevel="1"/>
    <col min="94" max="95" width="11.7109375" hidden="1" customWidth="1" outlineLevel="1"/>
    <col min="96" max="100" width="12.85546875" hidden="1" customWidth="1" outlineLevel="1"/>
    <col min="101" max="101" width="13" hidden="1" customWidth="1" outlineLevel="1"/>
    <col min="102" max="103" width="11.85546875" hidden="1" customWidth="1" outlineLevel="1"/>
    <col min="104" max="105" width="13" hidden="1" customWidth="1" outlineLevel="1"/>
    <col min="106" max="106" width="13.42578125" hidden="1" customWidth="1" outlineLevel="1"/>
    <col min="107" max="107" width="13.5703125" hidden="1" customWidth="1" outlineLevel="1"/>
    <col min="108" max="108" width="13.85546875" hidden="1" customWidth="1" outlineLevel="1"/>
    <col min="109" max="109" width="12.85546875" hidden="1" customWidth="1" outlineLevel="1"/>
    <col min="110" max="110" width="12.5703125" hidden="1" customWidth="1" outlineLevel="1"/>
    <col min="111" max="111" width="12.7109375" hidden="1" customWidth="1" outlineLevel="1"/>
    <col min="112" max="112" width="13" hidden="1" customWidth="1" outlineLevel="1"/>
    <col min="113" max="113" width="13.28515625" hidden="1" customWidth="1" outlineLevel="1"/>
    <col min="114" max="114" width="14" hidden="1" customWidth="1" outlineLevel="1"/>
    <col min="115" max="115" width="12.5703125" hidden="1" customWidth="1" outlineLevel="1"/>
    <col min="116" max="116" width="13.7109375" hidden="1" customWidth="1" outlineLevel="1"/>
    <col min="117" max="117" width="14.7109375" hidden="1" customWidth="1" outlineLevel="1"/>
    <col min="118" max="118" width="13.7109375" hidden="1" customWidth="1" outlineLevel="1"/>
    <col min="119" max="119" width="12.42578125" hidden="1" customWidth="1" outlineLevel="1"/>
    <col min="120" max="120" width="12.85546875" hidden="1" customWidth="1" outlineLevel="1"/>
    <col min="121" max="121" width="13.85546875" hidden="1" customWidth="1" outlineLevel="1"/>
    <col min="122" max="122" width="14.140625" hidden="1" customWidth="1" outlineLevel="1" collapsed="1"/>
    <col min="123" max="123" width="14" hidden="1" customWidth="1" outlineLevel="1"/>
    <col min="124" max="124" width="13.28515625" hidden="1" customWidth="1" outlineLevel="1"/>
    <col min="125" max="125" width="13.5703125" hidden="1" customWidth="1" outlineLevel="1"/>
    <col min="126" max="127" width="12.7109375" hidden="1" customWidth="1" outlineLevel="1"/>
    <col min="128" max="128" width="12.42578125" hidden="1" customWidth="1" outlineLevel="1"/>
    <col min="129" max="129" width="11.7109375" hidden="1" customWidth="1" outlineLevel="1"/>
    <col min="130" max="130" width="12.5703125" hidden="1" customWidth="1" outlineLevel="1"/>
    <col min="131" max="131" width="14" hidden="1" customWidth="1" outlineLevel="1"/>
    <col min="132" max="132" width="12.140625" hidden="1" customWidth="1" outlineLevel="1"/>
    <col min="133" max="133" width="12.7109375" hidden="1" customWidth="1" outlineLevel="1"/>
    <col min="134" max="134" width="13.140625" hidden="1" customWidth="1" outlineLevel="1"/>
    <col min="135" max="135" width="13.28515625" hidden="1" customWidth="1" outlineLevel="1"/>
    <col min="136" max="136" width="13.5703125" hidden="1" customWidth="1" outlineLevel="1"/>
    <col min="137" max="137" width="13.85546875" hidden="1" customWidth="1" outlineLevel="1"/>
    <col min="138" max="138" width="11.7109375" hidden="1" customWidth="1" outlineLevel="1"/>
    <col min="139" max="139" width="13.140625" hidden="1" customWidth="1" outlineLevel="1"/>
    <col min="140" max="140" width="14.140625" hidden="1" customWidth="1" outlineLevel="1"/>
    <col min="141" max="141" width="13.42578125" hidden="1" customWidth="1" outlineLevel="1"/>
    <col min="142" max="142" width="12.5703125" hidden="1" customWidth="1" outlineLevel="1"/>
    <col min="143" max="143" width="13.42578125" hidden="1" customWidth="1" outlineLevel="1"/>
    <col min="144" max="144" width="12.7109375" hidden="1" customWidth="1" outlineLevel="1"/>
    <col min="145" max="145" width="13.140625" hidden="1" customWidth="1" outlineLevel="1"/>
    <col min="146" max="146" width="14" hidden="1" customWidth="1" outlineLevel="1"/>
    <col min="147" max="147" width="12.5703125" hidden="1" customWidth="1" outlineLevel="1"/>
    <col min="148" max="148" width="13" hidden="1" customWidth="1" outlineLevel="1"/>
    <col min="149" max="149" width="13.85546875" hidden="1" customWidth="1" outlineLevel="1"/>
    <col min="150" max="150" width="14" hidden="1" customWidth="1" outlineLevel="1"/>
    <col min="151" max="151" width="15.28515625" hidden="1" customWidth="1" outlineLevel="1"/>
    <col min="152" max="152" width="15.42578125" hidden="1" customWidth="1" outlineLevel="1"/>
    <col min="153" max="153" width="13.5703125" hidden="1" customWidth="1" outlineLevel="1"/>
    <col min="154" max="156" width="13.85546875" hidden="1" customWidth="1" outlineLevel="1"/>
    <col min="157" max="157" width="14.140625" hidden="1" customWidth="1" outlineLevel="1"/>
    <col min="158" max="158" width="13.42578125" hidden="1" customWidth="1" outlineLevel="1"/>
    <col min="159" max="159" width="14" hidden="1" customWidth="1" outlineLevel="1"/>
    <col min="160" max="160" width="14.5703125" hidden="1" customWidth="1" outlineLevel="1"/>
    <col min="161" max="161" width="14.28515625" hidden="1" customWidth="1" outlineLevel="1"/>
    <col min="162" max="162" width="13.7109375" hidden="1" customWidth="1" outlineLevel="1"/>
    <col min="163" max="163" width="14.7109375" hidden="1" customWidth="1" outlineLevel="1"/>
    <col min="164" max="164" width="13.85546875" hidden="1" customWidth="1" outlineLevel="1"/>
    <col min="165" max="165" width="14.140625" hidden="1" customWidth="1" outlineLevel="1"/>
    <col min="166" max="166" width="14.28515625" hidden="1" customWidth="1" outlineLevel="1"/>
    <col min="167" max="167" width="14.7109375" hidden="1" customWidth="1" outlineLevel="1"/>
    <col min="168" max="168" width="14.5703125" hidden="1" customWidth="1" outlineLevel="1"/>
    <col min="169" max="169" width="15.140625" hidden="1" customWidth="1" outlineLevel="1"/>
    <col min="170" max="170" width="14.85546875" hidden="1" customWidth="1" outlineLevel="1"/>
    <col min="171" max="171" width="13.42578125" hidden="1" customWidth="1" outlineLevel="1"/>
    <col min="172" max="172" width="13.5703125" hidden="1" customWidth="1" outlineLevel="1"/>
    <col min="173" max="174" width="14.42578125" hidden="1" customWidth="1" outlineLevel="1"/>
    <col min="175" max="175" width="14.7109375" hidden="1" customWidth="1" outlineLevel="1"/>
    <col min="176" max="176" width="14.85546875" hidden="1" customWidth="1" outlineLevel="1"/>
    <col min="177" max="177" width="15.5703125" hidden="1" customWidth="1" outlineLevel="1"/>
    <col min="178" max="178" width="15" hidden="1" customWidth="1" outlineLevel="1"/>
    <col min="179" max="179" width="14.42578125" hidden="1" customWidth="1" outlineLevel="1"/>
    <col min="180" max="180" width="14.7109375" hidden="1" customWidth="1" outlineLevel="1"/>
    <col min="181" max="181" width="15" hidden="1" customWidth="1" outlineLevel="1"/>
    <col min="182" max="182" width="14" hidden="1" customWidth="1" outlineLevel="1"/>
    <col min="183" max="183" width="13.7109375" hidden="1" customWidth="1" outlineLevel="1"/>
    <col min="184" max="184" width="14" hidden="1" customWidth="1" outlineLevel="1"/>
    <col min="185" max="185" width="14.28515625" hidden="1" customWidth="1" outlineLevel="1"/>
    <col min="186" max="187" width="14.42578125" hidden="1" customWidth="1" outlineLevel="1"/>
    <col min="188" max="188" width="13.7109375" hidden="1" customWidth="1" outlineLevel="1"/>
    <col min="189" max="190" width="14.28515625" hidden="1" customWidth="1" outlineLevel="1"/>
    <col min="191" max="191" width="14" hidden="1" customWidth="1" outlineLevel="1"/>
    <col min="192" max="192" width="14.28515625" hidden="1" customWidth="1" outlineLevel="1"/>
    <col min="193" max="193" width="15.140625" hidden="1" customWidth="1" outlineLevel="1"/>
    <col min="194" max="194" width="15.42578125" hidden="1" customWidth="1" outlineLevel="1"/>
    <col min="195" max="195" width="15.28515625" hidden="1" customWidth="1" outlineLevel="1"/>
    <col min="196" max="196" width="16.42578125" hidden="1" customWidth="1" outlineLevel="1"/>
    <col min="197" max="197" width="15.28515625" hidden="1" customWidth="1" outlineLevel="1"/>
    <col min="198" max="198" width="16.42578125" hidden="1" customWidth="1" outlineLevel="1"/>
    <col min="199" max="199" width="15.85546875" hidden="1" customWidth="1" outlineLevel="1"/>
    <col min="200" max="200" width="14.85546875" hidden="1" customWidth="1" outlineLevel="1"/>
    <col min="201" max="201" width="15.85546875" hidden="1" customWidth="1" outlineLevel="1"/>
    <col min="202" max="202" width="14.42578125" hidden="1" customWidth="1" outlineLevel="1"/>
    <col min="203" max="203" width="14.5703125" hidden="1" customWidth="1" outlineLevel="1"/>
    <col min="204" max="205" width="13.85546875" hidden="1" customWidth="1" outlineLevel="1"/>
    <col min="206" max="206" width="14.5703125" hidden="1" customWidth="1" outlineLevel="1"/>
    <col min="207" max="207" width="15.42578125" hidden="1" customWidth="1" outlineLevel="1"/>
    <col min="208" max="208" width="15.85546875" hidden="1" customWidth="1" outlineLevel="1"/>
    <col min="209" max="209" width="16.7109375" hidden="1" customWidth="1" outlineLevel="1" collapsed="1"/>
    <col min="210" max="210" width="15.140625" hidden="1" customWidth="1" outlineLevel="1"/>
    <col min="211" max="211" width="15.85546875" hidden="1" customWidth="1" outlineLevel="1"/>
    <col min="212" max="212" width="15.5703125" hidden="1" customWidth="1" outlineLevel="1"/>
    <col min="213" max="213" width="16.28515625" hidden="1" customWidth="1" outlineLevel="1"/>
    <col min="214" max="214" width="15.42578125" hidden="1" customWidth="1" outlineLevel="1"/>
    <col min="215" max="215" width="16" hidden="1" customWidth="1" outlineLevel="1"/>
    <col min="216" max="216" width="15.42578125" hidden="1" customWidth="1" outlineLevel="1"/>
    <col min="217" max="220" width="15.7109375" hidden="1" customWidth="1" outlineLevel="1"/>
    <col min="221" max="221" width="16.7109375" hidden="1" customWidth="1" outlineLevel="1"/>
    <col min="222" max="222" width="16.140625" hidden="1" customWidth="1" outlineLevel="1"/>
    <col min="223" max="224" width="16.42578125" hidden="1" customWidth="1" outlineLevel="1"/>
    <col min="225" max="225" width="15.140625" hidden="1" customWidth="1" outlineLevel="1"/>
    <col min="226" max="226" width="16.7109375" hidden="1" customWidth="1" outlineLevel="1"/>
    <col min="227" max="227" width="17" hidden="1" customWidth="1" outlineLevel="1"/>
    <col min="228" max="228" width="15.42578125" hidden="1" customWidth="1" outlineLevel="1"/>
    <col min="229" max="229" width="16.42578125" hidden="1" customWidth="1" outlineLevel="1"/>
    <col min="230" max="230" width="15.85546875" hidden="1" customWidth="1" outlineLevel="1"/>
    <col min="231" max="232" width="15" hidden="1" customWidth="1" outlineLevel="1"/>
    <col min="233" max="233" width="15.42578125" hidden="1" customWidth="1" outlineLevel="1"/>
    <col min="234" max="234" width="15.85546875" hidden="1" customWidth="1" outlineLevel="1"/>
    <col min="235" max="235" width="15.42578125" hidden="1" customWidth="1" outlineLevel="1"/>
    <col min="236" max="236" width="16.140625" hidden="1" customWidth="1" outlineLevel="1"/>
    <col min="237" max="238" width="15.42578125" hidden="1" customWidth="1" outlineLevel="1"/>
    <col min="239" max="239" width="16" hidden="1" customWidth="1" outlineLevel="1"/>
    <col min="240" max="240" width="15.7109375" hidden="1" customWidth="1" outlineLevel="1"/>
    <col min="241" max="242" width="15.5703125" hidden="1" customWidth="1" outlineLevel="1"/>
    <col min="243" max="243" width="15.42578125" hidden="1" customWidth="1" outlineLevel="1"/>
    <col min="244" max="244" width="15.7109375" hidden="1" customWidth="1" outlineLevel="1"/>
    <col min="245" max="246" width="15.28515625" hidden="1" customWidth="1" outlineLevel="1"/>
    <col min="247" max="247" width="16.7109375" hidden="1" customWidth="1" outlineLevel="1"/>
    <col min="248" max="249" width="15.7109375" hidden="1" customWidth="1" outlineLevel="1"/>
    <col min="250" max="251" width="16.42578125" hidden="1" customWidth="1" outlineLevel="1"/>
    <col min="252" max="252" width="15.28515625" hidden="1" customWidth="1" outlineLevel="1"/>
    <col min="253" max="253" width="16.140625" hidden="1" customWidth="1" outlineLevel="1"/>
    <col min="254" max="254" width="15.28515625" hidden="1" customWidth="1" outlineLevel="1"/>
    <col min="255" max="255" width="15.5703125" hidden="1" customWidth="1" outlineLevel="1"/>
    <col min="256" max="256" width="15.140625" hidden="1" customWidth="1" outlineLevel="1"/>
    <col min="257" max="257" width="16.5703125" hidden="1" customWidth="1" outlineLevel="1"/>
    <col min="258" max="258" width="15.85546875" hidden="1" customWidth="1" outlineLevel="1"/>
    <col min="259" max="260" width="15.28515625" hidden="1" customWidth="1" outlineLevel="1"/>
    <col min="261" max="261" width="15.42578125" hidden="1" customWidth="1" outlineLevel="1"/>
    <col min="262" max="262" width="16.42578125" hidden="1" customWidth="1" outlineLevel="1"/>
    <col min="263" max="263" width="15.140625" hidden="1" customWidth="1" outlineLevel="1"/>
    <col min="264" max="264" width="14.7109375" hidden="1" customWidth="1" outlineLevel="1"/>
    <col min="265" max="265" width="15.5703125" hidden="1" customWidth="1" outlineLevel="1"/>
    <col min="266" max="266" width="15.28515625" hidden="1" customWidth="1" outlineLevel="1"/>
    <col min="267" max="267" width="16.28515625" hidden="1" customWidth="1" outlineLevel="1"/>
    <col min="268" max="268" width="15.140625" hidden="1" customWidth="1" outlineLevel="1"/>
    <col min="269" max="269" width="16.28515625" hidden="1" customWidth="1" outlineLevel="1"/>
    <col min="270" max="270" width="15.85546875" hidden="1" customWidth="1" outlineLevel="1"/>
    <col min="271" max="271" width="15.42578125" hidden="1" customWidth="1" outlineLevel="1"/>
    <col min="272" max="272" width="16" hidden="1" customWidth="1" outlineLevel="1"/>
    <col min="273" max="273" width="15.7109375" hidden="1" customWidth="1" outlineLevel="1"/>
    <col min="274" max="274" width="15" hidden="1" customWidth="1" outlineLevel="1"/>
    <col min="275" max="275" width="15.42578125" hidden="1" customWidth="1" outlineLevel="1"/>
    <col min="276" max="276" width="15.7109375" hidden="1" customWidth="1" outlineLevel="1"/>
    <col min="277" max="277" width="15.85546875" hidden="1" customWidth="1" outlineLevel="1"/>
    <col min="278" max="278" width="15.42578125" hidden="1" customWidth="1" outlineLevel="1"/>
    <col min="279" max="279" width="16.140625" hidden="1" customWidth="1" outlineLevel="1"/>
    <col min="280" max="280" width="15.7109375" hidden="1" customWidth="1" outlineLevel="1"/>
    <col min="281" max="281" width="15.28515625" hidden="1" customWidth="1" outlineLevel="1"/>
    <col min="282" max="283" width="16.5703125" hidden="1" customWidth="1" outlineLevel="1"/>
    <col min="284" max="284" width="15.28515625" hidden="1" customWidth="1" outlineLevel="1"/>
    <col min="285" max="285" width="15.85546875" hidden="1" customWidth="1" outlineLevel="1"/>
    <col min="286" max="286" width="15.7109375" hidden="1" customWidth="1" outlineLevel="1"/>
    <col min="287" max="287" width="16" hidden="1" customWidth="1" outlineLevel="1"/>
    <col min="288" max="288" width="15.85546875" hidden="1" customWidth="1" outlineLevel="1"/>
    <col min="289" max="289" width="15.5703125" hidden="1" customWidth="1" outlineLevel="1"/>
    <col min="290" max="290" width="15.28515625" hidden="1" customWidth="1" outlineLevel="1"/>
    <col min="291" max="291" width="16.42578125" hidden="1" customWidth="1" outlineLevel="1"/>
    <col min="292" max="292" width="15.42578125" hidden="1" customWidth="1" outlineLevel="1"/>
    <col min="293" max="293" width="15.28515625" hidden="1" customWidth="1" outlineLevel="1"/>
    <col min="294" max="294" width="15.42578125" hidden="1" customWidth="1" outlineLevel="1"/>
    <col min="295" max="295" width="16.140625" hidden="1" customWidth="1" outlineLevel="1"/>
    <col min="296" max="296" width="15.5703125" hidden="1" customWidth="1" outlineLevel="1"/>
    <col min="297" max="297" width="15.42578125" hidden="1" customWidth="1" outlineLevel="1"/>
    <col min="298" max="298" width="16.7109375" hidden="1" customWidth="1" outlineLevel="1"/>
    <col min="299" max="299" width="17.5703125" hidden="1" customWidth="1" outlineLevel="1"/>
    <col min="300" max="300" width="16" hidden="1" customWidth="1" outlineLevel="1"/>
    <col min="301" max="301" width="15.7109375" hidden="1" customWidth="1" outlineLevel="1"/>
    <col min="302" max="302" width="15" hidden="1" customWidth="1" outlineLevel="1"/>
    <col min="303" max="303" width="15.140625" hidden="1" customWidth="1" outlineLevel="1"/>
    <col min="304" max="304" width="16.85546875" hidden="1" customWidth="1" outlineLevel="1"/>
    <col min="305" max="305" width="15.42578125" hidden="1" customWidth="1" outlineLevel="1"/>
    <col min="306" max="306" width="16" hidden="1" customWidth="1" outlineLevel="1"/>
    <col min="307" max="307" width="15.42578125" hidden="1" customWidth="1" outlineLevel="1"/>
    <col min="308" max="309" width="15" hidden="1" customWidth="1" outlineLevel="1"/>
    <col min="310" max="310" width="15.5703125" hidden="1" customWidth="1" outlineLevel="1"/>
    <col min="311" max="311" width="17.5703125" hidden="1" customWidth="1" outlineLevel="1"/>
    <col min="312" max="312" width="15.42578125" hidden="1" customWidth="1" outlineLevel="1"/>
    <col min="313" max="313" width="16.28515625" hidden="1" customWidth="1" outlineLevel="1"/>
    <col min="314" max="314" width="16.140625" hidden="1" customWidth="1" outlineLevel="1"/>
    <col min="315" max="316" width="15.28515625" hidden="1" customWidth="1" outlineLevel="1"/>
    <col min="317" max="317" width="15.140625" hidden="1" customWidth="1" outlineLevel="1"/>
    <col min="318" max="319" width="15.42578125" hidden="1" customWidth="1" outlineLevel="1"/>
    <col min="320" max="320" width="15.140625" hidden="1" customWidth="1" outlineLevel="1"/>
    <col min="321" max="321" width="15.85546875" hidden="1" customWidth="1" outlineLevel="1"/>
    <col min="322" max="322" width="15.140625" hidden="1" customWidth="1" outlineLevel="1"/>
    <col min="323" max="323" width="16.28515625" hidden="1" customWidth="1" outlineLevel="1"/>
    <col min="324" max="324" width="15.5703125" hidden="1" customWidth="1" outlineLevel="1"/>
    <col min="325" max="325" width="16.28515625" hidden="1" customWidth="1" outlineLevel="1"/>
    <col min="326" max="326" width="17.28515625" hidden="1" customWidth="1" outlineLevel="1"/>
    <col min="327" max="327" width="16" hidden="1" customWidth="1" outlineLevel="1"/>
    <col min="328" max="328" width="16.140625" hidden="1" customWidth="1" outlineLevel="1"/>
    <col min="329" max="329" width="16.28515625" hidden="1" customWidth="1" outlineLevel="1"/>
    <col min="330" max="330" width="16.140625" hidden="1" customWidth="1" outlineLevel="1"/>
    <col min="331" max="331" width="16.7109375" hidden="1" customWidth="1" outlineLevel="1"/>
    <col min="332" max="332" width="16.42578125" hidden="1" customWidth="1" outlineLevel="1"/>
    <col min="333" max="333" width="15.85546875" hidden="1" customWidth="1" outlineLevel="1"/>
    <col min="334" max="335" width="16.85546875" hidden="1" customWidth="1" outlineLevel="1"/>
    <col min="336" max="336" width="15.7109375" hidden="1" customWidth="1" outlineLevel="1"/>
    <col min="337" max="338" width="15.5703125" hidden="1" customWidth="1" outlineLevel="1"/>
    <col min="339" max="339" width="17" hidden="1" customWidth="1" outlineLevel="1"/>
    <col min="340" max="340" width="15.5703125" hidden="1" customWidth="1" outlineLevel="1"/>
    <col min="341" max="341" width="15.7109375" hidden="1" customWidth="1" outlineLevel="1"/>
    <col min="342" max="342" width="16.7109375" hidden="1" customWidth="1" outlineLevel="1"/>
    <col min="343" max="343" width="16.5703125" hidden="1" customWidth="1" outlineLevel="1"/>
    <col min="344" max="344" width="18.5703125" hidden="1" customWidth="1" outlineLevel="1"/>
    <col min="345" max="346" width="17.85546875" hidden="1" customWidth="1" outlineLevel="1"/>
    <col min="347" max="347" width="18.28515625" hidden="1" customWidth="1" outlineLevel="1"/>
    <col min="348" max="348" width="18.5703125" hidden="1" customWidth="1" outlineLevel="1"/>
    <col min="349" max="349" width="15.42578125" hidden="1" customWidth="1" outlineLevel="1"/>
    <col min="350" max="350" width="15.5703125" hidden="1" customWidth="1" outlineLevel="1"/>
    <col min="351" max="351" width="17" hidden="1" customWidth="1" outlineLevel="1"/>
    <col min="352" max="352" width="17.42578125" hidden="1" customWidth="1" outlineLevel="1"/>
    <col min="353" max="353" width="18.140625" hidden="1" customWidth="1" outlineLevel="1"/>
    <col min="354" max="354" width="19.42578125" hidden="1" customWidth="1" outlineLevel="1"/>
    <col min="355" max="355" width="18.85546875" hidden="1" customWidth="1" outlineLevel="1"/>
    <col min="356" max="356" width="17.28515625" hidden="1" customWidth="1" outlineLevel="1"/>
    <col min="357" max="357" width="16.7109375" hidden="1" customWidth="1" outlineLevel="1"/>
    <col min="358" max="358" width="15.42578125" hidden="1" customWidth="1" outlineLevel="1"/>
    <col min="359" max="360" width="16.28515625" hidden="1" customWidth="1" outlineLevel="1"/>
    <col min="361" max="361" width="16.42578125" hidden="1" customWidth="1" outlineLevel="1"/>
    <col min="362" max="362" width="15.42578125" hidden="1" customWidth="1" outlineLevel="1"/>
    <col min="363" max="363" width="16.28515625" hidden="1" customWidth="1" outlineLevel="1"/>
    <col min="364" max="365" width="15.42578125" hidden="1" customWidth="1" outlineLevel="1"/>
    <col min="366" max="366" width="15.140625" hidden="1" customWidth="1" outlineLevel="1"/>
    <col min="367" max="367" width="16.28515625" hidden="1" customWidth="1" outlineLevel="1" collapsed="1"/>
    <col min="368" max="368" width="15.28515625" hidden="1" customWidth="1" outlineLevel="1"/>
    <col min="369" max="369" width="15.5703125" hidden="1" customWidth="1" outlineLevel="1"/>
    <col min="370" max="370" width="16" hidden="1" customWidth="1" outlineLevel="1"/>
    <col min="371" max="371" width="15.7109375" hidden="1" customWidth="1" outlineLevel="1"/>
    <col min="372" max="372" width="16.7109375" hidden="1" customWidth="1" outlineLevel="1"/>
    <col min="373" max="373" width="16.140625" hidden="1" customWidth="1" outlineLevel="1"/>
    <col min="374" max="374" width="15.7109375" hidden="1" customWidth="1" outlineLevel="1"/>
    <col min="375" max="376" width="15.42578125" hidden="1" customWidth="1" outlineLevel="1"/>
    <col min="377" max="377" width="15.140625" hidden="1" customWidth="1" outlineLevel="1"/>
    <col min="378" max="378" width="16.42578125" hidden="1" customWidth="1" outlineLevel="1"/>
    <col min="379" max="379" width="17.7109375" hidden="1" customWidth="1" outlineLevel="1"/>
    <col min="380" max="380" width="15.28515625" hidden="1" customWidth="1" outlineLevel="1"/>
    <col min="381" max="381" width="17.28515625" hidden="1" customWidth="1" outlineLevel="1"/>
    <col min="382" max="382" width="16.42578125" hidden="1" customWidth="1" outlineLevel="1"/>
    <col min="383" max="383" width="16.7109375" hidden="1" customWidth="1" outlineLevel="1"/>
    <col min="384" max="384" width="18.42578125" hidden="1" customWidth="1" outlineLevel="1"/>
    <col min="385" max="385" width="15.5703125" hidden="1" customWidth="1" outlineLevel="1"/>
    <col min="386" max="386" width="15.85546875" hidden="1" customWidth="1" outlineLevel="1"/>
    <col min="387" max="387" width="15.7109375" hidden="1" customWidth="1" outlineLevel="1"/>
    <col min="388" max="388" width="15.5703125" hidden="1" customWidth="1" outlineLevel="1"/>
    <col min="389" max="389" width="16" hidden="1" customWidth="1" outlineLevel="1"/>
    <col min="390" max="390" width="15.7109375" hidden="1" customWidth="1" outlineLevel="1"/>
    <col min="391" max="392" width="15.42578125" hidden="1" customWidth="1" outlineLevel="1"/>
    <col min="393" max="393" width="15.85546875" hidden="1" customWidth="1" outlineLevel="1"/>
    <col min="394" max="395" width="16.42578125" hidden="1" customWidth="1" outlineLevel="1"/>
    <col min="396" max="396" width="15.42578125" hidden="1" customWidth="1" outlineLevel="1"/>
    <col min="397" max="399" width="16.28515625" hidden="1" customWidth="1" outlineLevel="1"/>
    <col min="400" max="400" width="15.140625" hidden="1" customWidth="1" outlineLevel="1"/>
    <col min="401" max="401" width="17.28515625" hidden="1" customWidth="1" outlineLevel="1"/>
    <col min="402" max="402" width="16.42578125" hidden="1" customWidth="1" outlineLevel="1"/>
    <col min="403" max="403" width="16.140625" hidden="1" customWidth="1" outlineLevel="1"/>
    <col min="404" max="404" width="16.85546875" hidden="1" customWidth="1" outlineLevel="1"/>
    <col min="405" max="405" width="17" hidden="1" customWidth="1" outlineLevel="1"/>
    <col min="406" max="406" width="15.140625" hidden="1" customWidth="1" outlineLevel="1"/>
    <col min="407" max="407" width="17.28515625" hidden="1" customWidth="1" outlineLevel="1"/>
    <col min="408" max="408" width="15.5703125" hidden="1" customWidth="1" outlineLevel="1"/>
    <col min="409" max="409" width="15" hidden="1" customWidth="1" outlineLevel="1"/>
    <col min="410" max="411" width="15.7109375" hidden="1" customWidth="1" outlineLevel="1"/>
    <col min="412" max="412" width="15.85546875" hidden="1" customWidth="1"/>
    <col min="413" max="413" width="16.7109375" hidden="1" customWidth="1"/>
    <col min="414" max="414" width="16" hidden="1" customWidth="1"/>
    <col min="415" max="415" width="16.28515625" hidden="1" customWidth="1"/>
    <col min="416" max="416" width="16.140625" hidden="1" customWidth="1"/>
    <col min="417" max="417" width="15.85546875" hidden="1" customWidth="1"/>
    <col min="418" max="418" width="16.28515625" hidden="1" customWidth="1"/>
    <col min="419" max="419" width="17" hidden="1" customWidth="1"/>
    <col min="420" max="420" width="18" hidden="1" customWidth="1"/>
    <col min="421" max="421" width="16.7109375" hidden="1" customWidth="1"/>
    <col min="422" max="422" width="17.5703125" hidden="1" customWidth="1"/>
    <col min="423" max="424" width="15.28515625" hidden="1" customWidth="1"/>
    <col min="425" max="425" width="17.140625" hidden="1" customWidth="1"/>
    <col min="426" max="426" width="18.5703125" hidden="1" customWidth="1"/>
    <col min="427" max="427" width="17.140625" hidden="1" customWidth="1"/>
    <col min="428" max="428" width="17.7109375" hidden="1" customWidth="1"/>
    <col min="429" max="429" width="18" hidden="1" customWidth="1"/>
    <col min="430" max="430" width="16" hidden="1" customWidth="1"/>
    <col min="431" max="431" width="17.85546875" hidden="1" customWidth="1"/>
    <col min="432" max="432" width="17" hidden="1" customWidth="1"/>
    <col min="433" max="433" width="16.140625" hidden="1" customWidth="1"/>
    <col min="434" max="434" width="17.7109375" hidden="1" customWidth="1"/>
    <col min="435" max="435" width="16.5703125" hidden="1" customWidth="1"/>
    <col min="436" max="436" width="18.7109375" hidden="1" customWidth="1"/>
    <col min="437" max="437" width="16" hidden="1" customWidth="1"/>
    <col min="438" max="438" width="15.42578125" hidden="1" customWidth="1"/>
    <col min="439" max="439" width="16.7109375" hidden="1" customWidth="1"/>
    <col min="440" max="440" width="17.28515625" hidden="1" customWidth="1"/>
    <col min="441" max="441" width="16.85546875" hidden="1" customWidth="1"/>
    <col min="442" max="442" width="16.28515625" hidden="1" customWidth="1"/>
    <col min="443" max="443" width="16.85546875" hidden="1" customWidth="1"/>
    <col min="444" max="444" width="16" hidden="1" customWidth="1"/>
    <col min="445" max="445" width="16.85546875" hidden="1" customWidth="1"/>
    <col min="446" max="446" width="16.5703125" hidden="1" customWidth="1"/>
    <col min="447" max="447" width="16" hidden="1" customWidth="1"/>
    <col min="448" max="448" width="15.140625" hidden="1" customWidth="1"/>
    <col min="449" max="449" width="15.85546875" hidden="1" customWidth="1"/>
    <col min="450" max="450" width="16.28515625" hidden="1" customWidth="1"/>
    <col min="451" max="451" width="15.7109375" hidden="1" customWidth="1"/>
    <col min="452" max="452" width="17.7109375" hidden="1" customWidth="1"/>
    <col min="453" max="453" width="17.28515625" hidden="1" customWidth="1"/>
    <col min="454" max="454" width="17.5703125" hidden="1" customWidth="1"/>
    <col min="455" max="455" width="16" hidden="1" customWidth="1"/>
    <col min="456" max="456" width="17.42578125" hidden="1" customWidth="1"/>
    <col min="457" max="457" width="15.85546875" hidden="1" customWidth="1"/>
    <col min="458" max="458" width="15.7109375" hidden="1" customWidth="1"/>
    <col min="459" max="459" width="16" hidden="1" customWidth="1"/>
    <col min="460" max="460" width="17.7109375" hidden="1" customWidth="1"/>
    <col min="461" max="461" width="16.7109375" hidden="1" customWidth="1"/>
    <col min="462" max="462" width="17.5703125" hidden="1" customWidth="1"/>
    <col min="463" max="463" width="15.5703125" hidden="1" customWidth="1"/>
    <col min="464" max="464" width="17" hidden="1" customWidth="1"/>
    <col min="465" max="465" width="17.85546875" hidden="1" customWidth="1"/>
    <col min="466" max="466" width="16.140625" hidden="1" customWidth="1"/>
    <col min="467" max="467" width="17.28515625" hidden="1" customWidth="1"/>
    <col min="468" max="468" width="19.140625" hidden="1" customWidth="1"/>
    <col min="469" max="469" width="18.42578125" hidden="1" customWidth="1"/>
    <col min="470" max="470" width="16.7109375" hidden="1" customWidth="1"/>
    <col min="471" max="471" width="18.85546875" hidden="1" customWidth="1"/>
    <col min="472" max="472" width="16.85546875" hidden="1" customWidth="1"/>
    <col min="473" max="473" width="19.7109375" style="300" hidden="1" customWidth="1"/>
    <col min="474" max="474" width="19" style="300" hidden="1" customWidth="1"/>
    <col min="475" max="475" width="17.7109375" style="300" hidden="1" customWidth="1"/>
    <col min="476" max="476" width="18.5703125" style="300" hidden="1" customWidth="1"/>
    <col min="477" max="477" width="18.42578125" style="300" hidden="1" customWidth="1"/>
    <col min="478" max="478" width="18.7109375" style="300" hidden="1" customWidth="1"/>
    <col min="479" max="480" width="18" hidden="1" customWidth="1"/>
    <col min="481" max="481" width="21.7109375" hidden="1" customWidth="1"/>
    <col min="482" max="483" width="20" hidden="1" customWidth="1"/>
    <col min="484" max="484" width="17.28515625" hidden="1" customWidth="1"/>
    <col min="485" max="485" width="18.140625" hidden="1" customWidth="1"/>
    <col min="486" max="486" width="20.85546875" style="300" hidden="1" customWidth="1"/>
    <col min="487" max="487" width="18" style="300" hidden="1" customWidth="1"/>
    <col min="488" max="488" width="17.85546875" style="300" hidden="1" customWidth="1"/>
    <col min="489" max="489" width="16.7109375" hidden="1" customWidth="1"/>
    <col min="490" max="490" width="17.7109375" hidden="1" customWidth="1"/>
    <col min="491" max="491" width="19.140625" hidden="1" customWidth="1"/>
    <col min="492" max="492" width="17.7109375" hidden="1" customWidth="1"/>
    <col min="493" max="493" width="18.5703125" hidden="1" customWidth="1"/>
    <col min="494" max="494" width="19.5703125" hidden="1" customWidth="1"/>
    <col min="495" max="495" width="17.7109375" hidden="1" customWidth="1"/>
    <col min="496" max="496" width="17" hidden="1" customWidth="1"/>
    <col min="497" max="497" width="17.28515625" hidden="1" customWidth="1"/>
    <col min="498" max="498" width="17.140625" hidden="1" customWidth="1"/>
    <col min="499" max="499" width="17.5703125" hidden="1" customWidth="1"/>
    <col min="500" max="500" width="16.7109375" hidden="1" customWidth="1"/>
    <col min="501" max="501" width="18.7109375" hidden="1" customWidth="1"/>
    <col min="502" max="502" width="18.42578125" hidden="1" customWidth="1"/>
    <col min="503" max="503" width="16.7109375" hidden="1" customWidth="1"/>
    <col min="504" max="504" width="18.140625" hidden="1" customWidth="1"/>
    <col min="505" max="505" width="18.42578125" hidden="1" customWidth="1"/>
    <col min="506" max="506" width="20.7109375" hidden="1" customWidth="1"/>
    <col min="507" max="507" width="20.42578125" hidden="1" customWidth="1"/>
    <col min="508" max="508" width="17.28515625" hidden="1" customWidth="1"/>
    <col min="509" max="509" width="15.85546875" hidden="1" customWidth="1"/>
    <col min="510" max="510" width="15.28515625" hidden="1" customWidth="1"/>
    <col min="511" max="511" width="16.42578125" hidden="1" customWidth="1"/>
    <col min="512" max="512" width="18" hidden="1" customWidth="1"/>
    <col min="513" max="513" width="16.28515625" hidden="1" customWidth="1"/>
    <col min="514" max="514" width="15.7109375" hidden="1" customWidth="1"/>
    <col min="515" max="515" width="17" hidden="1" customWidth="1"/>
    <col min="516" max="516" width="17.28515625" hidden="1" customWidth="1"/>
    <col min="517" max="517" width="17.7109375" hidden="1" customWidth="1"/>
    <col min="518" max="518" width="16.28515625" hidden="1" customWidth="1"/>
    <col min="519" max="519" width="16.7109375" hidden="1" customWidth="1"/>
    <col min="520" max="520" width="16.5703125" hidden="1" customWidth="1"/>
    <col min="521" max="522" width="15.85546875" hidden="1" customWidth="1"/>
    <col min="523" max="523" width="17.7109375" hidden="1" customWidth="1"/>
    <col min="524" max="524" width="19.42578125" hidden="1" customWidth="1"/>
    <col min="525" max="525" width="17.7109375" hidden="1" customWidth="1"/>
    <col min="526" max="526" width="16.42578125" hidden="1" customWidth="1"/>
    <col min="527" max="527" width="18" hidden="1" customWidth="1"/>
    <col min="528" max="528" width="18.28515625" hidden="1" customWidth="1"/>
    <col min="529" max="529" width="18" hidden="1" customWidth="1"/>
    <col min="530" max="531" width="16.85546875" hidden="1" customWidth="1"/>
    <col min="532" max="532" width="17.5703125" hidden="1" customWidth="1"/>
    <col min="533" max="533" width="19.28515625" hidden="1" customWidth="1"/>
    <col min="534" max="534" width="17.42578125" hidden="1" customWidth="1"/>
    <col min="535" max="535" width="19.140625" hidden="1" customWidth="1"/>
    <col min="536" max="536" width="20.7109375" hidden="1" customWidth="1"/>
    <col min="537" max="537" width="19.85546875" hidden="1" customWidth="1"/>
    <col min="538" max="538" width="17" hidden="1" customWidth="1"/>
    <col min="539" max="539" width="16.42578125" hidden="1" customWidth="1"/>
    <col min="540" max="541" width="17.42578125" hidden="1" customWidth="1"/>
    <col min="542" max="542" width="16.85546875" hidden="1" customWidth="1"/>
    <col min="543" max="543" width="16.5703125" hidden="1" customWidth="1"/>
    <col min="544" max="544" width="17" hidden="1" customWidth="1"/>
    <col min="545" max="545" width="18" hidden="1" customWidth="1"/>
    <col min="546" max="546" width="19.140625" hidden="1" customWidth="1"/>
    <col min="547" max="547" width="17.28515625" hidden="1" customWidth="1"/>
    <col min="548" max="549" width="17.140625" hidden="1" customWidth="1"/>
    <col min="550" max="550" width="18" hidden="1" customWidth="1"/>
    <col min="551" max="551" width="17.42578125" hidden="1" customWidth="1"/>
    <col min="552" max="552" width="18.7109375" hidden="1" customWidth="1"/>
    <col min="553" max="553" width="17" hidden="1" customWidth="1"/>
    <col min="554" max="554" width="17.42578125" hidden="1" customWidth="1"/>
    <col min="555" max="555" width="15.28515625" hidden="1" customWidth="1"/>
    <col min="556" max="556" width="16" hidden="1" customWidth="1"/>
    <col min="557" max="557" width="18.5703125" hidden="1" customWidth="1"/>
    <col min="558" max="558" width="20" hidden="1" customWidth="1"/>
    <col min="559" max="559" width="16.85546875" hidden="1" customWidth="1"/>
    <col min="560" max="560" width="18.140625" hidden="1" customWidth="1"/>
    <col min="561" max="562" width="16.28515625" hidden="1" customWidth="1"/>
    <col min="563" max="563" width="15" hidden="1" customWidth="1"/>
    <col min="564" max="564" width="17.5703125" hidden="1" customWidth="1"/>
    <col min="565" max="565" width="17.42578125" hidden="1" customWidth="1"/>
    <col min="566" max="566" width="19.85546875" hidden="1" customWidth="1"/>
    <col min="567" max="567" width="17.140625" hidden="1" customWidth="1"/>
    <col min="568" max="568" width="17.28515625" hidden="1" customWidth="1"/>
    <col min="569" max="569" width="19.7109375" hidden="1" customWidth="1"/>
    <col min="570" max="570" width="19" hidden="1" customWidth="1"/>
    <col min="571" max="571" width="18.28515625" hidden="1" customWidth="1"/>
    <col min="572" max="572" width="17.85546875" hidden="1" customWidth="1"/>
    <col min="573" max="574" width="20" hidden="1" customWidth="1"/>
    <col min="575" max="575" width="17" hidden="1" customWidth="1"/>
    <col min="576" max="576" width="15" hidden="1" customWidth="1"/>
    <col min="577" max="577" width="17.140625" hidden="1" customWidth="1"/>
    <col min="578" max="578" width="16" hidden="1" customWidth="1"/>
    <col min="579" max="579" width="15.7109375" style="302" hidden="1" customWidth="1"/>
    <col min="580" max="580" width="14.85546875" style="302" hidden="1" customWidth="1"/>
    <col min="581" max="581" width="15.28515625" hidden="1" customWidth="1"/>
    <col min="582" max="582" width="13.85546875" hidden="1" customWidth="1"/>
    <col min="583" max="583" width="16.140625" hidden="1" customWidth="1"/>
    <col min="584" max="584" width="17.5703125" hidden="1" customWidth="1"/>
    <col min="585" max="585" width="17.42578125" hidden="1" customWidth="1"/>
    <col min="586" max="586" width="16.7109375" hidden="1" customWidth="1"/>
    <col min="587" max="587" width="17" hidden="1" customWidth="1"/>
    <col min="588" max="588" width="18.85546875" hidden="1" customWidth="1"/>
    <col min="589" max="589" width="16.5703125" hidden="1" customWidth="1"/>
    <col min="590" max="590" width="16.140625" hidden="1" customWidth="1"/>
    <col min="591" max="591" width="18" hidden="1" customWidth="1"/>
    <col min="592" max="592" width="16.7109375" hidden="1" customWidth="1"/>
    <col min="593" max="593" width="18.28515625" hidden="1" customWidth="1"/>
    <col min="594" max="594" width="18.7109375" hidden="1" customWidth="1"/>
    <col min="595" max="595" width="17" hidden="1" customWidth="1"/>
    <col min="596" max="596" width="18" hidden="1" customWidth="1"/>
    <col min="597" max="597" width="15.85546875" hidden="1" customWidth="1"/>
    <col min="598" max="598" width="16.140625" hidden="1" customWidth="1"/>
    <col min="599" max="599" width="16.7109375" hidden="1" customWidth="1"/>
    <col min="600" max="600" width="16.85546875" hidden="1" customWidth="1"/>
    <col min="601" max="601" width="16.7109375" hidden="1" customWidth="1"/>
    <col min="602" max="602" width="15.5703125" hidden="1" customWidth="1"/>
    <col min="603" max="603" width="15.7109375" hidden="1" customWidth="1"/>
    <col min="604" max="604" width="14.5703125" hidden="1" customWidth="1"/>
    <col min="605" max="605" width="14.7109375" hidden="1" customWidth="1"/>
    <col min="606" max="606" width="15.140625" hidden="1" customWidth="1"/>
    <col min="607" max="607" width="17.7109375" hidden="1" customWidth="1"/>
    <col min="608" max="609" width="17" hidden="1" customWidth="1"/>
    <col min="610" max="610" width="17.85546875" hidden="1" customWidth="1"/>
    <col min="611" max="611" width="17.42578125" hidden="1" customWidth="1"/>
    <col min="612" max="612" width="16.5703125" hidden="1" customWidth="1"/>
    <col min="613" max="613" width="16.7109375" hidden="1" customWidth="1"/>
    <col min="614" max="614" width="16.140625" hidden="1" customWidth="1"/>
    <col min="615" max="615" width="14.85546875" hidden="1" customWidth="1"/>
    <col min="616" max="616" width="16.42578125" hidden="1" customWidth="1"/>
    <col min="617" max="617" width="16" hidden="1" customWidth="1"/>
    <col min="618" max="618" width="18.28515625" hidden="1" customWidth="1"/>
    <col min="619" max="619" width="15.7109375" hidden="1" customWidth="1"/>
    <col min="620" max="620" width="16.42578125" hidden="1" customWidth="1"/>
    <col min="621" max="621" width="17.140625" hidden="1" customWidth="1"/>
    <col min="622" max="622" width="16.5703125" hidden="1" customWidth="1"/>
    <col min="623" max="623" width="17.7109375" hidden="1" customWidth="1"/>
    <col min="624" max="624" width="17.5703125" hidden="1" customWidth="1"/>
    <col min="625" max="625" width="18.140625" hidden="1" customWidth="1"/>
    <col min="626" max="626" width="18.5703125" hidden="1" customWidth="1"/>
    <col min="627" max="627" width="17" hidden="1" customWidth="1"/>
    <col min="628" max="628" width="16.42578125" hidden="1" customWidth="1"/>
    <col min="629" max="630" width="15.85546875" hidden="1" customWidth="1"/>
    <col min="631" max="631" width="14.140625" hidden="1" customWidth="1"/>
    <col min="632" max="633" width="15.5703125" hidden="1" customWidth="1"/>
    <col min="634" max="635" width="15" hidden="1" customWidth="1"/>
    <col min="636" max="636" width="17.28515625" hidden="1" customWidth="1"/>
    <col min="637" max="637" width="13.5703125" hidden="1" customWidth="1"/>
    <col min="638" max="638" width="14.85546875" hidden="1" customWidth="1"/>
    <col min="639" max="639" width="14.42578125" hidden="1" customWidth="1"/>
    <col min="640" max="640" width="16.140625" hidden="1" customWidth="1"/>
    <col min="641" max="641" width="19.42578125" hidden="1" customWidth="1"/>
    <col min="642" max="642" width="17.85546875" hidden="1" customWidth="1"/>
    <col min="643" max="643" width="16.7109375" hidden="1" customWidth="1"/>
    <col min="644" max="644" width="14.140625" hidden="1" customWidth="1"/>
    <col min="645" max="645" width="15.7109375" hidden="1" customWidth="1"/>
    <col min="646" max="646" width="15.28515625" hidden="1" customWidth="1"/>
    <col min="647" max="647" width="15.5703125" hidden="1" customWidth="1"/>
    <col min="648" max="648" width="15.7109375" hidden="1" customWidth="1"/>
    <col min="649" max="649" width="14.7109375" hidden="1" customWidth="1"/>
    <col min="650" max="650" width="15.42578125" hidden="1" customWidth="1"/>
    <col min="651" max="651" width="15.140625" hidden="1" customWidth="1"/>
    <col min="652" max="652" width="16.28515625" hidden="1" customWidth="1"/>
    <col min="653" max="653" width="15.5703125" hidden="1" customWidth="1"/>
    <col min="654" max="654" width="14.42578125" hidden="1" customWidth="1"/>
    <col min="655" max="655" width="15.85546875" hidden="1" customWidth="1"/>
    <col min="656" max="657" width="15.28515625" hidden="1" customWidth="1"/>
    <col min="658" max="658" width="14.85546875" hidden="1" customWidth="1"/>
    <col min="659" max="659" width="16.28515625" hidden="1" customWidth="1"/>
    <col min="660" max="660" width="16" hidden="1" customWidth="1"/>
    <col min="661" max="661" width="16.140625" hidden="1" customWidth="1"/>
    <col min="662" max="662" width="14.85546875" hidden="1" customWidth="1"/>
    <col min="663" max="664" width="14.140625" hidden="1" customWidth="1"/>
    <col min="665" max="665" width="15.42578125" hidden="1" customWidth="1"/>
    <col min="666" max="666" width="15.140625" hidden="1" customWidth="1"/>
    <col min="667" max="667" width="17" hidden="1" customWidth="1"/>
    <col min="668" max="668" width="15.5703125" hidden="1" customWidth="1"/>
    <col min="669" max="669" width="20.85546875" hidden="1" customWidth="1"/>
    <col min="670" max="670" width="18" hidden="1" customWidth="1"/>
    <col min="671" max="671" width="19.42578125" hidden="1" customWidth="1"/>
    <col min="672" max="672" width="14.85546875" hidden="1" customWidth="1"/>
    <col min="673" max="673" width="16.5703125" hidden="1" customWidth="1"/>
    <col min="674" max="674" width="18.28515625" hidden="1" customWidth="1"/>
    <col min="675" max="675" width="15.28515625" hidden="1" customWidth="1"/>
    <col min="676" max="676" width="16.28515625" hidden="1" customWidth="1"/>
    <col min="677" max="677" width="14.28515625" hidden="1" customWidth="1"/>
    <col min="678" max="678" width="15.85546875" hidden="1" customWidth="1"/>
    <col min="679" max="679" width="14.7109375" hidden="1" customWidth="1"/>
    <col min="680" max="680" width="17" hidden="1" customWidth="1"/>
    <col min="681" max="681" width="15.42578125" hidden="1" customWidth="1"/>
    <col min="682" max="682" width="16.7109375" hidden="1" customWidth="1"/>
    <col min="683" max="683" width="16.5703125" hidden="1" customWidth="1"/>
    <col min="684" max="685" width="14.28515625" hidden="1" customWidth="1"/>
    <col min="686" max="686" width="15.5703125" hidden="1" customWidth="1"/>
    <col min="687" max="687" width="13.42578125" hidden="1" customWidth="1"/>
    <col min="688" max="688" width="14.140625" hidden="1" customWidth="1"/>
    <col min="689" max="689" width="14" hidden="1" customWidth="1"/>
    <col min="690" max="693" width="14.140625" hidden="1" customWidth="1"/>
    <col min="694" max="694" width="13.5703125" hidden="1" customWidth="1"/>
    <col min="695" max="695" width="14.5703125" hidden="1" customWidth="1"/>
    <col min="696" max="696" width="13.85546875" hidden="1" customWidth="1"/>
    <col min="697" max="698" width="15.42578125" hidden="1" customWidth="1"/>
    <col min="699" max="699" width="14.42578125" hidden="1" customWidth="1"/>
    <col min="700" max="703" width="13.42578125" hidden="1" customWidth="1"/>
    <col min="704" max="705" width="14.28515625" hidden="1" customWidth="1"/>
    <col min="706" max="706" width="13.85546875" hidden="1" customWidth="1"/>
    <col min="707" max="707" width="14" hidden="1" customWidth="1"/>
    <col min="708" max="708" width="16.140625" hidden="1" customWidth="1"/>
    <col min="709" max="709" width="14.42578125" hidden="1" customWidth="1"/>
    <col min="710" max="710" width="17.7109375" hidden="1" customWidth="1"/>
    <col min="711" max="711" width="15.7109375" hidden="1" customWidth="1"/>
    <col min="712" max="712" width="14.7109375" hidden="1" customWidth="1"/>
    <col min="713" max="713" width="14.42578125" hidden="1" customWidth="1"/>
    <col min="714" max="715" width="15.85546875" hidden="1" customWidth="1"/>
    <col min="716" max="716" width="18.140625" hidden="1" customWidth="1"/>
    <col min="717" max="717" width="16.5703125" hidden="1" customWidth="1"/>
    <col min="718" max="718" width="14.7109375" hidden="1" customWidth="1"/>
    <col min="719" max="719" width="15.7109375" hidden="1" customWidth="1"/>
    <col min="720" max="720" width="15.28515625" hidden="1" customWidth="1"/>
    <col min="721" max="721" width="15.42578125" hidden="1" customWidth="1"/>
    <col min="722" max="722" width="15.85546875" hidden="1" customWidth="1"/>
    <col min="723" max="723" width="14.85546875" hidden="1" customWidth="1"/>
    <col min="724" max="724" width="14.42578125" hidden="1" customWidth="1"/>
    <col min="725" max="725" width="13.85546875" hidden="1" customWidth="1"/>
    <col min="726" max="726" width="13.7109375" hidden="1" customWidth="1"/>
    <col min="727" max="727" width="14.140625" hidden="1" customWidth="1"/>
    <col min="728" max="728" width="15" hidden="1" customWidth="1"/>
    <col min="729" max="729" width="15.7109375" hidden="1" customWidth="1"/>
    <col min="730" max="730" width="15.42578125" hidden="1" customWidth="1"/>
    <col min="731" max="731" width="14.85546875" hidden="1" customWidth="1"/>
    <col min="732" max="732" width="15.28515625" customWidth="1"/>
    <col min="733" max="735" width="14.7109375" customWidth="1"/>
    <col min="736" max="736" width="15.85546875" customWidth="1"/>
    <col min="737" max="737" width="16" customWidth="1"/>
    <col min="738" max="738" width="17" customWidth="1"/>
    <col min="739" max="739" width="17.42578125" customWidth="1"/>
    <col min="740" max="740" width="17.5703125" customWidth="1"/>
    <col min="741" max="741" width="19.5703125" customWidth="1"/>
    <col min="742" max="742" width="21.7109375" customWidth="1"/>
    <col min="743" max="743" width="24.42578125" customWidth="1"/>
    <col min="744" max="744" width="17.28515625" customWidth="1"/>
    <col min="745" max="745" width="22.5703125" customWidth="1"/>
    <col min="746" max="746" width="16.42578125" customWidth="1"/>
    <col min="747" max="747" width="18" customWidth="1"/>
    <col min="748" max="748" width="16.5703125" customWidth="1"/>
    <col min="749" max="749" width="16" customWidth="1"/>
    <col min="750" max="750" width="17.42578125" customWidth="1"/>
    <col min="751" max="751" width="18.7109375" customWidth="1"/>
    <col min="752" max="752" width="16.7109375" customWidth="1"/>
    <col min="753" max="753" width="22" customWidth="1"/>
    <col min="754" max="754" width="21.42578125" customWidth="1"/>
    <col min="755" max="755" width="19.5703125" customWidth="1"/>
    <col min="756" max="756" width="18.42578125" customWidth="1"/>
    <col min="757" max="757" width="18.7109375" customWidth="1"/>
    <col min="758" max="758" width="20.7109375" customWidth="1"/>
    <col min="759" max="759" width="16.5703125" customWidth="1"/>
    <col min="760" max="760" width="17" customWidth="1"/>
    <col min="761" max="761" width="15.28515625" customWidth="1"/>
    <col min="762" max="762" width="17.7109375" customWidth="1"/>
    <col min="763" max="763" width="18.42578125" customWidth="1"/>
    <col min="764" max="764" width="17.28515625" customWidth="1"/>
    <col min="765" max="765" width="16.85546875" customWidth="1"/>
    <col min="766" max="766" width="20.140625" customWidth="1"/>
    <col min="767" max="767" width="15.42578125" customWidth="1"/>
    <col min="768" max="768" width="19.140625" customWidth="1"/>
    <col min="769" max="769" width="19.7109375" customWidth="1"/>
    <col min="770" max="770" width="17.7109375" customWidth="1"/>
    <col min="771" max="771" width="16.7109375" customWidth="1"/>
    <col min="772" max="772" width="17.28515625" customWidth="1"/>
    <col min="773" max="773" width="20.28515625" customWidth="1"/>
    <col min="774" max="774" width="20.140625" customWidth="1"/>
    <col min="775" max="775" width="17.42578125" customWidth="1"/>
    <col min="776" max="776" width="19" customWidth="1"/>
    <col min="777" max="777" width="16.85546875" customWidth="1"/>
    <col min="778" max="778" width="19.42578125" customWidth="1"/>
    <col min="779" max="779" width="18" customWidth="1"/>
    <col min="780" max="780" width="19" customWidth="1"/>
    <col min="781" max="781" width="20.42578125" customWidth="1"/>
    <col min="782" max="782" width="16.42578125" customWidth="1"/>
    <col min="783" max="783" width="19" customWidth="1"/>
    <col min="784" max="784" width="19.140625" customWidth="1"/>
    <col min="785" max="785" width="17.85546875" customWidth="1"/>
    <col min="786" max="786" width="21.42578125" customWidth="1"/>
    <col min="787" max="787" width="17.5703125" customWidth="1"/>
    <col min="788" max="788" width="15.85546875" customWidth="1"/>
    <col min="789" max="789" width="17" customWidth="1"/>
    <col min="790" max="790" width="17.42578125" customWidth="1"/>
    <col min="791" max="791" width="15.5703125" customWidth="1"/>
    <col min="792" max="792" width="18" customWidth="1"/>
    <col min="793" max="793" width="17.5703125" customWidth="1"/>
    <col min="794" max="794" width="19.42578125" customWidth="1"/>
    <col min="795" max="795" width="17.140625" customWidth="1"/>
    <col min="796" max="796" width="17.7109375" customWidth="1"/>
    <col min="797" max="797" width="17.28515625" customWidth="1"/>
    <col min="798" max="798" width="19.28515625" customWidth="1"/>
    <col min="799" max="799" width="16.85546875" customWidth="1"/>
    <col min="800" max="800" width="16.5703125" customWidth="1"/>
    <col min="801" max="801" width="19.28515625" customWidth="1"/>
    <col min="802" max="803" width="17" customWidth="1"/>
    <col min="804" max="805" width="19.7109375" customWidth="1"/>
    <col min="806" max="806" width="17.7109375" customWidth="1"/>
    <col min="807" max="807" width="18.7109375" customWidth="1"/>
    <col min="808" max="808" width="17.5703125" customWidth="1"/>
    <col min="809" max="809" width="17" customWidth="1"/>
    <col min="810" max="810" width="18.85546875" customWidth="1"/>
    <col min="811" max="811" width="18.42578125" customWidth="1"/>
    <col min="812" max="812" width="17.7109375" customWidth="1"/>
    <col min="813" max="813" width="22.42578125" customWidth="1"/>
    <col min="814" max="814" width="20.5703125" customWidth="1"/>
    <col min="815" max="815" width="17.42578125" customWidth="1"/>
    <col min="816" max="816" width="19.7109375" customWidth="1"/>
    <col min="817" max="817" width="17.42578125" customWidth="1"/>
    <col min="818" max="818" width="22" customWidth="1"/>
    <col min="819" max="819" width="18.7109375" customWidth="1"/>
    <col min="820" max="820" width="18.140625" customWidth="1"/>
    <col min="821" max="821" width="18.28515625" customWidth="1"/>
    <col min="822" max="822" width="20.7109375" customWidth="1"/>
    <col min="823" max="823" width="19.28515625" customWidth="1"/>
    <col min="824" max="824" width="17.42578125" customWidth="1"/>
    <col min="825" max="825" width="18.7109375" customWidth="1"/>
    <col min="826" max="826" width="16.7109375" customWidth="1"/>
    <col min="827" max="827" width="18.140625" customWidth="1"/>
    <col min="828" max="828" width="18.7109375" customWidth="1"/>
    <col min="829" max="829" width="20.7109375" customWidth="1"/>
    <col min="830" max="830" width="17.140625" customWidth="1"/>
    <col min="831" max="831" width="15.42578125" customWidth="1"/>
    <col min="832" max="832" width="17" customWidth="1"/>
    <col min="833" max="833" width="20" customWidth="1"/>
    <col min="834" max="834" width="17.28515625" customWidth="1"/>
    <col min="835" max="835" width="17.42578125" customWidth="1"/>
    <col min="836" max="836" width="18.5703125" customWidth="1"/>
    <col min="837" max="837" width="18.28515625" customWidth="1"/>
    <col min="838" max="838" width="17.28515625" customWidth="1"/>
    <col min="839" max="839" width="17.85546875" customWidth="1"/>
    <col min="840" max="840" width="16.7109375" customWidth="1"/>
    <col min="841" max="841" width="18.28515625" customWidth="1"/>
    <col min="842" max="842" width="21" customWidth="1"/>
    <col min="843" max="843" width="20.5703125" customWidth="1"/>
    <col min="844" max="844" width="18.42578125" customWidth="1"/>
    <col min="845" max="845" width="20.28515625" customWidth="1"/>
    <col min="846" max="846" width="19.140625" customWidth="1"/>
    <col min="847" max="847" width="18.42578125" customWidth="1"/>
    <col min="848" max="848" width="16.85546875" customWidth="1"/>
    <col min="849" max="849" width="18" customWidth="1"/>
    <col min="850" max="850" width="18.85546875" customWidth="1"/>
    <col min="851" max="851" width="19.85546875" customWidth="1"/>
    <col min="852" max="853" width="18.85546875" customWidth="1"/>
    <col min="854" max="854" width="20.85546875" customWidth="1"/>
    <col min="855" max="855" width="19" customWidth="1"/>
    <col min="856" max="856" width="21" customWidth="1"/>
    <col min="857" max="857" width="21.85546875" customWidth="1"/>
    <col min="858" max="858" width="20" customWidth="1"/>
    <col min="859" max="859" width="17.28515625" customWidth="1"/>
    <col min="860" max="860" width="17.5703125" customWidth="1"/>
    <col min="861" max="861" width="15.7109375" customWidth="1"/>
    <col min="862" max="862" width="16" customWidth="1"/>
    <col min="863" max="863" width="18.140625" customWidth="1"/>
    <col min="864" max="864" width="18" customWidth="1"/>
    <col min="865" max="865" width="21.28515625" customWidth="1"/>
    <col min="866" max="866" width="18.28515625" customWidth="1"/>
    <col min="867" max="867" width="19.42578125" customWidth="1"/>
    <col min="868" max="868" width="19.28515625" customWidth="1"/>
    <col min="869" max="869" width="21.85546875" customWidth="1"/>
    <col min="870" max="870" width="22.28515625" customWidth="1"/>
    <col min="871" max="871" width="21.140625" customWidth="1"/>
    <col min="872" max="872" width="23" customWidth="1"/>
    <col min="873" max="873" width="22.140625" customWidth="1"/>
    <col min="874" max="874" width="19.85546875" customWidth="1"/>
    <col min="875" max="875" width="20.140625" customWidth="1"/>
    <col min="876" max="876" width="21.85546875" customWidth="1"/>
    <col min="877" max="877" width="20.140625" customWidth="1"/>
    <col min="878" max="878" width="20.85546875" customWidth="1"/>
    <col min="879" max="879" width="20.7109375" customWidth="1"/>
    <col min="880" max="880" width="18.28515625" customWidth="1"/>
    <col min="881" max="881" width="18.5703125" customWidth="1"/>
    <col min="882" max="882" width="19.5703125" customWidth="1"/>
    <col min="883" max="883" width="19" customWidth="1"/>
    <col min="884" max="884" width="22.42578125" customWidth="1"/>
    <col min="885" max="885" width="18.85546875" customWidth="1"/>
    <col min="886" max="886" width="21.42578125" customWidth="1"/>
    <col min="887" max="887" width="19.42578125" customWidth="1"/>
    <col min="888" max="888" width="16.28515625" customWidth="1"/>
    <col min="889" max="889" width="17" customWidth="1"/>
    <col min="890" max="890" width="17.85546875" customWidth="1"/>
    <col min="891" max="891" width="18.42578125" customWidth="1"/>
    <col min="892" max="892" width="21.28515625" customWidth="1"/>
    <col min="893" max="893" width="20.140625" customWidth="1"/>
    <col min="894" max="894" width="18" customWidth="1"/>
    <col min="895" max="895" width="17.85546875" customWidth="1"/>
    <col min="896" max="896" width="20.140625" customWidth="1"/>
    <col min="897" max="897" width="17.42578125" customWidth="1"/>
    <col min="898" max="898" width="18.7109375" customWidth="1"/>
    <col min="899" max="899" width="19" customWidth="1"/>
    <col min="900" max="900" width="15.28515625" customWidth="1"/>
    <col min="901" max="901" width="15.5703125" customWidth="1"/>
    <col min="902" max="902" width="17.28515625" customWidth="1"/>
    <col min="903" max="903" width="16.28515625" customWidth="1"/>
    <col min="904" max="904" width="18" customWidth="1"/>
    <col min="905" max="905" width="17.28515625" customWidth="1"/>
    <col min="906" max="906" width="19" customWidth="1"/>
    <col min="907" max="907" width="19.85546875" customWidth="1"/>
    <col min="908" max="908" width="17.7109375" customWidth="1"/>
    <col min="909" max="910" width="18.28515625" customWidth="1"/>
    <col min="911" max="911" width="17.140625" customWidth="1"/>
    <col min="912" max="912" width="19" customWidth="1"/>
    <col min="913" max="913" width="15.28515625" customWidth="1"/>
    <col min="914" max="914" width="17.42578125" customWidth="1"/>
    <col min="915" max="915" width="16.5703125" customWidth="1"/>
    <col min="916" max="916" width="18.7109375" customWidth="1"/>
    <col min="917" max="917" width="17.140625" customWidth="1"/>
    <col min="918" max="918" width="15.85546875" customWidth="1"/>
    <col min="919" max="919" width="18" customWidth="1"/>
    <col min="920" max="920" width="18.28515625" customWidth="1"/>
    <col min="921" max="921" width="16.5703125" customWidth="1"/>
    <col min="922" max="922" width="15.7109375" customWidth="1"/>
    <col min="923" max="923" width="15.140625" customWidth="1"/>
    <col min="924" max="924" width="16.42578125" customWidth="1"/>
    <col min="925" max="925" width="14" customWidth="1"/>
    <col min="926" max="927" width="14.140625" customWidth="1"/>
    <col min="928" max="928" width="15.5703125" customWidth="1"/>
    <col min="929" max="929" width="15.7109375" customWidth="1"/>
    <col min="930" max="930" width="16" customWidth="1"/>
    <col min="931" max="931" width="15" customWidth="1"/>
    <col min="932" max="932" width="15.42578125" customWidth="1"/>
    <col min="933" max="933" width="13.85546875" customWidth="1"/>
    <col min="934" max="934" width="14" customWidth="1"/>
    <col min="935" max="936" width="15.85546875" customWidth="1"/>
    <col min="937" max="937" width="15.5703125" customWidth="1"/>
    <col min="938" max="938" width="13.85546875" customWidth="1"/>
    <col min="939" max="939" width="15.140625" customWidth="1"/>
    <col min="940" max="940" width="15.28515625" customWidth="1"/>
    <col min="941" max="941" width="14.7109375" customWidth="1"/>
    <col min="942" max="942" width="14.5703125" customWidth="1"/>
    <col min="943" max="943" width="15.42578125" customWidth="1"/>
    <col min="944" max="944" width="14.7109375" customWidth="1"/>
    <col min="945" max="945" width="15.42578125" customWidth="1"/>
    <col min="946" max="946" width="15" customWidth="1"/>
    <col min="947" max="947" width="14.28515625" customWidth="1"/>
    <col min="948" max="948" width="15.7109375" customWidth="1"/>
    <col min="949" max="949" width="14.28515625" customWidth="1"/>
    <col min="950" max="950" width="14" customWidth="1"/>
    <col min="951" max="951" width="15.140625" customWidth="1"/>
    <col min="952" max="952" width="15.5703125" customWidth="1"/>
    <col min="953" max="953" width="16.140625" customWidth="1"/>
    <col min="954" max="954" width="14.42578125" customWidth="1"/>
    <col min="955" max="956" width="15" customWidth="1"/>
    <col min="957" max="957" width="16.5703125" customWidth="1"/>
    <col min="958" max="958" width="14.5703125" customWidth="1"/>
    <col min="959" max="959" width="16.5703125" customWidth="1"/>
    <col min="960" max="960" width="16.7109375" customWidth="1"/>
    <col min="961" max="962" width="15.42578125" customWidth="1"/>
    <col min="963" max="963" width="15.85546875" customWidth="1"/>
    <col min="964" max="964" width="15" customWidth="1"/>
    <col min="965" max="965" width="17.7109375" customWidth="1"/>
    <col min="966" max="966" width="16.42578125" customWidth="1"/>
    <col min="967" max="967" width="15.42578125" customWidth="1"/>
    <col min="968" max="968" width="15.85546875" customWidth="1"/>
    <col min="969" max="969" width="14.5703125" customWidth="1"/>
    <col min="970" max="970" width="16.42578125" customWidth="1"/>
    <col min="971" max="971" width="14.7109375" customWidth="1"/>
    <col min="972" max="972" width="16.85546875" customWidth="1"/>
    <col min="973" max="974" width="15.85546875" customWidth="1"/>
    <col min="975" max="975" width="16.85546875" customWidth="1"/>
    <col min="976" max="977" width="15" customWidth="1"/>
    <col min="978" max="978" width="16.7109375" customWidth="1"/>
    <col min="979" max="979" width="15.85546875" customWidth="1"/>
    <col min="980" max="980" width="17.42578125" customWidth="1"/>
    <col min="981" max="981" width="18.7109375" customWidth="1"/>
    <col min="982" max="982" width="17.28515625" customWidth="1"/>
    <col min="983" max="983" width="16.7109375" customWidth="1"/>
    <col min="984" max="984" width="16.85546875" customWidth="1"/>
    <col min="985" max="985" width="16.7109375" customWidth="1"/>
    <col min="986" max="986" width="15.28515625" customWidth="1"/>
    <col min="987" max="987" width="16.7109375" customWidth="1"/>
    <col min="988" max="988" width="15.85546875" customWidth="1"/>
    <col min="989" max="989" width="15.28515625" customWidth="1"/>
    <col min="990" max="990" width="16.28515625" customWidth="1"/>
    <col min="991" max="991" width="16.5703125" customWidth="1"/>
    <col min="992" max="992" width="16.7109375" customWidth="1"/>
    <col min="993" max="993" width="14.7109375" customWidth="1"/>
    <col min="994" max="994" width="16.5703125" customWidth="1"/>
    <col min="995" max="995" width="16.85546875" customWidth="1"/>
    <col min="996" max="996" width="16.140625" customWidth="1"/>
    <col min="997" max="997" width="16.5703125" customWidth="1"/>
    <col min="998" max="998" width="16.28515625" customWidth="1"/>
    <col min="999" max="999" width="14.42578125" customWidth="1"/>
    <col min="1000" max="1000" width="16.140625" customWidth="1"/>
    <col min="1001" max="1001" width="18.85546875" customWidth="1"/>
    <col min="1002" max="1002" width="18.42578125" customWidth="1"/>
    <col min="1003" max="1003" width="17.28515625" customWidth="1"/>
    <col min="1004" max="1004" width="18.7109375" customWidth="1"/>
    <col min="1005" max="1006" width="17.7109375" customWidth="1"/>
    <col min="1007" max="1007" width="17" customWidth="1"/>
    <col min="1008" max="1008" width="17.42578125" customWidth="1"/>
    <col min="1009" max="1009" width="18.85546875" customWidth="1"/>
    <col min="1010" max="1010" width="17.85546875" customWidth="1"/>
    <col min="1011" max="1011" width="20.5703125" customWidth="1"/>
    <col min="1012" max="1012" width="20.85546875" customWidth="1"/>
    <col min="1013" max="1013" width="20.42578125" customWidth="1"/>
    <col min="1014" max="1014" width="19" customWidth="1"/>
    <col min="1015" max="1015" width="21.5703125" customWidth="1"/>
    <col min="1016" max="1016" width="20.5703125" customWidth="1"/>
    <col min="1017" max="1018" width="17.140625" customWidth="1"/>
    <col min="1019" max="1019" width="15.140625" customWidth="1"/>
    <col min="1020" max="1020" width="17.7109375" customWidth="1"/>
    <col min="1021" max="1021" width="17.85546875" customWidth="1"/>
    <col min="1022" max="1022" width="18.28515625" customWidth="1"/>
    <col min="1023" max="1023" width="19.5703125" customWidth="1"/>
    <col min="1024" max="1024" width="17" customWidth="1"/>
    <col min="1025" max="1025" width="19.7109375" customWidth="1"/>
    <col min="1026" max="1026" width="17.7109375" customWidth="1"/>
    <col min="1027" max="1027" width="20" customWidth="1"/>
    <col min="1028" max="1028" width="18.28515625" customWidth="1"/>
    <col min="1029" max="1029" width="18.85546875" customWidth="1"/>
    <col min="1030" max="1030" width="19.7109375" customWidth="1"/>
    <col min="1031" max="1031" width="20.5703125" customWidth="1"/>
    <col min="1032" max="1032" width="19" customWidth="1"/>
    <col min="1033" max="1033" width="18.85546875" customWidth="1"/>
    <col min="1034" max="1034" width="16.42578125" customWidth="1"/>
    <col min="1035" max="1035" width="18.140625" customWidth="1"/>
    <col min="1036" max="1036" width="21.140625" customWidth="1"/>
    <col min="1037" max="1037" width="16" customWidth="1"/>
    <col min="1038" max="1038" width="19.7109375" customWidth="1"/>
    <col min="1039" max="1039" width="18.7109375" customWidth="1"/>
    <col min="1040" max="1040" width="18.28515625" customWidth="1"/>
    <col min="1041" max="1041" width="20.140625" customWidth="1"/>
    <col min="1042" max="1042" width="16.85546875" customWidth="1"/>
    <col min="1043" max="1043" width="20" customWidth="1"/>
    <col min="1044" max="1044" width="18.140625" customWidth="1"/>
    <col min="1045" max="1045" width="20.85546875" customWidth="1"/>
    <col min="1046" max="1046" width="16.7109375" customWidth="1"/>
    <col min="1047" max="1047" width="18.140625" customWidth="1"/>
    <col min="1048" max="1048" width="16.85546875" customWidth="1"/>
    <col min="1049" max="1049" width="20" customWidth="1"/>
    <col min="1050" max="1050" width="19.28515625" customWidth="1"/>
    <col min="1051" max="1051" width="19" customWidth="1"/>
    <col min="1052" max="1052" width="17.7109375" customWidth="1"/>
    <col min="1053" max="1053" width="17.85546875" customWidth="1"/>
    <col min="1054" max="1054" width="18.7109375" customWidth="1"/>
    <col min="1055" max="1055" width="19.140625" customWidth="1"/>
    <col min="1056" max="1056" width="17.5703125" customWidth="1"/>
    <col min="1057" max="1057" width="18.7109375" customWidth="1"/>
    <col min="1058" max="1058" width="19.5703125" customWidth="1"/>
    <col min="1059" max="1059" width="19.140625" customWidth="1"/>
    <col min="1060" max="1060" width="18.85546875" customWidth="1"/>
    <col min="1061" max="1061" width="17.85546875" customWidth="1"/>
    <col min="1062" max="1062" width="17.5703125" customWidth="1"/>
    <col min="1063" max="1064" width="19.140625" customWidth="1"/>
    <col min="1065" max="1065" width="18.140625" customWidth="1"/>
    <col min="1066" max="1066" width="19.5703125" customWidth="1"/>
    <col min="1067" max="1067" width="17.140625" customWidth="1"/>
    <col min="1068" max="1068" width="19.140625" customWidth="1"/>
    <col min="1069" max="1069" width="21.7109375" customWidth="1"/>
    <col min="1070" max="1070" width="18.28515625" customWidth="1"/>
    <col min="1071" max="1071" width="18.140625" customWidth="1"/>
    <col min="1072" max="1072" width="18" customWidth="1"/>
    <col min="1073" max="1073" width="17.5703125" customWidth="1"/>
    <col min="1074" max="1074" width="20" customWidth="1"/>
    <col min="1075" max="1075" width="19.5703125" customWidth="1"/>
    <col min="1076" max="1076" width="20.28515625" customWidth="1"/>
    <col min="1077" max="1077" width="18.5703125" customWidth="1"/>
    <col min="1078" max="1078" width="21.7109375" customWidth="1"/>
    <col min="1079" max="1079" width="19.42578125" customWidth="1"/>
    <col min="1080" max="1080" width="20.140625" customWidth="1"/>
    <col min="1081" max="1081" width="18.5703125" customWidth="1"/>
    <col min="1082" max="1082" width="17.28515625" customWidth="1"/>
    <col min="1083" max="1083" width="18" customWidth="1"/>
    <col min="1084" max="1084" width="20.42578125" customWidth="1"/>
    <col min="1085" max="1085" width="19.140625" customWidth="1"/>
    <col min="1086" max="1086" width="19" customWidth="1"/>
    <col min="1087" max="1087" width="18.140625" customWidth="1"/>
    <col min="1088" max="1088" width="22.7109375" customWidth="1"/>
    <col min="1089" max="1089" width="19.140625" customWidth="1"/>
    <col min="1090" max="1090" width="18.28515625" customWidth="1"/>
    <col min="1091" max="1091" width="18" customWidth="1"/>
    <col min="1092" max="1092" width="18.28515625" customWidth="1"/>
    <col min="1093" max="1093" width="19.28515625" customWidth="1"/>
    <col min="1094" max="1094" width="19.5703125" customWidth="1"/>
    <col min="1095" max="1095" width="19.140625" customWidth="1"/>
    <col min="1096" max="1096" width="19" customWidth="1"/>
    <col min="1097" max="1101" width="18" customWidth="1"/>
    <col min="1102" max="1102" width="17.42578125" customWidth="1"/>
    <col min="1103" max="1103" width="16.7109375" customWidth="1"/>
    <col min="1104" max="1104" width="18.85546875" customWidth="1"/>
    <col min="1105" max="1105" width="18" customWidth="1"/>
    <col min="1106" max="1106" width="19" customWidth="1"/>
    <col min="1107" max="1107" width="20.85546875" customWidth="1"/>
    <col min="1108" max="1108" width="20.5703125" customWidth="1"/>
    <col min="1109" max="1109" width="19" customWidth="1"/>
    <col min="1110" max="1110" width="17.85546875" customWidth="1"/>
    <col min="1111" max="1111" width="18.42578125" customWidth="1"/>
    <col min="1112" max="1112" width="18.5703125" customWidth="1"/>
    <col min="1113" max="1113" width="20" customWidth="1"/>
    <col min="1114" max="1114" width="16.28515625" customWidth="1"/>
    <col min="1115" max="1116" width="18" customWidth="1"/>
    <col min="1117" max="1117" width="18.5703125" customWidth="1"/>
    <col min="1118" max="1118" width="17.28515625" customWidth="1"/>
    <col min="1119" max="1119" width="18.140625" customWidth="1"/>
    <col min="1120" max="1120" width="17.5703125" customWidth="1"/>
    <col min="1121" max="1121" width="17.140625" customWidth="1"/>
    <col min="1122" max="1122" width="17.85546875" customWidth="1"/>
    <col min="1123" max="1123" width="18.7109375" customWidth="1"/>
    <col min="1124" max="1124" width="18" customWidth="1"/>
    <col min="1125" max="1125" width="17.85546875" customWidth="1"/>
    <col min="1126" max="1126" width="17.42578125" customWidth="1"/>
    <col min="1127" max="1127" width="17.85546875" customWidth="1"/>
    <col min="1128" max="1128" width="18.7109375" customWidth="1"/>
    <col min="1129" max="1129" width="16.7109375" customWidth="1"/>
    <col min="1130" max="1131" width="18.28515625" customWidth="1"/>
    <col min="1132" max="1132" width="16.85546875" customWidth="1"/>
    <col min="1133" max="1133" width="20.7109375" customWidth="1"/>
    <col min="1134" max="1134" width="15.85546875" customWidth="1"/>
    <col min="1135" max="1135" width="16.42578125" customWidth="1"/>
    <col min="1136" max="1136" width="18" customWidth="1"/>
    <col min="1137" max="1137" width="16.85546875" customWidth="1"/>
    <col min="1138" max="1138" width="17.140625" customWidth="1"/>
    <col min="1139" max="1139" width="19.42578125" customWidth="1"/>
    <col min="1140" max="1140" width="17.5703125" customWidth="1"/>
    <col min="1141" max="1141" width="17.85546875" customWidth="1"/>
    <col min="1142" max="1142" width="16.85546875" customWidth="1"/>
    <col min="1143" max="1143" width="19.28515625" customWidth="1"/>
    <col min="1144" max="1144" width="17.5703125" customWidth="1"/>
    <col min="1145" max="1145" width="17.42578125" customWidth="1"/>
    <col min="1146" max="1146" width="21" customWidth="1"/>
    <col min="1147" max="1147" width="19.5703125" customWidth="1"/>
    <col min="1148" max="1148" width="20" customWidth="1"/>
    <col min="1149" max="1149" width="17.85546875" customWidth="1"/>
    <col min="1150" max="1150" width="18.42578125" customWidth="1"/>
    <col min="1151" max="1151" width="18.28515625" customWidth="1"/>
    <col min="1152" max="1152" width="18.140625" customWidth="1"/>
    <col min="1153" max="1153" width="18.7109375" customWidth="1"/>
    <col min="1154" max="1154" width="18.5703125" customWidth="1"/>
    <col min="1155" max="1155" width="20.5703125" customWidth="1"/>
    <col min="1156" max="1156" width="19.28515625" customWidth="1"/>
    <col min="1157" max="1157" width="21.140625" customWidth="1"/>
    <col min="1158" max="1158" width="21.5703125" customWidth="1"/>
    <col min="1159" max="1159" width="20.85546875" customWidth="1"/>
    <col min="1160" max="1160" width="20" customWidth="1"/>
    <col min="1161" max="1161" width="19.5703125" customWidth="1"/>
    <col min="1162" max="1162" width="18.7109375" customWidth="1"/>
    <col min="1163" max="1163" width="20.5703125" customWidth="1"/>
    <col min="1164" max="1164" width="18.7109375" customWidth="1"/>
    <col min="1165" max="1166" width="17.28515625" customWidth="1"/>
    <col min="1167" max="1167" width="20.140625" customWidth="1"/>
    <col min="1168" max="1168" width="20.28515625" customWidth="1"/>
    <col min="1169" max="1169" width="21.5703125" customWidth="1"/>
    <col min="1170" max="1170" width="20.5703125" customWidth="1"/>
    <col min="1171" max="1171" width="22.140625" customWidth="1"/>
    <col min="1172" max="1173" width="19.85546875" customWidth="1"/>
    <col min="1174" max="1174" width="20.7109375" customWidth="1"/>
    <col min="1175" max="1175" width="21.28515625" customWidth="1"/>
    <col min="1176" max="1176" width="18" customWidth="1"/>
    <col min="1177" max="1177" width="19.28515625" customWidth="1"/>
    <col min="1178" max="1178" width="17.5703125" customWidth="1"/>
    <col min="1179" max="1179" width="21.85546875" customWidth="1"/>
    <col min="1180" max="1180" width="19.5703125" customWidth="1"/>
    <col min="1181" max="1181" width="19.140625" customWidth="1"/>
    <col min="1182" max="1182" width="17.42578125" customWidth="1"/>
    <col min="1183" max="1183" width="19" customWidth="1"/>
    <col min="1184" max="1184" width="17.28515625" customWidth="1"/>
    <col min="1185" max="1185" width="17.85546875" customWidth="1"/>
    <col min="1186" max="1186" width="18.28515625" customWidth="1"/>
    <col min="1187" max="1187" width="20" customWidth="1"/>
    <col min="1188" max="1188" width="18.85546875" customWidth="1"/>
    <col min="1189" max="1189" width="19" customWidth="1"/>
    <col min="1190" max="1190" width="18.28515625" customWidth="1"/>
    <col min="1191" max="1191" width="18.140625" customWidth="1"/>
    <col min="1192" max="1192" width="17.85546875" customWidth="1"/>
    <col min="1193" max="1193" width="19.7109375" customWidth="1"/>
    <col min="1194" max="1194" width="19.42578125" customWidth="1"/>
    <col min="1195" max="1195" width="18" customWidth="1"/>
    <col min="1196" max="1196" width="18.28515625" customWidth="1"/>
    <col min="1197" max="1197" width="17.42578125" customWidth="1"/>
    <col min="1198" max="1198" width="18.5703125" customWidth="1"/>
    <col min="1199" max="1199" width="20" customWidth="1"/>
    <col min="1200" max="1200" width="19.140625" customWidth="1"/>
    <col min="1201" max="1201" width="18.5703125" customWidth="1"/>
    <col min="1202" max="1202" width="19" customWidth="1"/>
    <col min="1203" max="1203" width="18.85546875" customWidth="1"/>
    <col min="1204" max="1204" width="19" customWidth="1"/>
    <col min="1205" max="1205" width="18" customWidth="1"/>
    <col min="1206" max="1206" width="17.28515625" customWidth="1"/>
    <col min="1207" max="1207" width="19.7109375" customWidth="1"/>
    <col min="1208" max="1208" width="16.7109375" customWidth="1"/>
    <col min="1209" max="1209" width="18.28515625" customWidth="1"/>
    <col min="1210" max="1210" width="19" customWidth="1"/>
    <col min="1211" max="1211" width="17.42578125" customWidth="1"/>
    <col min="1212" max="1212" width="18" customWidth="1"/>
    <col min="1213" max="1213" width="18.5703125" customWidth="1"/>
    <col min="1214" max="1214" width="18.42578125" customWidth="1"/>
    <col min="1215" max="1215" width="18.7109375" customWidth="1"/>
    <col min="1216" max="1216" width="18.5703125" customWidth="1"/>
    <col min="1217" max="1217" width="19.5703125" customWidth="1"/>
    <col min="1218" max="1218" width="19.42578125" customWidth="1"/>
    <col min="1219" max="1219" width="18.28515625" customWidth="1"/>
    <col min="1220" max="1220" width="19.5703125" customWidth="1"/>
    <col min="1221" max="1221" width="18.85546875" customWidth="1"/>
    <col min="1222" max="1222" width="17.5703125" customWidth="1"/>
    <col min="1223" max="1223" width="18.28515625" customWidth="1"/>
    <col min="1224" max="1224" width="20.7109375" customWidth="1"/>
    <col min="1225" max="1225" width="21.140625" customWidth="1"/>
    <col min="1226" max="1226" width="19.7109375" customWidth="1"/>
    <col min="1227" max="1227" width="20.5703125" customWidth="1"/>
    <col min="1228" max="1228" width="19.5703125" customWidth="1"/>
    <col min="1229" max="1229" width="21.7109375" customWidth="1"/>
    <col min="1230" max="1230" width="19.7109375" customWidth="1"/>
    <col min="1231" max="1231" width="20.85546875" customWidth="1"/>
    <col min="1232" max="1232" width="18.7109375" customWidth="1"/>
    <col min="1233" max="1233" width="21.42578125" customWidth="1"/>
    <col min="1234" max="1234" width="22.28515625" customWidth="1"/>
    <col min="1235" max="1235" width="18.42578125" customWidth="1"/>
    <col min="1236" max="1236" width="19.7109375" customWidth="1"/>
    <col min="1237" max="1237" width="21.140625" customWidth="1"/>
    <col min="1238" max="1238" width="22.42578125" customWidth="1"/>
    <col min="1239" max="1239" width="18.140625" customWidth="1"/>
    <col min="1240" max="1240" width="19.42578125" customWidth="1"/>
    <col min="1241" max="1241" width="18.28515625" customWidth="1"/>
    <col min="1242" max="1242" width="17.7109375" customWidth="1"/>
    <col min="1243" max="1243" width="20.140625" customWidth="1"/>
    <col min="1244" max="1244" width="17.7109375" customWidth="1"/>
    <col min="1245" max="1245" width="21.140625" customWidth="1"/>
    <col min="1246" max="1246" width="17.140625" customWidth="1"/>
    <col min="1247" max="1247" width="19.140625" customWidth="1"/>
    <col min="1248" max="1248" width="20.140625" customWidth="1"/>
    <col min="1249" max="1249" width="20" customWidth="1"/>
    <col min="1250" max="1250" width="17.5703125" customWidth="1"/>
    <col min="1251" max="1251" width="18.85546875" customWidth="1"/>
    <col min="1252" max="1252" width="19.28515625" customWidth="1"/>
    <col min="1253" max="1253" width="19.7109375" customWidth="1"/>
    <col min="1254" max="1254" width="17.7109375" customWidth="1"/>
    <col min="1255" max="1255" width="18.7109375" customWidth="1"/>
    <col min="1256" max="1256" width="19" customWidth="1"/>
    <col min="1257" max="1257" width="20.85546875" customWidth="1"/>
    <col min="1258" max="1258" width="19.42578125" customWidth="1"/>
    <col min="1259" max="1259" width="20.42578125" customWidth="1"/>
    <col min="1260" max="1260" width="20" customWidth="1"/>
    <col min="1261" max="1261" width="21.85546875" customWidth="1"/>
    <col min="1262" max="1262" width="20.85546875" customWidth="1"/>
    <col min="1263" max="1263" width="19.42578125" customWidth="1"/>
    <col min="1264" max="1264" width="19.5703125" customWidth="1"/>
    <col min="1265" max="1265" width="22" customWidth="1"/>
    <col min="1266" max="1266" width="18.5703125" customWidth="1"/>
    <col min="1267" max="1267" width="19.28515625" customWidth="1"/>
    <col min="1268" max="1268" width="19" customWidth="1"/>
    <col min="1269" max="1269" width="18" customWidth="1"/>
    <col min="1270" max="1270" width="17.7109375" customWidth="1"/>
    <col min="1271" max="1271" width="18.85546875" customWidth="1"/>
    <col min="1272" max="1272" width="18.7109375" customWidth="1"/>
    <col min="1273" max="1273" width="20.5703125" customWidth="1"/>
    <col min="1274" max="1274" width="18.85546875" customWidth="1"/>
    <col min="1275" max="1275" width="21.140625" customWidth="1"/>
    <col min="1276" max="1276" width="20.85546875" customWidth="1"/>
    <col min="1277" max="1277" width="18.85546875" customWidth="1"/>
    <col min="1278" max="1279" width="20.85546875" customWidth="1"/>
    <col min="1280" max="1280" width="18.85546875" customWidth="1"/>
    <col min="1281" max="1281" width="18.140625" customWidth="1"/>
    <col min="1282" max="1282" width="17.28515625" customWidth="1"/>
    <col min="1283" max="1283" width="18.28515625" customWidth="1"/>
    <col min="1284" max="1284" width="17.7109375" customWidth="1"/>
    <col min="1285" max="1285" width="20.140625" customWidth="1"/>
    <col min="1286" max="1286" width="17.140625" customWidth="1"/>
    <col min="1287" max="1287" width="19" customWidth="1"/>
    <col min="1288" max="1288" width="20.28515625" customWidth="1"/>
    <col min="1289" max="1289" width="19.5703125" customWidth="1"/>
    <col min="1290" max="1290" width="18.7109375" customWidth="1"/>
    <col min="1291" max="1291" width="20.5703125" customWidth="1"/>
    <col min="1292" max="1292" width="18.28515625" customWidth="1"/>
    <col min="1293" max="1293" width="20.7109375" customWidth="1"/>
    <col min="1294" max="1294" width="21.28515625" customWidth="1"/>
    <col min="1295" max="1295" width="18.5703125" customWidth="1"/>
    <col min="1296" max="1296" width="18.28515625" customWidth="1"/>
    <col min="1297" max="1297" width="19.5703125" customWidth="1"/>
    <col min="1298" max="1298" width="21" customWidth="1"/>
    <col min="1299" max="1299" width="23" customWidth="1"/>
    <col min="1300" max="1300" width="22.5703125" customWidth="1"/>
    <col min="1301" max="1301" width="20.7109375" customWidth="1"/>
    <col min="1302" max="1302" width="20.5703125" customWidth="1"/>
    <col min="1303" max="1303" width="21" customWidth="1"/>
    <col min="1304" max="1304" width="21.5703125" customWidth="1"/>
    <col min="1305" max="1305" width="20.28515625" customWidth="1"/>
    <col min="1306" max="1306" width="19.7109375" customWidth="1"/>
    <col min="1307" max="1307" width="22.42578125" customWidth="1"/>
    <col min="1308" max="1308" width="18.7109375" customWidth="1"/>
    <col min="1309" max="1309" width="22.85546875" customWidth="1"/>
    <col min="1310" max="1310" width="19.28515625" customWidth="1"/>
    <col min="1311" max="1311" width="18.28515625" customWidth="1"/>
    <col min="1312" max="1312" width="20" customWidth="1"/>
    <col min="1313" max="1313" width="18" customWidth="1"/>
    <col min="1314" max="1314" width="21.42578125" customWidth="1"/>
    <col min="1315" max="1315" width="18.85546875" customWidth="1"/>
    <col min="1316" max="1316" width="18.5703125" customWidth="1"/>
    <col min="1317" max="1317" width="18.140625" customWidth="1"/>
    <col min="1318" max="1318" width="20.7109375" customWidth="1"/>
    <col min="1319" max="1319" width="20.140625" customWidth="1"/>
    <col min="1320" max="1320" width="19.42578125" customWidth="1"/>
    <col min="1321" max="1322" width="23.140625" customWidth="1"/>
    <col min="1323" max="1323" width="21.140625" customWidth="1"/>
    <col min="1324" max="1324" width="23" customWidth="1"/>
    <col min="1325" max="1325" width="18" customWidth="1"/>
    <col min="1326" max="1326" width="17.85546875" customWidth="1"/>
    <col min="1327" max="1327" width="20" customWidth="1"/>
    <col min="1328" max="1328" width="15.85546875" customWidth="1"/>
    <col min="1329" max="1329" width="16.7109375" customWidth="1"/>
    <col min="1330" max="1330" width="19.28515625" customWidth="1"/>
    <col min="1331" max="1331" width="18" customWidth="1"/>
    <col min="1332" max="1332" width="23" customWidth="1"/>
    <col min="1333" max="1333" width="18.85546875" customWidth="1"/>
    <col min="1334" max="1334" width="18.5703125" customWidth="1"/>
    <col min="1335" max="1335" width="16.85546875" customWidth="1"/>
    <col min="1336" max="1336" width="18.5703125" customWidth="1"/>
    <col min="1337" max="1337" width="19.42578125" customWidth="1"/>
    <col min="1338" max="1338" width="17.140625" customWidth="1"/>
    <col min="1339" max="1339" width="22" customWidth="1"/>
    <col min="1340" max="1340" width="18.140625" customWidth="1"/>
    <col min="1341" max="1341" width="23.5703125" customWidth="1"/>
    <col min="1342" max="1342" width="23.85546875" customWidth="1"/>
    <col min="1343" max="1343" width="19.28515625" customWidth="1"/>
    <col min="1344" max="1344" width="21.42578125" customWidth="1"/>
    <col min="1345" max="1345" width="18.42578125" customWidth="1"/>
    <col min="1346" max="1346" width="21.140625" customWidth="1"/>
    <col min="1347" max="1347" width="21" customWidth="1"/>
    <col min="1348" max="1348" width="20.42578125" customWidth="1"/>
    <col min="1349" max="1349" width="20.85546875" customWidth="1"/>
    <col min="1350" max="1350" width="24" customWidth="1"/>
    <col min="1351" max="1351" width="16.85546875" customWidth="1"/>
    <col min="1352" max="1352" width="17.140625" customWidth="1"/>
    <col min="1353" max="1353" width="19.140625" customWidth="1"/>
    <col min="1354" max="1354" width="16.85546875" customWidth="1"/>
    <col min="1355" max="1355" width="21.140625" customWidth="1"/>
    <col min="1356" max="1356" width="19.42578125" customWidth="1"/>
    <col min="1357" max="1357" width="18.28515625" customWidth="1"/>
    <col min="1358" max="1358" width="20" customWidth="1"/>
    <col min="1359" max="1359" width="18.5703125" customWidth="1"/>
    <col min="1360" max="1360" width="17.5703125" customWidth="1"/>
    <col min="1361" max="1361" width="19.28515625" customWidth="1"/>
    <col min="1362" max="1362" width="18.5703125" customWidth="1"/>
    <col min="1363" max="1363" width="18" customWidth="1"/>
    <col min="1364" max="1364" width="18.42578125" customWidth="1"/>
    <col min="1365" max="1365" width="18.5703125" customWidth="1"/>
    <col min="1366" max="1366" width="21.7109375" customWidth="1"/>
    <col min="1367" max="1367" width="18.140625" customWidth="1"/>
    <col min="1368" max="1368" width="18.28515625" customWidth="1"/>
    <col min="1369" max="1369" width="19" customWidth="1"/>
    <col min="1370" max="1370" width="18.7109375" customWidth="1"/>
    <col min="1371" max="1371" width="18.5703125" customWidth="1"/>
    <col min="1372" max="1372" width="17.28515625" customWidth="1"/>
    <col min="1373" max="1373" width="18.28515625" customWidth="1"/>
    <col min="1374" max="1374" width="17.140625" customWidth="1"/>
    <col min="1375" max="1377" width="18.5703125" customWidth="1"/>
    <col min="1378" max="1378" width="18.140625" customWidth="1"/>
    <col min="1379" max="1379" width="19.28515625" customWidth="1"/>
    <col min="1380" max="1380" width="18.140625" customWidth="1"/>
    <col min="1381" max="1381" width="16.85546875" customWidth="1"/>
    <col min="1382" max="1382" width="18.5703125" customWidth="1"/>
    <col min="1383" max="1383" width="18.28515625" customWidth="1"/>
    <col min="1384" max="1384" width="18.140625" customWidth="1"/>
    <col min="1385" max="1385" width="18.5703125" customWidth="1"/>
    <col min="1386" max="1386" width="18.28515625" customWidth="1"/>
    <col min="1387" max="1387" width="20.28515625" customWidth="1"/>
    <col min="1388" max="1388" width="18.5703125" customWidth="1"/>
    <col min="1389" max="1389" width="18.140625" customWidth="1"/>
    <col min="1390" max="1390" width="18" customWidth="1"/>
    <col min="1391" max="1391" width="19.5703125" customWidth="1"/>
    <col min="1392" max="1392" width="18.28515625" customWidth="1"/>
    <col min="1393" max="1393" width="19" customWidth="1"/>
    <col min="1394" max="1394" width="19.7109375" customWidth="1"/>
    <col min="1395" max="1395" width="18.5703125" customWidth="1"/>
    <col min="1396" max="1396" width="13.5703125" bestFit="1" customWidth="1"/>
  </cols>
  <sheetData>
    <row r="1" spans="1:1395" x14ac:dyDescent="0.2">
      <c r="VG1"/>
    </row>
    <row r="2" spans="1:1395" x14ac:dyDescent="0.2">
      <c r="B2" s="182" t="s">
        <v>78</v>
      </c>
      <c r="C2" s="184">
        <v>43100</v>
      </c>
      <c r="D2" s="184">
        <v>43101</v>
      </c>
      <c r="E2" s="184">
        <v>43109</v>
      </c>
      <c r="F2" s="184">
        <v>43110</v>
      </c>
      <c r="G2" s="184">
        <v>43111</v>
      </c>
      <c r="H2" s="184">
        <v>43112</v>
      </c>
      <c r="I2" s="184">
        <v>43115</v>
      </c>
      <c r="J2" s="184">
        <v>43116</v>
      </c>
      <c r="K2" s="184">
        <v>43117</v>
      </c>
      <c r="L2" s="184">
        <v>43118</v>
      </c>
      <c r="M2" s="184">
        <v>43119</v>
      </c>
      <c r="N2" s="184">
        <v>43122</v>
      </c>
      <c r="O2" s="184">
        <v>43123</v>
      </c>
      <c r="P2" s="184">
        <v>43124</v>
      </c>
      <c r="Q2" s="184">
        <v>43125</v>
      </c>
      <c r="R2" s="184">
        <v>43126</v>
      </c>
      <c r="S2" s="184">
        <v>43129</v>
      </c>
      <c r="T2" s="184">
        <v>43130</v>
      </c>
      <c r="U2" s="184">
        <v>43131</v>
      </c>
      <c r="V2" s="184">
        <v>43132</v>
      </c>
      <c r="W2" s="184">
        <v>43133</v>
      </c>
      <c r="X2" s="184">
        <v>43136</v>
      </c>
      <c r="Y2" s="184">
        <v>43137</v>
      </c>
      <c r="Z2" s="184">
        <v>43138</v>
      </c>
      <c r="AA2" s="184">
        <v>43139</v>
      </c>
      <c r="AB2" s="184">
        <v>43140</v>
      </c>
      <c r="AC2" s="184">
        <v>43143</v>
      </c>
      <c r="AD2" s="184">
        <v>43144</v>
      </c>
      <c r="AE2" s="184">
        <v>43145</v>
      </c>
      <c r="AF2" s="184">
        <v>43146</v>
      </c>
      <c r="AG2" s="184">
        <v>43147</v>
      </c>
      <c r="AH2" s="184">
        <v>43150</v>
      </c>
      <c r="AI2" s="184">
        <v>43151</v>
      </c>
      <c r="AJ2" s="184">
        <v>43152</v>
      </c>
      <c r="AK2" s="184">
        <v>43153</v>
      </c>
      <c r="AL2" s="184">
        <v>43157</v>
      </c>
      <c r="AM2" s="184">
        <v>43158</v>
      </c>
      <c r="AN2" s="184">
        <v>43159</v>
      </c>
      <c r="AO2" s="184">
        <v>43160</v>
      </c>
      <c r="AP2" s="184">
        <v>43161</v>
      </c>
      <c r="AQ2" s="184">
        <v>43164</v>
      </c>
      <c r="AR2" s="184">
        <v>43165</v>
      </c>
      <c r="AS2" s="184">
        <v>43166</v>
      </c>
      <c r="AT2" s="184">
        <v>43171</v>
      </c>
      <c r="AU2" s="184">
        <v>43172</v>
      </c>
      <c r="AV2" s="184">
        <v>43173</v>
      </c>
      <c r="AW2" s="184">
        <v>43174</v>
      </c>
      <c r="AX2" s="184">
        <v>43175</v>
      </c>
      <c r="AY2" s="184">
        <v>43178</v>
      </c>
      <c r="AZ2" s="184">
        <v>43179</v>
      </c>
      <c r="BA2" s="184">
        <v>43180</v>
      </c>
      <c r="BB2" s="184">
        <v>43181</v>
      </c>
      <c r="BC2" s="184">
        <v>43182</v>
      </c>
      <c r="BD2" s="184">
        <v>43185</v>
      </c>
      <c r="BE2" s="184">
        <v>43186</v>
      </c>
      <c r="BF2" s="184">
        <v>43187</v>
      </c>
      <c r="BG2" s="184">
        <v>43188</v>
      </c>
      <c r="BH2" s="184">
        <v>43189</v>
      </c>
      <c r="BI2" s="184">
        <v>43192</v>
      </c>
      <c r="BJ2" s="184">
        <v>43193</v>
      </c>
      <c r="BK2" s="184">
        <v>43194</v>
      </c>
      <c r="BL2" s="184">
        <v>43195</v>
      </c>
      <c r="BM2" s="184">
        <v>43196</v>
      </c>
      <c r="BN2" s="184">
        <v>43199</v>
      </c>
      <c r="BO2" s="184">
        <v>43200</v>
      </c>
      <c r="BP2" s="184">
        <v>43201</v>
      </c>
      <c r="BQ2" s="184">
        <v>43202</v>
      </c>
      <c r="BR2" s="184">
        <v>43203</v>
      </c>
      <c r="BS2" s="184">
        <v>43206</v>
      </c>
      <c r="BT2" s="184">
        <v>43207</v>
      </c>
      <c r="BU2" s="184">
        <v>43208</v>
      </c>
      <c r="BV2" s="184">
        <v>43209</v>
      </c>
      <c r="BW2" s="184">
        <v>43210</v>
      </c>
      <c r="BX2" s="184">
        <v>43213</v>
      </c>
      <c r="BY2" s="184">
        <v>43214</v>
      </c>
      <c r="BZ2" s="184">
        <v>43215</v>
      </c>
      <c r="CA2" s="184">
        <v>43216</v>
      </c>
      <c r="CB2" s="184">
        <v>43217</v>
      </c>
      <c r="CC2" s="184">
        <v>43218</v>
      </c>
      <c r="CD2" s="184">
        <v>43223</v>
      </c>
      <c r="CE2" s="184">
        <v>43224</v>
      </c>
      <c r="CF2" s="184">
        <v>43227</v>
      </c>
      <c r="CG2" s="184">
        <v>43228</v>
      </c>
      <c r="CH2" s="184">
        <v>43230</v>
      </c>
      <c r="CI2" s="184">
        <v>43231</v>
      </c>
      <c r="CJ2" s="184">
        <v>43234</v>
      </c>
      <c r="CK2" s="184">
        <v>43235</v>
      </c>
      <c r="CL2" s="184">
        <v>43236</v>
      </c>
      <c r="CM2" s="184">
        <v>43237</v>
      </c>
      <c r="CN2" s="184">
        <v>43238</v>
      </c>
      <c r="CO2" s="184">
        <v>43241</v>
      </c>
      <c r="CP2" s="184">
        <v>43242</v>
      </c>
      <c r="CQ2" s="184">
        <v>43243</v>
      </c>
      <c r="CR2" s="277">
        <v>43244</v>
      </c>
      <c r="CS2" s="277">
        <v>43245</v>
      </c>
      <c r="CT2" s="277">
        <v>43248</v>
      </c>
      <c r="CU2" s="277">
        <v>43249</v>
      </c>
      <c r="CV2" s="277">
        <v>43250</v>
      </c>
      <c r="CW2" s="277">
        <v>43251</v>
      </c>
      <c r="CX2" s="277">
        <v>43252</v>
      </c>
      <c r="CY2" s="277">
        <v>43255</v>
      </c>
      <c r="CZ2" s="277">
        <v>43256</v>
      </c>
      <c r="DA2" s="277">
        <v>43257</v>
      </c>
      <c r="DB2" s="277">
        <v>43258</v>
      </c>
      <c r="DC2" s="277">
        <v>43259</v>
      </c>
      <c r="DD2" s="277">
        <v>43260</v>
      </c>
      <c r="DE2" s="277">
        <v>43264</v>
      </c>
      <c r="DF2" s="277">
        <v>43265</v>
      </c>
      <c r="DG2" s="277">
        <v>43266</v>
      </c>
      <c r="DH2" s="277">
        <v>43269</v>
      </c>
      <c r="DI2" s="277">
        <v>43270</v>
      </c>
      <c r="DJ2" s="277">
        <v>43271</v>
      </c>
      <c r="DK2" s="277">
        <v>43272</v>
      </c>
      <c r="DL2" s="277">
        <v>43273</v>
      </c>
      <c r="DM2" s="277">
        <v>43276</v>
      </c>
      <c r="DN2" s="277">
        <v>43277</v>
      </c>
      <c r="DO2" s="277">
        <v>43278</v>
      </c>
      <c r="DP2" s="277">
        <v>43279</v>
      </c>
      <c r="DQ2" s="277">
        <v>43280</v>
      </c>
      <c r="DR2" s="277">
        <v>43283</v>
      </c>
      <c r="DS2" s="277">
        <v>43284</v>
      </c>
      <c r="DT2" s="277">
        <v>43285</v>
      </c>
      <c r="DU2" s="277">
        <v>43286</v>
      </c>
      <c r="DV2" s="277">
        <v>43287</v>
      </c>
      <c r="DW2" s="277">
        <v>43290</v>
      </c>
      <c r="DX2" s="277">
        <v>43291</v>
      </c>
      <c r="DY2" s="277">
        <v>43292</v>
      </c>
      <c r="DZ2" s="277">
        <v>43293</v>
      </c>
      <c r="EA2" s="277">
        <v>43294</v>
      </c>
      <c r="EB2" s="277">
        <v>43297</v>
      </c>
      <c r="EC2" s="277">
        <v>43298</v>
      </c>
      <c r="ED2" s="277">
        <v>43299</v>
      </c>
      <c r="EE2" s="277">
        <v>43300</v>
      </c>
      <c r="EF2" s="277">
        <v>43301</v>
      </c>
      <c r="EG2" s="277">
        <v>43304</v>
      </c>
      <c r="EH2" s="277">
        <v>43305</v>
      </c>
      <c r="EI2" s="277">
        <v>43306</v>
      </c>
      <c r="EJ2" s="277">
        <v>43307</v>
      </c>
      <c r="EK2" s="277">
        <v>43308</v>
      </c>
      <c r="EL2" s="277">
        <v>43311</v>
      </c>
      <c r="EM2" s="277">
        <v>43312</v>
      </c>
      <c r="EN2" s="277">
        <v>43313</v>
      </c>
      <c r="EO2" s="277">
        <v>43314</v>
      </c>
      <c r="EP2" s="277">
        <v>43315</v>
      </c>
      <c r="EQ2" s="277">
        <v>43318</v>
      </c>
      <c r="ER2" s="277">
        <v>43319</v>
      </c>
      <c r="ES2" s="277">
        <v>43320</v>
      </c>
      <c r="ET2" s="277">
        <v>43321</v>
      </c>
      <c r="EU2" s="277">
        <v>43322</v>
      </c>
      <c r="EV2" s="277">
        <v>43325</v>
      </c>
      <c r="EW2" s="277">
        <v>43326</v>
      </c>
      <c r="EX2" s="277">
        <v>43327</v>
      </c>
      <c r="EY2" s="277">
        <v>43328</v>
      </c>
      <c r="EZ2" s="277">
        <v>43329</v>
      </c>
      <c r="FA2" s="277">
        <v>43332</v>
      </c>
      <c r="FB2" s="277">
        <v>43333</v>
      </c>
      <c r="FC2" s="277">
        <v>43334</v>
      </c>
      <c r="FD2" s="277">
        <v>43335</v>
      </c>
      <c r="FE2" s="277">
        <v>43336</v>
      </c>
      <c r="FF2" s="277">
        <v>43339</v>
      </c>
      <c r="FG2" s="277">
        <v>43340</v>
      </c>
      <c r="FH2" s="277">
        <v>43341</v>
      </c>
      <c r="FI2" s="277">
        <v>43342</v>
      </c>
      <c r="FJ2" s="277">
        <v>43343</v>
      </c>
      <c r="FK2" s="277">
        <v>43346</v>
      </c>
      <c r="FL2" s="277">
        <v>43347</v>
      </c>
      <c r="FM2" s="277">
        <v>43348</v>
      </c>
      <c r="FN2" s="277">
        <v>43349</v>
      </c>
      <c r="FO2" s="277">
        <v>43353</v>
      </c>
      <c r="FP2" s="277">
        <v>43354</v>
      </c>
      <c r="FQ2" s="277">
        <v>43355</v>
      </c>
      <c r="FR2" s="277">
        <v>43356</v>
      </c>
      <c r="FS2" s="277">
        <v>43357</v>
      </c>
      <c r="FT2" s="277">
        <v>43360</v>
      </c>
      <c r="FU2" s="277">
        <v>43361</v>
      </c>
      <c r="FV2" s="277">
        <v>43362</v>
      </c>
      <c r="FW2" s="277">
        <v>43363</v>
      </c>
      <c r="FX2" s="277">
        <v>43364</v>
      </c>
      <c r="FY2" s="277">
        <v>43367</v>
      </c>
      <c r="FZ2" s="277">
        <v>43368</v>
      </c>
      <c r="GA2" s="277">
        <v>43369</v>
      </c>
      <c r="GB2" s="277">
        <v>43370</v>
      </c>
      <c r="GC2" s="277">
        <v>43371</v>
      </c>
      <c r="GD2" s="277">
        <v>43374</v>
      </c>
      <c r="GE2" s="277">
        <v>43375</v>
      </c>
      <c r="GF2" s="277">
        <v>43376</v>
      </c>
      <c r="GG2" s="277">
        <v>43377</v>
      </c>
      <c r="GH2" s="277">
        <v>43378</v>
      </c>
      <c r="GI2" s="277">
        <v>43381</v>
      </c>
      <c r="GJ2" s="277">
        <v>43382</v>
      </c>
      <c r="GK2" s="277">
        <v>43383</v>
      </c>
      <c r="GL2" s="277">
        <v>43384</v>
      </c>
      <c r="GM2" s="277">
        <v>43385</v>
      </c>
      <c r="GN2" s="277">
        <v>43388</v>
      </c>
      <c r="GO2" s="277">
        <v>43389</v>
      </c>
      <c r="GP2" s="277">
        <v>43390</v>
      </c>
      <c r="GQ2" s="277">
        <v>43391</v>
      </c>
      <c r="GR2" s="277">
        <v>43392</v>
      </c>
      <c r="GS2" s="277">
        <v>43395</v>
      </c>
      <c r="GT2" s="277">
        <v>43396</v>
      </c>
      <c r="GU2" s="277">
        <v>43397</v>
      </c>
      <c r="GV2" s="277">
        <v>43398</v>
      </c>
      <c r="GW2" s="277">
        <v>43399</v>
      </c>
      <c r="GX2" s="277">
        <v>43402</v>
      </c>
      <c r="GY2" s="277">
        <v>43403</v>
      </c>
      <c r="GZ2" s="277">
        <v>43404</v>
      </c>
      <c r="HA2" s="277">
        <v>43405</v>
      </c>
      <c r="HB2" s="277">
        <v>43406</v>
      </c>
      <c r="HC2" s="277">
        <v>43410</v>
      </c>
      <c r="HD2" s="277">
        <v>43411</v>
      </c>
      <c r="HE2" s="277">
        <v>43412</v>
      </c>
      <c r="HF2" s="277">
        <v>43413</v>
      </c>
      <c r="HG2" s="277">
        <v>43416</v>
      </c>
      <c r="HH2" s="277">
        <v>43417</v>
      </c>
      <c r="HI2" s="277">
        <v>43418</v>
      </c>
      <c r="HJ2" s="277">
        <v>43419</v>
      </c>
      <c r="HK2" s="277">
        <v>43420</v>
      </c>
      <c r="HL2" s="277">
        <v>43423</v>
      </c>
      <c r="HM2" s="277">
        <v>43424</v>
      </c>
      <c r="HN2" s="277">
        <v>43425</v>
      </c>
      <c r="HO2" s="277">
        <v>43426</v>
      </c>
      <c r="HP2" s="277">
        <v>43427</v>
      </c>
      <c r="HQ2" s="277">
        <v>43430</v>
      </c>
      <c r="HR2" s="277">
        <v>43431</v>
      </c>
      <c r="HS2" s="277">
        <v>43432</v>
      </c>
      <c r="HT2" s="277">
        <v>43433</v>
      </c>
      <c r="HU2" s="277">
        <v>43434</v>
      </c>
      <c r="HV2" s="277">
        <v>43437</v>
      </c>
      <c r="HW2" s="277">
        <v>43438</v>
      </c>
      <c r="HX2" s="277">
        <v>43439</v>
      </c>
      <c r="HY2" s="277">
        <v>43440</v>
      </c>
      <c r="HZ2" s="277">
        <v>43441</v>
      </c>
      <c r="IA2" s="277">
        <v>43444</v>
      </c>
      <c r="IB2" s="277">
        <v>43445</v>
      </c>
      <c r="IC2" s="277">
        <v>43446</v>
      </c>
      <c r="ID2" s="277">
        <v>43447</v>
      </c>
      <c r="IE2" s="277">
        <v>43448</v>
      </c>
      <c r="IF2" s="277">
        <v>43451</v>
      </c>
      <c r="IG2" s="277">
        <v>43452</v>
      </c>
      <c r="IH2" s="277">
        <v>43453</v>
      </c>
      <c r="II2" s="277">
        <v>43454</v>
      </c>
      <c r="IJ2" s="277">
        <v>43455</v>
      </c>
      <c r="IK2" s="277">
        <v>43458</v>
      </c>
      <c r="IL2" s="277">
        <v>43459</v>
      </c>
      <c r="IM2" s="277">
        <v>43460</v>
      </c>
      <c r="IN2" s="277">
        <v>43461</v>
      </c>
      <c r="IO2" s="277">
        <v>43462</v>
      </c>
      <c r="IP2" s="277">
        <v>43466</v>
      </c>
      <c r="IQ2" s="277">
        <v>43474</v>
      </c>
      <c r="IR2" s="277">
        <v>43475</v>
      </c>
      <c r="IS2" s="277">
        <v>43476</v>
      </c>
      <c r="IT2" s="277">
        <v>43479</v>
      </c>
      <c r="IU2" s="277">
        <v>43480</v>
      </c>
      <c r="IV2" s="277">
        <v>43481</v>
      </c>
      <c r="IW2" s="277">
        <v>43482</v>
      </c>
      <c r="IX2" s="277">
        <v>43483</v>
      </c>
      <c r="IY2" s="277">
        <v>43486</v>
      </c>
      <c r="IZ2" s="277">
        <v>43487</v>
      </c>
      <c r="JA2" s="277">
        <v>43488</v>
      </c>
      <c r="JB2" s="277">
        <v>43489</v>
      </c>
      <c r="JC2" s="277">
        <v>43490</v>
      </c>
      <c r="JD2" s="277">
        <v>43493</v>
      </c>
      <c r="JE2" s="277">
        <v>43494</v>
      </c>
      <c r="JF2" s="277">
        <v>43495</v>
      </c>
      <c r="JG2" s="277">
        <v>43496</v>
      </c>
      <c r="JH2" s="277">
        <v>43497</v>
      </c>
      <c r="JI2" s="277">
        <v>43500</v>
      </c>
      <c r="JJ2" s="277">
        <v>43501</v>
      </c>
      <c r="JK2" s="277">
        <v>43502</v>
      </c>
      <c r="JL2" s="277">
        <v>43503</v>
      </c>
      <c r="JM2" s="277">
        <v>43504</v>
      </c>
      <c r="JN2" s="277">
        <v>43507</v>
      </c>
      <c r="JO2" s="277">
        <v>43508</v>
      </c>
      <c r="JP2" s="277">
        <v>43509</v>
      </c>
      <c r="JQ2" s="277">
        <v>43510</v>
      </c>
      <c r="JR2" s="277">
        <v>43511</v>
      </c>
      <c r="JS2" s="277">
        <v>43514</v>
      </c>
      <c r="JT2" s="277">
        <v>43515</v>
      </c>
      <c r="JU2" s="277">
        <v>43516</v>
      </c>
      <c r="JV2" s="277">
        <v>43517</v>
      </c>
      <c r="JW2" s="277">
        <v>43518</v>
      </c>
      <c r="JX2" s="277">
        <v>43521</v>
      </c>
      <c r="JY2" s="277">
        <v>43522</v>
      </c>
      <c r="JZ2" s="277">
        <v>43523</v>
      </c>
      <c r="KA2" s="277">
        <v>43524</v>
      </c>
      <c r="KB2" s="277">
        <v>43525</v>
      </c>
      <c r="KC2" s="277">
        <v>43528</v>
      </c>
      <c r="KD2" s="277">
        <v>43529</v>
      </c>
      <c r="KE2" s="277">
        <v>43530</v>
      </c>
      <c r="KF2" s="277">
        <v>43531</v>
      </c>
      <c r="KG2" s="277">
        <v>43535</v>
      </c>
      <c r="KH2" s="277">
        <v>43536</v>
      </c>
      <c r="KI2" s="277">
        <v>43537</v>
      </c>
      <c r="KJ2" s="277">
        <v>43538</v>
      </c>
      <c r="KK2" s="277">
        <v>43539</v>
      </c>
      <c r="KL2" s="277">
        <v>43542</v>
      </c>
      <c r="KM2" s="277">
        <v>43543</v>
      </c>
      <c r="KN2" s="277">
        <v>43544</v>
      </c>
      <c r="KO2" s="277">
        <v>43545</v>
      </c>
      <c r="KP2" s="277">
        <v>43546</v>
      </c>
      <c r="KQ2" s="277">
        <v>43549</v>
      </c>
      <c r="KR2" s="277">
        <v>43550</v>
      </c>
      <c r="KS2" s="277">
        <v>43551</v>
      </c>
      <c r="KT2" s="277">
        <v>43552</v>
      </c>
      <c r="KU2" s="277">
        <v>43553</v>
      </c>
      <c r="KV2" s="277">
        <v>43556</v>
      </c>
      <c r="KW2" s="277">
        <v>43557</v>
      </c>
      <c r="KX2" s="277">
        <v>43558</v>
      </c>
      <c r="KY2" s="277">
        <v>43559</v>
      </c>
      <c r="KZ2" s="277">
        <v>43560</v>
      </c>
      <c r="LA2" s="277">
        <v>43563</v>
      </c>
      <c r="LB2" s="277">
        <v>43564</v>
      </c>
      <c r="LC2" s="277">
        <v>43565</v>
      </c>
      <c r="LD2" s="277">
        <v>43566</v>
      </c>
      <c r="LE2" s="277">
        <v>43567</v>
      </c>
      <c r="LF2" s="277">
        <v>43570</v>
      </c>
      <c r="LG2" s="277">
        <v>43571</v>
      </c>
      <c r="LH2" s="277">
        <v>43572</v>
      </c>
      <c r="LI2" s="277">
        <v>43573</v>
      </c>
      <c r="LJ2" s="277">
        <v>43574</v>
      </c>
      <c r="LK2" s="277">
        <v>43577</v>
      </c>
      <c r="LL2" s="277">
        <v>43578</v>
      </c>
      <c r="LM2" s="277">
        <v>43579</v>
      </c>
      <c r="LN2" s="277">
        <v>43580</v>
      </c>
      <c r="LO2" s="277">
        <v>43581</v>
      </c>
      <c r="LP2" s="277">
        <v>43584</v>
      </c>
      <c r="LQ2" s="277">
        <v>43585</v>
      </c>
      <c r="LR2" s="277">
        <v>43591</v>
      </c>
      <c r="LS2" s="277">
        <v>43592</v>
      </c>
      <c r="LT2" s="277">
        <v>43593</v>
      </c>
      <c r="LU2" s="277">
        <v>43598</v>
      </c>
      <c r="LV2" s="277">
        <v>43599</v>
      </c>
      <c r="LW2" s="277">
        <v>43600</v>
      </c>
      <c r="LX2" s="277">
        <v>43601</v>
      </c>
      <c r="LY2" s="277">
        <v>43602</v>
      </c>
      <c r="LZ2" s="277">
        <v>43605</v>
      </c>
      <c r="MA2" s="277">
        <v>43606</v>
      </c>
      <c r="MB2" s="277">
        <v>43607</v>
      </c>
      <c r="MC2" s="277">
        <v>43608</v>
      </c>
      <c r="MD2" s="277">
        <v>43609</v>
      </c>
      <c r="ME2" s="277">
        <v>43612</v>
      </c>
      <c r="MF2" s="277">
        <v>43613</v>
      </c>
      <c r="MG2" s="277">
        <v>43614</v>
      </c>
      <c r="MH2" s="277">
        <v>43615</v>
      </c>
      <c r="MI2" s="277">
        <v>43616</v>
      </c>
      <c r="MJ2" s="277">
        <v>43619</v>
      </c>
      <c r="MK2" s="277">
        <v>43620</v>
      </c>
      <c r="ML2" s="277">
        <v>43621</v>
      </c>
      <c r="MM2" s="277">
        <v>43622</v>
      </c>
      <c r="MN2" s="277">
        <v>43623</v>
      </c>
      <c r="MO2" s="277">
        <v>43626</v>
      </c>
      <c r="MP2" s="277">
        <v>43627</v>
      </c>
      <c r="MQ2" s="277">
        <v>43629</v>
      </c>
      <c r="MR2" s="277">
        <v>43630</v>
      </c>
      <c r="MS2" s="277">
        <v>43633</v>
      </c>
      <c r="MT2" s="277">
        <v>43634</v>
      </c>
      <c r="MU2" s="277">
        <v>43635</v>
      </c>
      <c r="MV2" s="277">
        <v>43636</v>
      </c>
      <c r="MW2" s="277">
        <v>43637</v>
      </c>
      <c r="MX2" s="277">
        <v>43640</v>
      </c>
      <c r="MY2" s="277">
        <v>43641</v>
      </c>
      <c r="MZ2" s="277">
        <v>43642</v>
      </c>
      <c r="NA2" s="277">
        <v>43643</v>
      </c>
      <c r="NB2" s="277">
        <v>43644</v>
      </c>
      <c r="NC2" s="277">
        <v>43647</v>
      </c>
      <c r="ND2" s="277">
        <v>43648</v>
      </c>
      <c r="NE2" s="277">
        <v>43649</v>
      </c>
      <c r="NF2" s="277">
        <v>43650</v>
      </c>
      <c r="NG2" s="277">
        <v>43651</v>
      </c>
      <c r="NH2" s="277">
        <v>43654</v>
      </c>
      <c r="NI2" s="277">
        <v>43655</v>
      </c>
      <c r="NJ2" s="277">
        <v>43656</v>
      </c>
      <c r="NK2" s="277">
        <v>43657</v>
      </c>
      <c r="NL2" s="277">
        <v>43658</v>
      </c>
      <c r="NM2" s="277">
        <v>43661</v>
      </c>
      <c r="NN2" s="277">
        <v>43662</v>
      </c>
      <c r="NO2" s="277">
        <v>43663</v>
      </c>
      <c r="NP2" s="277">
        <v>43664</v>
      </c>
      <c r="NQ2" s="277">
        <v>43665</v>
      </c>
      <c r="NR2" s="277">
        <v>43668</v>
      </c>
      <c r="NS2" s="277">
        <v>43669</v>
      </c>
      <c r="NT2" s="277">
        <v>43670</v>
      </c>
      <c r="NU2" s="277">
        <v>43671</v>
      </c>
      <c r="NV2" s="277">
        <v>43672</v>
      </c>
      <c r="NW2" s="277">
        <v>43675</v>
      </c>
      <c r="NX2" s="277">
        <v>43676</v>
      </c>
      <c r="NY2" s="277">
        <v>43677</v>
      </c>
      <c r="NZ2" s="277">
        <v>43678</v>
      </c>
      <c r="OA2" s="277">
        <v>43679</v>
      </c>
      <c r="OB2" s="277">
        <v>43682</v>
      </c>
      <c r="OC2" s="277">
        <v>43683</v>
      </c>
      <c r="OD2" s="277">
        <v>43684</v>
      </c>
      <c r="OE2" s="277">
        <v>43685</v>
      </c>
      <c r="OF2" s="277">
        <v>43686</v>
      </c>
      <c r="OG2" s="277">
        <v>43689</v>
      </c>
      <c r="OH2" s="277">
        <v>43690</v>
      </c>
      <c r="OI2" s="277">
        <v>43691</v>
      </c>
      <c r="OJ2" s="277">
        <v>43692</v>
      </c>
      <c r="OK2" s="277">
        <v>43693</v>
      </c>
      <c r="OL2" s="277">
        <v>43696</v>
      </c>
      <c r="OM2" s="277">
        <v>43697</v>
      </c>
      <c r="ON2" s="277">
        <v>43698</v>
      </c>
      <c r="OO2" s="277">
        <v>43699</v>
      </c>
      <c r="OP2" s="277">
        <v>43700</v>
      </c>
      <c r="OQ2" s="277">
        <v>43703</v>
      </c>
      <c r="OR2" s="277">
        <v>43704</v>
      </c>
      <c r="OS2" s="277">
        <v>43705</v>
      </c>
      <c r="OT2" s="277">
        <v>43706</v>
      </c>
      <c r="OU2" s="277">
        <v>43707</v>
      </c>
      <c r="OV2" s="277">
        <v>43710</v>
      </c>
      <c r="OW2" s="277">
        <v>43711</v>
      </c>
      <c r="OX2" s="277">
        <v>43712</v>
      </c>
      <c r="OY2" s="277">
        <v>43717</v>
      </c>
      <c r="OZ2" s="277">
        <v>43724</v>
      </c>
      <c r="PA2" s="277">
        <v>43725</v>
      </c>
      <c r="PB2" s="277">
        <v>43731</v>
      </c>
      <c r="PC2" s="277">
        <v>43738</v>
      </c>
      <c r="PD2" s="277">
        <v>43745</v>
      </c>
      <c r="PE2" s="277">
        <v>43752</v>
      </c>
      <c r="PF2" s="277">
        <v>43759</v>
      </c>
      <c r="PG2" s="277">
        <v>43766</v>
      </c>
      <c r="PH2" s="277">
        <v>43774</v>
      </c>
      <c r="PI2" s="277">
        <v>43780</v>
      </c>
      <c r="PJ2" s="277">
        <v>43787</v>
      </c>
      <c r="PK2" s="277">
        <v>43794</v>
      </c>
      <c r="PL2" s="277">
        <v>43801</v>
      </c>
      <c r="PM2" s="277">
        <v>43808</v>
      </c>
      <c r="PN2" s="277">
        <v>43815</v>
      </c>
      <c r="PO2" s="277">
        <v>43822</v>
      </c>
      <c r="PP2" s="277">
        <v>43829</v>
      </c>
      <c r="PQ2" s="277">
        <v>43843</v>
      </c>
      <c r="PR2" s="277">
        <v>43850</v>
      </c>
      <c r="PS2" s="277">
        <v>43857</v>
      </c>
      <c r="PT2" s="277">
        <v>43864</v>
      </c>
      <c r="PU2" s="277">
        <v>43871</v>
      </c>
      <c r="PV2" s="277">
        <v>43878</v>
      </c>
      <c r="PW2" s="277">
        <v>43886</v>
      </c>
      <c r="PX2" s="277">
        <v>43892</v>
      </c>
      <c r="PY2" s="277">
        <v>43900</v>
      </c>
      <c r="PZ2" s="277">
        <v>43906</v>
      </c>
      <c r="QA2" s="277">
        <v>43913</v>
      </c>
      <c r="QB2" s="277">
        <v>43920</v>
      </c>
      <c r="QC2" s="277">
        <v>43927</v>
      </c>
      <c r="QD2" s="277">
        <v>43934</v>
      </c>
      <c r="QE2" s="277">
        <v>43941</v>
      </c>
      <c r="QF2" s="277">
        <v>43948</v>
      </c>
      <c r="QG2" s="277">
        <v>43955</v>
      </c>
      <c r="QH2" s="277">
        <v>43963</v>
      </c>
      <c r="QI2" s="277">
        <v>43969</v>
      </c>
      <c r="QJ2" s="277">
        <v>43976</v>
      </c>
      <c r="QK2" s="277">
        <v>43983</v>
      </c>
      <c r="QL2" s="277">
        <v>43990</v>
      </c>
      <c r="QM2" s="277">
        <v>43997</v>
      </c>
      <c r="QN2" s="277">
        <v>44004</v>
      </c>
      <c r="QO2" s="277">
        <v>44011</v>
      </c>
      <c r="QP2" s="277">
        <v>44018</v>
      </c>
      <c r="QQ2" s="277">
        <v>44025</v>
      </c>
      <c r="QR2" s="277">
        <v>44032</v>
      </c>
      <c r="QS2" s="277">
        <v>44039</v>
      </c>
      <c r="QT2" s="277">
        <v>44046</v>
      </c>
      <c r="QU2" s="277">
        <v>44053</v>
      </c>
      <c r="QV2" s="277">
        <v>44060</v>
      </c>
      <c r="QW2" s="277">
        <v>44067</v>
      </c>
      <c r="QX2" s="277">
        <v>44074</v>
      </c>
      <c r="QY2" s="277">
        <v>44081</v>
      </c>
      <c r="QZ2" s="277">
        <v>44088</v>
      </c>
      <c r="RA2" s="277">
        <v>44090</v>
      </c>
      <c r="RB2" s="277">
        <v>44097</v>
      </c>
      <c r="RC2" s="277">
        <v>44104</v>
      </c>
      <c r="RD2" s="277">
        <v>44111</v>
      </c>
      <c r="RE2" s="277">
        <v>44118</v>
      </c>
      <c r="RF2" s="277">
        <v>44125</v>
      </c>
      <c r="RG2" s="309">
        <v>44132</v>
      </c>
      <c r="RH2" s="309">
        <v>44138</v>
      </c>
      <c r="RI2" s="309">
        <v>44146</v>
      </c>
      <c r="RJ2" s="309">
        <v>44153</v>
      </c>
      <c r="RK2" s="309">
        <v>44160</v>
      </c>
      <c r="RL2" s="277">
        <v>44167</v>
      </c>
      <c r="RM2" s="277">
        <v>44174</v>
      </c>
      <c r="RN2" s="277">
        <v>44181</v>
      </c>
      <c r="RO2" s="277">
        <v>44188</v>
      </c>
      <c r="RP2" s="277">
        <v>44195</v>
      </c>
      <c r="RQ2" s="277">
        <v>44202</v>
      </c>
      <c r="RR2" s="277">
        <v>44209</v>
      </c>
      <c r="RS2" s="277">
        <v>44216</v>
      </c>
      <c r="RT2" s="277">
        <v>44223</v>
      </c>
      <c r="RU2" s="277">
        <v>44230</v>
      </c>
      <c r="RV2" s="277">
        <v>44237</v>
      </c>
      <c r="RW2" s="277">
        <v>44244</v>
      </c>
      <c r="RX2" s="277">
        <v>44251</v>
      </c>
      <c r="RY2" s="277">
        <v>44258</v>
      </c>
      <c r="RZ2" s="277">
        <v>44265</v>
      </c>
      <c r="SA2" s="277">
        <v>44272</v>
      </c>
      <c r="SB2" s="277">
        <v>44279</v>
      </c>
      <c r="SC2" s="277">
        <v>44286</v>
      </c>
      <c r="SD2" s="277">
        <v>44293</v>
      </c>
      <c r="SE2" s="277">
        <v>44300</v>
      </c>
      <c r="SF2" s="277">
        <v>44307</v>
      </c>
      <c r="SG2" s="277">
        <v>44314</v>
      </c>
      <c r="SH2" s="277">
        <v>44328</v>
      </c>
      <c r="SI2" s="277">
        <v>44335</v>
      </c>
      <c r="SJ2" s="277">
        <v>44342</v>
      </c>
      <c r="SK2" s="277">
        <v>44349</v>
      </c>
      <c r="SL2" s="277">
        <v>44356</v>
      </c>
      <c r="SM2" s="277">
        <v>44363</v>
      </c>
      <c r="SN2" s="277">
        <v>44370</v>
      </c>
      <c r="SO2" s="277">
        <v>44377</v>
      </c>
      <c r="SP2" s="277">
        <v>44384</v>
      </c>
      <c r="SQ2" s="277">
        <v>44391</v>
      </c>
      <c r="SR2" s="277">
        <v>44398</v>
      </c>
      <c r="SS2" s="277">
        <v>44405</v>
      </c>
      <c r="ST2" s="277">
        <v>44412</v>
      </c>
      <c r="SU2" s="277">
        <v>44419</v>
      </c>
      <c r="SV2" s="277">
        <v>44426</v>
      </c>
      <c r="SW2" s="277">
        <v>44433</v>
      </c>
      <c r="SX2" s="277">
        <v>44440</v>
      </c>
      <c r="SY2" s="277">
        <v>44447</v>
      </c>
      <c r="SZ2" s="277">
        <v>44454</v>
      </c>
      <c r="TA2" s="277">
        <v>44461</v>
      </c>
      <c r="TB2" s="277">
        <v>44468</v>
      </c>
      <c r="TC2" s="277">
        <v>44475</v>
      </c>
      <c r="TD2" s="277">
        <v>44482</v>
      </c>
      <c r="TE2" s="277">
        <v>44489</v>
      </c>
      <c r="TF2" s="277">
        <v>44496</v>
      </c>
      <c r="TG2" s="277">
        <v>44503</v>
      </c>
      <c r="TH2" s="277">
        <v>44510</v>
      </c>
      <c r="TI2" s="277">
        <v>44517</v>
      </c>
      <c r="TJ2" s="277">
        <v>44524</v>
      </c>
      <c r="TK2" s="277">
        <v>44531</v>
      </c>
      <c r="TL2" s="277">
        <v>44538</v>
      </c>
      <c r="TM2" s="277">
        <v>44545</v>
      </c>
      <c r="TN2" s="277">
        <v>44552</v>
      </c>
      <c r="TO2" s="277">
        <v>44559</v>
      </c>
      <c r="TP2" s="277">
        <v>44573</v>
      </c>
      <c r="TQ2" s="277">
        <v>44580</v>
      </c>
      <c r="TR2" s="277">
        <v>44586</v>
      </c>
      <c r="TS2" s="277">
        <v>44594</v>
      </c>
      <c r="TT2" s="277">
        <v>44601</v>
      </c>
      <c r="TU2" s="277">
        <v>44608</v>
      </c>
      <c r="TV2" s="277">
        <v>44615</v>
      </c>
      <c r="TW2" s="277">
        <v>44621</v>
      </c>
      <c r="TX2" s="277">
        <v>44622</v>
      </c>
      <c r="TY2" s="277">
        <v>44623</v>
      </c>
      <c r="TZ2" s="277">
        <v>44624</v>
      </c>
      <c r="UA2" s="277">
        <v>44625</v>
      </c>
      <c r="UB2" s="277">
        <v>44629</v>
      </c>
      <c r="UC2" s="277">
        <v>44630</v>
      </c>
      <c r="UD2" s="277">
        <v>44631</v>
      </c>
      <c r="UE2" s="277">
        <v>44634</v>
      </c>
      <c r="UF2" s="277">
        <v>44635</v>
      </c>
      <c r="UG2" s="277">
        <v>44636</v>
      </c>
      <c r="UH2" s="277">
        <v>44637</v>
      </c>
      <c r="UI2" s="277">
        <v>44638</v>
      </c>
      <c r="UJ2" s="277">
        <v>44641</v>
      </c>
      <c r="UK2" s="277">
        <v>44642</v>
      </c>
      <c r="UL2" s="277">
        <v>44643</v>
      </c>
      <c r="UM2" s="277">
        <v>44644</v>
      </c>
      <c r="UN2" s="277">
        <v>44645</v>
      </c>
      <c r="UO2" s="277">
        <v>44648</v>
      </c>
      <c r="UP2" s="277">
        <v>44649</v>
      </c>
      <c r="UQ2" s="277">
        <v>44650</v>
      </c>
      <c r="UR2" s="277">
        <v>44651</v>
      </c>
      <c r="US2" s="277">
        <v>44652</v>
      </c>
      <c r="UT2" s="277">
        <v>44655</v>
      </c>
      <c r="UU2" s="277">
        <v>44656</v>
      </c>
      <c r="UV2" s="277">
        <v>44657</v>
      </c>
      <c r="UW2" s="277">
        <v>44658</v>
      </c>
      <c r="UX2" s="277">
        <v>44659</v>
      </c>
      <c r="UY2" s="277">
        <v>44662</v>
      </c>
      <c r="UZ2" s="277">
        <v>44663</v>
      </c>
      <c r="VA2" s="277">
        <v>44664</v>
      </c>
      <c r="VB2" s="277">
        <v>44665</v>
      </c>
      <c r="VC2" s="277">
        <v>44666</v>
      </c>
      <c r="VD2" s="277">
        <v>44669</v>
      </c>
      <c r="VE2" s="277">
        <v>44670</v>
      </c>
      <c r="VF2" s="277">
        <v>44671</v>
      </c>
      <c r="VG2" s="277">
        <v>44672</v>
      </c>
      <c r="VH2" s="277">
        <v>44673</v>
      </c>
      <c r="VI2" s="277">
        <v>44676</v>
      </c>
      <c r="VJ2" s="277">
        <v>44677</v>
      </c>
      <c r="VK2" s="277">
        <v>44678</v>
      </c>
      <c r="VL2" s="277">
        <v>44679</v>
      </c>
      <c r="VM2" s="277">
        <v>44680</v>
      </c>
      <c r="VN2" s="277">
        <v>44685</v>
      </c>
      <c r="VO2" s="277">
        <v>44686</v>
      </c>
      <c r="VP2" s="277">
        <v>44687</v>
      </c>
      <c r="VQ2" s="277">
        <v>44692</v>
      </c>
      <c r="VR2" s="277">
        <v>44693</v>
      </c>
      <c r="VS2" s="277">
        <v>44694</v>
      </c>
      <c r="VT2" s="277">
        <v>44697</v>
      </c>
      <c r="VU2" s="277">
        <v>44698</v>
      </c>
      <c r="VV2" s="277">
        <v>44699</v>
      </c>
      <c r="VW2" s="277">
        <v>44700</v>
      </c>
      <c r="VX2" s="277">
        <v>44701</v>
      </c>
      <c r="VY2" s="277">
        <v>44704</v>
      </c>
      <c r="VZ2" s="277">
        <v>44705</v>
      </c>
      <c r="WA2" s="277">
        <v>44706</v>
      </c>
      <c r="WB2" s="277">
        <v>44707</v>
      </c>
      <c r="WC2" s="277">
        <v>44708</v>
      </c>
      <c r="WD2" s="277">
        <v>44711</v>
      </c>
      <c r="WE2" s="277">
        <v>44712</v>
      </c>
      <c r="WF2" s="277">
        <v>44713</v>
      </c>
      <c r="WG2" s="277">
        <v>44714</v>
      </c>
      <c r="WH2" s="277">
        <v>44715</v>
      </c>
      <c r="WI2" s="277">
        <v>44718</v>
      </c>
      <c r="WJ2" s="277">
        <v>44719</v>
      </c>
      <c r="WK2" s="277">
        <v>44720</v>
      </c>
      <c r="WL2" s="277">
        <v>44721</v>
      </c>
      <c r="WM2" s="277">
        <v>44722</v>
      </c>
      <c r="WN2" s="277">
        <v>44726</v>
      </c>
      <c r="WO2" s="277">
        <v>44727</v>
      </c>
      <c r="WP2" s="277">
        <v>44728</v>
      </c>
      <c r="WQ2" s="277">
        <v>44729</v>
      </c>
      <c r="WR2" s="277">
        <v>44732</v>
      </c>
      <c r="WS2" s="277">
        <v>44733</v>
      </c>
      <c r="WT2" s="277">
        <v>44734</v>
      </c>
      <c r="WU2" s="277">
        <v>44735</v>
      </c>
      <c r="WV2" s="277">
        <v>44736</v>
      </c>
      <c r="WW2" s="277">
        <v>44739</v>
      </c>
      <c r="WX2" s="277">
        <v>44740</v>
      </c>
      <c r="WY2" s="277">
        <v>44741</v>
      </c>
      <c r="WZ2" s="277">
        <v>44742</v>
      </c>
      <c r="XA2" s="277">
        <v>44743</v>
      </c>
      <c r="XB2" s="277">
        <v>44746</v>
      </c>
      <c r="XC2" s="277">
        <v>44747</v>
      </c>
      <c r="XD2" s="277">
        <v>44748</v>
      </c>
      <c r="XE2" s="277">
        <v>44749</v>
      </c>
      <c r="XF2" s="277">
        <v>44750</v>
      </c>
      <c r="XG2" s="277">
        <v>44753</v>
      </c>
      <c r="XH2" s="277">
        <v>44754</v>
      </c>
      <c r="XI2" s="277">
        <v>44755</v>
      </c>
      <c r="XJ2" s="277">
        <v>44756</v>
      </c>
      <c r="XK2" s="277">
        <v>44760</v>
      </c>
      <c r="XL2" s="277">
        <v>44761</v>
      </c>
      <c r="XM2" s="277">
        <v>44762</v>
      </c>
      <c r="XN2" s="277">
        <v>44763</v>
      </c>
      <c r="XO2" s="277">
        <v>44764</v>
      </c>
      <c r="XP2" s="277">
        <v>44767</v>
      </c>
      <c r="XQ2" s="277">
        <v>44768</v>
      </c>
      <c r="XR2" s="277">
        <v>44769</v>
      </c>
      <c r="XS2" s="277">
        <v>44770</v>
      </c>
      <c r="XT2" s="277">
        <v>44771</v>
      </c>
      <c r="XU2" s="277">
        <v>44774</v>
      </c>
      <c r="XV2" s="277">
        <v>44775</v>
      </c>
      <c r="XW2" s="277">
        <v>44776</v>
      </c>
      <c r="XX2" s="277">
        <v>44777</v>
      </c>
      <c r="XY2" s="277">
        <v>44778</v>
      </c>
      <c r="XZ2" s="277">
        <v>44781</v>
      </c>
      <c r="YA2" s="277">
        <v>44782</v>
      </c>
      <c r="YB2" s="277">
        <v>44783</v>
      </c>
      <c r="YC2" s="277">
        <v>44784</v>
      </c>
      <c r="YD2" s="277">
        <v>44785</v>
      </c>
      <c r="YE2" s="277">
        <v>44788</v>
      </c>
      <c r="YF2" s="277">
        <v>44789</v>
      </c>
      <c r="YG2" s="277">
        <v>44790</v>
      </c>
      <c r="YH2" s="277">
        <v>44791</v>
      </c>
      <c r="YI2" s="277">
        <v>44792</v>
      </c>
      <c r="YJ2" s="277">
        <v>44795</v>
      </c>
      <c r="YK2" s="277">
        <v>44796</v>
      </c>
      <c r="YL2" s="277">
        <v>44797</v>
      </c>
      <c r="YM2" s="277">
        <v>44798</v>
      </c>
      <c r="YN2" s="277">
        <v>44799</v>
      </c>
      <c r="YO2" s="277">
        <v>44802</v>
      </c>
      <c r="YP2" s="277">
        <v>44803</v>
      </c>
      <c r="YQ2" s="277">
        <v>44804</v>
      </c>
      <c r="YR2" s="277">
        <v>44805</v>
      </c>
      <c r="YS2" s="277">
        <v>44806</v>
      </c>
      <c r="YT2" s="277">
        <v>44809</v>
      </c>
      <c r="YU2" s="277">
        <v>44810</v>
      </c>
      <c r="YV2" s="277">
        <v>44811</v>
      </c>
      <c r="YW2" s="277">
        <v>44812</v>
      </c>
      <c r="YX2" s="277">
        <v>44813</v>
      </c>
      <c r="YY2" s="277">
        <v>44816</v>
      </c>
      <c r="YZ2" s="277">
        <v>44817</v>
      </c>
      <c r="ZA2" s="277">
        <v>44818</v>
      </c>
      <c r="ZB2" s="277">
        <v>44819</v>
      </c>
      <c r="ZC2" s="277">
        <v>44820</v>
      </c>
      <c r="ZD2" s="277">
        <v>44823</v>
      </c>
      <c r="ZE2" s="277">
        <v>44824</v>
      </c>
      <c r="ZF2" s="277">
        <v>44825</v>
      </c>
      <c r="ZG2" s="277">
        <v>44826</v>
      </c>
      <c r="ZH2" s="277">
        <v>44827</v>
      </c>
      <c r="ZI2" s="277">
        <v>44830</v>
      </c>
      <c r="ZJ2" s="277">
        <v>44831</v>
      </c>
      <c r="ZK2" s="277">
        <v>44832</v>
      </c>
      <c r="ZL2" s="277">
        <v>44833</v>
      </c>
      <c r="ZM2" s="277">
        <v>44834</v>
      </c>
      <c r="ZN2" s="277">
        <v>44837</v>
      </c>
      <c r="ZO2" s="277">
        <v>44838</v>
      </c>
      <c r="ZP2" s="277">
        <v>44839</v>
      </c>
      <c r="ZQ2" s="277">
        <v>44840</v>
      </c>
      <c r="ZR2" s="277">
        <v>44841</v>
      </c>
      <c r="ZS2" s="277">
        <v>44844</v>
      </c>
      <c r="ZT2" s="277">
        <v>44845</v>
      </c>
      <c r="ZU2" s="277">
        <v>44846</v>
      </c>
      <c r="ZV2" s="277">
        <v>44847</v>
      </c>
      <c r="ZW2" s="277">
        <v>44848</v>
      </c>
      <c r="ZX2" s="277">
        <v>44851</v>
      </c>
      <c r="ZY2" s="277">
        <v>44852</v>
      </c>
      <c r="ZZ2" s="277">
        <v>44853</v>
      </c>
      <c r="AAA2" s="277">
        <v>44854</v>
      </c>
      <c r="AAB2" s="277">
        <v>44855</v>
      </c>
      <c r="AAC2" s="277">
        <v>44858</v>
      </c>
      <c r="AAD2" s="277">
        <v>44859</v>
      </c>
      <c r="AAE2" s="277">
        <v>44860</v>
      </c>
      <c r="AAF2" s="277">
        <v>44861</v>
      </c>
      <c r="AAG2" s="277">
        <v>44862</v>
      </c>
      <c r="AAH2" s="277">
        <v>44865</v>
      </c>
      <c r="AAI2" s="277">
        <v>44866</v>
      </c>
      <c r="AAJ2" s="277">
        <v>44867</v>
      </c>
      <c r="AAK2" s="277">
        <v>44868</v>
      </c>
      <c r="AAL2" s="277">
        <v>44872</v>
      </c>
      <c r="AAM2" s="277">
        <v>44873</v>
      </c>
      <c r="AAN2" s="277">
        <v>44874</v>
      </c>
      <c r="AAO2" s="277">
        <v>44875</v>
      </c>
      <c r="AAP2" s="277">
        <v>44876</v>
      </c>
      <c r="AAQ2" s="277">
        <v>44879</v>
      </c>
      <c r="AAR2" s="277">
        <v>44880</v>
      </c>
      <c r="AAS2" s="277">
        <v>44881</v>
      </c>
      <c r="AAT2" s="277">
        <v>44882</v>
      </c>
      <c r="AAU2" s="277">
        <v>44883</v>
      </c>
      <c r="AAV2" s="277">
        <v>44886</v>
      </c>
      <c r="AAW2" s="277">
        <v>44887</v>
      </c>
      <c r="AAX2" s="277">
        <v>44888</v>
      </c>
      <c r="AAY2" s="277">
        <v>44889</v>
      </c>
      <c r="AAZ2" s="277">
        <v>44890</v>
      </c>
      <c r="ABA2" s="277">
        <v>44893</v>
      </c>
      <c r="ABB2" s="277">
        <v>44894</v>
      </c>
      <c r="ABC2" s="277">
        <v>44895</v>
      </c>
      <c r="ABD2" s="277">
        <v>44896</v>
      </c>
      <c r="ABE2" s="277">
        <v>44897</v>
      </c>
      <c r="ABF2" s="277">
        <v>44900</v>
      </c>
      <c r="ABG2" s="277">
        <v>44901</v>
      </c>
      <c r="ABH2" s="277">
        <v>44902</v>
      </c>
      <c r="ABI2" s="277">
        <v>44903</v>
      </c>
      <c r="ABJ2" s="277">
        <v>44904</v>
      </c>
      <c r="ABK2" s="277">
        <v>44907</v>
      </c>
      <c r="ABL2" s="277">
        <v>44908</v>
      </c>
      <c r="ABM2" s="277">
        <v>44909</v>
      </c>
      <c r="ABN2" s="277">
        <v>44910</v>
      </c>
      <c r="ABO2" s="277">
        <v>44911</v>
      </c>
      <c r="ABP2" s="277">
        <v>44914</v>
      </c>
      <c r="ABQ2" s="277">
        <v>44915</v>
      </c>
      <c r="ABR2" s="277">
        <v>44916</v>
      </c>
      <c r="ABS2" s="277">
        <v>44917</v>
      </c>
      <c r="ABT2" s="277">
        <v>44918</v>
      </c>
      <c r="ABU2" s="277">
        <v>44921</v>
      </c>
      <c r="ABV2" s="277">
        <v>44922</v>
      </c>
      <c r="ABW2" s="277">
        <v>44923</v>
      </c>
      <c r="ABX2" s="277">
        <v>44924</v>
      </c>
      <c r="ABY2" s="277">
        <v>44925</v>
      </c>
      <c r="ABZ2" s="277">
        <v>44935</v>
      </c>
      <c r="ACA2" s="277">
        <v>44936</v>
      </c>
      <c r="ACB2" s="277">
        <v>44937</v>
      </c>
      <c r="ACC2" s="277">
        <v>44938</v>
      </c>
      <c r="ACD2" s="277">
        <v>44939</v>
      </c>
      <c r="ACE2" s="277">
        <v>44942</v>
      </c>
      <c r="ACF2" s="277">
        <v>44943</v>
      </c>
      <c r="ACG2" s="277">
        <v>44944</v>
      </c>
      <c r="ACH2" s="277">
        <v>44945</v>
      </c>
      <c r="ACI2" s="277">
        <v>44946</v>
      </c>
      <c r="ACJ2" s="277">
        <v>44949</v>
      </c>
      <c r="ACK2" s="277">
        <v>44950</v>
      </c>
      <c r="ACL2" s="277">
        <v>44951</v>
      </c>
      <c r="ACM2" s="277">
        <v>44952</v>
      </c>
      <c r="ACN2" s="277">
        <v>44588</v>
      </c>
      <c r="ACO2" s="277">
        <v>44956</v>
      </c>
      <c r="ACP2" s="277">
        <v>44957</v>
      </c>
      <c r="ACQ2" s="277">
        <v>44958</v>
      </c>
      <c r="ACR2" s="277">
        <v>44959</v>
      </c>
      <c r="ACS2" s="277">
        <v>44623</v>
      </c>
      <c r="ACT2" s="277">
        <v>44963</v>
      </c>
      <c r="ACU2" s="277">
        <v>44964</v>
      </c>
      <c r="ACV2" s="277">
        <v>44965</v>
      </c>
      <c r="ACW2" s="277">
        <v>44966</v>
      </c>
      <c r="ACX2" s="277">
        <v>44967</v>
      </c>
      <c r="ACY2" s="277">
        <v>44970</v>
      </c>
      <c r="ACZ2" s="277">
        <v>44971</v>
      </c>
      <c r="ADA2" s="277">
        <v>44972</v>
      </c>
      <c r="ADB2" s="277">
        <v>44973</v>
      </c>
      <c r="ADC2" s="277">
        <v>44974</v>
      </c>
      <c r="ADD2" s="277">
        <v>44977</v>
      </c>
      <c r="ADE2" s="277">
        <v>44978</v>
      </c>
      <c r="ADF2" s="277">
        <v>44979</v>
      </c>
      <c r="ADG2" s="277">
        <v>44984</v>
      </c>
      <c r="ADH2" s="277">
        <v>44985</v>
      </c>
      <c r="ADI2" s="277">
        <v>44986</v>
      </c>
      <c r="ADJ2" s="277">
        <v>44987</v>
      </c>
      <c r="ADK2" s="277">
        <v>44988</v>
      </c>
      <c r="ADL2" s="277">
        <v>44991</v>
      </c>
      <c r="ADM2" s="277">
        <v>44992</v>
      </c>
      <c r="ADN2" s="277">
        <v>44994</v>
      </c>
      <c r="ADO2" s="277">
        <v>44995</v>
      </c>
      <c r="ADP2" s="277">
        <v>44998</v>
      </c>
      <c r="ADQ2" s="277">
        <v>44999</v>
      </c>
      <c r="ADR2" s="277">
        <v>45000</v>
      </c>
      <c r="ADS2" s="277">
        <v>45001</v>
      </c>
      <c r="ADT2" s="277">
        <v>45002</v>
      </c>
      <c r="ADU2" s="277">
        <v>45005</v>
      </c>
      <c r="ADV2" s="277">
        <v>45006</v>
      </c>
      <c r="ADW2" s="277">
        <v>45007</v>
      </c>
      <c r="ADX2" s="277">
        <v>45008</v>
      </c>
      <c r="ADY2" s="277">
        <v>45009</v>
      </c>
      <c r="ADZ2" s="277">
        <v>45012</v>
      </c>
      <c r="AEA2" s="277">
        <v>45013</v>
      </c>
      <c r="AEB2" s="277">
        <v>45014</v>
      </c>
      <c r="AEC2" s="277">
        <v>45015</v>
      </c>
      <c r="AED2" s="277">
        <v>45016</v>
      </c>
      <c r="AEE2" s="277">
        <v>45019</v>
      </c>
      <c r="AEF2" s="277">
        <v>45020</v>
      </c>
      <c r="AEG2" s="277">
        <v>45021</v>
      </c>
      <c r="AEH2" s="277">
        <v>45022</v>
      </c>
      <c r="AEI2" s="277">
        <v>45023</v>
      </c>
      <c r="AEJ2" s="277">
        <v>45026</v>
      </c>
      <c r="AEK2" s="277">
        <v>45027</v>
      </c>
      <c r="AEL2" s="277">
        <v>45028</v>
      </c>
      <c r="AEM2" s="277">
        <v>45029</v>
      </c>
      <c r="AEN2" s="277">
        <v>45030</v>
      </c>
      <c r="AEO2" s="277">
        <v>45033</v>
      </c>
      <c r="AEP2" s="277">
        <v>45034</v>
      </c>
      <c r="AEQ2" s="277">
        <v>45035</v>
      </c>
      <c r="AER2" s="277">
        <v>45036</v>
      </c>
      <c r="AES2" s="277">
        <v>45037</v>
      </c>
      <c r="AET2" s="277">
        <v>45040</v>
      </c>
      <c r="AEU2" s="277">
        <v>45041</v>
      </c>
      <c r="AEV2" s="277">
        <v>45042</v>
      </c>
      <c r="AEW2" s="277">
        <v>45043</v>
      </c>
      <c r="AEX2" s="277">
        <v>45044</v>
      </c>
      <c r="AEY2" s="277">
        <v>45048</v>
      </c>
      <c r="AEZ2" s="277">
        <v>45049</v>
      </c>
      <c r="AFA2" s="277">
        <v>45050</v>
      </c>
      <c r="AFB2" s="277">
        <v>45051</v>
      </c>
      <c r="AFC2" s="277">
        <v>45056</v>
      </c>
      <c r="AFD2" s="277">
        <v>45057</v>
      </c>
      <c r="AFE2" s="277">
        <v>45058</v>
      </c>
      <c r="AFF2" s="277">
        <v>45061</v>
      </c>
      <c r="AFG2" s="277">
        <v>45062</v>
      </c>
      <c r="AFH2" s="277">
        <v>45063</v>
      </c>
      <c r="AFI2" s="277">
        <v>45064</v>
      </c>
      <c r="AFJ2" s="277">
        <v>45065</v>
      </c>
      <c r="AFK2" s="277">
        <v>45068</v>
      </c>
      <c r="AFL2" s="277">
        <v>45069</v>
      </c>
      <c r="AFM2" s="277">
        <v>45070</v>
      </c>
      <c r="AFN2" s="277">
        <v>45071</v>
      </c>
      <c r="AFO2" s="277">
        <v>45072</v>
      </c>
      <c r="AFP2" s="277">
        <v>45075</v>
      </c>
      <c r="AFQ2" s="277">
        <v>45076</v>
      </c>
      <c r="AFR2" s="277">
        <v>45077</v>
      </c>
      <c r="AFS2" s="277">
        <v>45078</v>
      </c>
      <c r="AFT2" s="277">
        <v>45079</v>
      </c>
      <c r="AFU2" s="277">
        <v>45082</v>
      </c>
      <c r="AFV2" s="277">
        <v>45083</v>
      </c>
      <c r="AFW2" s="277">
        <v>45084</v>
      </c>
      <c r="AFX2" s="277">
        <v>45085</v>
      </c>
      <c r="AFY2" s="451">
        <v>45086</v>
      </c>
      <c r="AFZ2" s="451">
        <v>45090</v>
      </c>
      <c r="AGA2" s="277">
        <v>45091</v>
      </c>
      <c r="AGB2" s="277">
        <v>45092</v>
      </c>
      <c r="AGC2" s="277">
        <v>45093</v>
      </c>
      <c r="AGD2" s="277">
        <v>45096</v>
      </c>
      <c r="AGE2" s="277">
        <v>45097</v>
      </c>
      <c r="AGF2" s="277">
        <v>45098</v>
      </c>
      <c r="AGG2" s="277">
        <v>45099</v>
      </c>
      <c r="AGH2" s="277">
        <v>45100</v>
      </c>
      <c r="AGI2" s="277">
        <v>45103</v>
      </c>
      <c r="AGJ2" s="277">
        <v>45104</v>
      </c>
      <c r="AGK2" s="277">
        <v>45105</v>
      </c>
      <c r="AGL2" s="277">
        <v>45106</v>
      </c>
      <c r="AGM2" s="277">
        <v>45107</v>
      </c>
      <c r="AGN2" s="277">
        <v>45110</v>
      </c>
      <c r="AGO2" s="277">
        <v>45111</v>
      </c>
      <c r="AGP2" s="277">
        <v>45112</v>
      </c>
      <c r="AGQ2" s="277">
        <v>45113</v>
      </c>
      <c r="AGR2" s="277">
        <v>45114</v>
      </c>
      <c r="AGS2" s="277">
        <v>45117</v>
      </c>
      <c r="AGT2" s="277">
        <v>45118</v>
      </c>
      <c r="AGU2" s="277">
        <v>45119</v>
      </c>
      <c r="AGV2" s="277">
        <v>45120</v>
      </c>
      <c r="AGW2" s="277">
        <v>45121</v>
      </c>
      <c r="AGX2" s="277">
        <v>45124</v>
      </c>
      <c r="AGY2" s="277">
        <v>45125</v>
      </c>
      <c r="AGZ2" s="277">
        <v>45126</v>
      </c>
      <c r="AHA2" s="277">
        <v>45127</v>
      </c>
      <c r="AHB2" s="277">
        <v>45128</v>
      </c>
      <c r="AHC2" s="277">
        <v>45131</v>
      </c>
      <c r="AHD2" s="277">
        <v>45132</v>
      </c>
      <c r="AHE2" s="277">
        <v>45133</v>
      </c>
      <c r="AHF2" s="277">
        <v>45134</v>
      </c>
      <c r="AHG2" s="277">
        <v>45135</v>
      </c>
      <c r="AHH2" s="277">
        <v>45138</v>
      </c>
      <c r="AHI2" s="277">
        <v>45139</v>
      </c>
      <c r="AHJ2" s="277">
        <v>45140</v>
      </c>
      <c r="AHK2" s="277">
        <v>45141</v>
      </c>
      <c r="AHL2" s="277">
        <v>45142</v>
      </c>
      <c r="AHM2" s="277">
        <v>45145</v>
      </c>
      <c r="AHN2" s="277">
        <v>45146</v>
      </c>
      <c r="AHO2" s="277">
        <v>45147</v>
      </c>
      <c r="AHP2" s="277">
        <v>45148</v>
      </c>
      <c r="AHQ2" s="277">
        <v>45149</v>
      </c>
      <c r="AHR2" s="277">
        <v>45152</v>
      </c>
      <c r="AHS2" s="277">
        <v>45153</v>
      </c>
      <c r="AHT2" s="277">
        <v>45154</v>
      </c>
      <c r="AHU2" s="277">
        <v>45155</v>
      </c>
      <c r="AHV2" s="277">
        <v>45156</v>
      </c>
      <c r="AHW2" s="277">
        <v>45159</v>
      </c>
      <c r="AHX2" s="277">
        <v>45160</v>
      </c>
      <c r="AHY2" s="277">
        <v>45161</v>
      </c>
      <c r="AHZ2" s="277">
        <v>45162</v>
      </c>
      <c r="AIA2" s="277">
        <v>45163</v>
      </c>
      <c r="AIB2" s="277">
        <v>45166</v>
      </c>
      <c r="AIC2" s="277">
        <v>45167</v>
      </c>
      <c r="AID2" s="277">
        <v>45168</v>
      </c>
      <c r="AIE2" s="277">
        <v>45169</v>
      </c>
      <c r="AIF2" s="277">
        <v>45170</v>
      </c>
      <c r="AIG2" s="277">
        <v>45173</v>
      </c>
      <c r="AIH2" s="277">
        <v>45174</v>
      </c>
      <c r="AII2" s="277">
        <v>45175</v>
      </c>
      <c r="AIJ2" s="277">
        <v>45176</v>
      </c>
      <c r="AIK2" s="277">
        <v>45177</v>
      </c>
      <c r="AIL2" s="277">
        <v>45180</v>
      </c>
      <c r="AIM2" s="277">
        <v>45181</v>
      </c>
      <c r="AIN2" s="277">
        <v>45182</v>
      </c>
      <c r="AIO2" s="277">
        <v>45183</v>
      </c>
      <c r="AIP2" s="277">
        <v>45184</v>
      </c>
      <c r="AIQ2" s="277">
        <v>45187</v>
      </c>
      <c r="AIR2" s="277">
        <v>45188</v>
      </c>
      <c r="AIS2" s="277">
        <v>45189</v>
      </c>
      <c r="AIT2" s="277">
        <v>45190</v>
      </c>
      <c r="AIU2" s="277">
        <v>45191</v>
      </c>
      <c r="AIV2" s="277">
        <v>45194</v>
      </c>
      <c r="AIW2" s="277">
        <v>45195</v>
      </c>
      <c r="AIX2" s="277">
        <v>45196</v>
      </c>
      <c r="AIY2" s="277">
        <v>45197</v>
      </c>
      <c r="AIZ2" s="277">
        <v>45198</v>
      </c>
      <c r="AJA2" s="277">
        <v>45201</v>
      </c>
      <c r="AJB2" s="277">
        <v>45202</v>
      </c>
      <c r="AJC2" s="277">
        <v>45203</v>
      </c>
      <c r="AJD2" s="277">
        <v>45204</v>
      </c>
      <c r="AJE2" s="277">
        <v>45205</v>
      </c>
      <c r="AJF2" s="277">
        <v>45208</v>
      </c>
      <c r="AJG2" s="277">
        <v>45209</v>
      </c>
      <c r="AJH2" s="277">
        <v>45210</v>
      </c>
      <c r="AJI2" s="277">
        <v>45211</v>
      </c>
      <c r="AJJ2" s="277">
        <v>45212</v>
      </c>
      <c r="AJK2" s="277">
        <v>45215</v>
      </c>
      <c r="AJL2" s="277">
        <v>45216</v>
      </c>
      <c r="AJM2" s="277">
        <v>45217</v>
      </c>
      <c r="AJN2" s="277">
        <v>45218</v>
      </c>
      <c r="AJO2" s="277">
        <v>45219</v>
      </c>
      <c r="AJP2" s="277">
        <v>45222</v>
      </c>
      <c r="AJQ2" s="277">
        <v>45223</v>
      </c>
      <c r="AJR2" s="277">
        <v>45224</v>
      </c>
      <c r="AJS2" s="277">
        <v>45225</v>
      </c>
      <c r="AJT2" s="277">
        <v>45226</v>
      </c>
      <c r="AJU2" s="277">
        <v>45229</v>
      </c>
      <c r="AJV2" s="277">
        <v>45230</v>
      </c>
      <c r="AJW2" s="277">
        <v>45231</v>
      </c>
      <c r="AJX2" s="277">
        <v>45232</v>
      </c>
      <c r="AJY2" s="277">
        <v>45233</v>
      </c>
      <c r="AJZ2" s="277">
        <v>45237</v>
      </c>
      <c r="AKA2" s="277">
        <v>45238</v>
      </c>
      <c r="AKB2" s="277">
        <v>45239</v>
      </c>
      <c r="AKC2" s="277">
        <v>45240</v>
      </c>
      <c r="AKD2" s="277">
        <v>45243</v>
      </c>
      <c r="AKE2" s="277">
        <v>45244</v>
      </c>
      <c r="AKF2" s="277">
        <v>45245</v>
      </c>
      <c r="AKG2" s="277">
        <v>45246</v>
      </c>
      <c r="AKH2" s="277">
        <v>45247</v>
      </c>
      <c r="AKI2" s="277">
        <v>45250</v>
      </c>
      <c r="AKJ2" s="277">
        <v>45251</v>
      </c>
      <c r="AKK2" s="277">
        <v>45252</v>
      </c>
      <c r="AKL2" s="277">
        <v>45253</v>
      </c>
      <c r="AKM2" s="277">
        <v>45254</v>
      </c>
      <c r="AKN2" s="277">
        <v>45257</v>
      </c>
      <c r="AKO2" s="277">
        <v>45258</v>
      </c>
      <c r="AKP2" s="277">
        <v>45259</v>
      </c>
      <c r="AKQ2" s="277">
        <v>45260</v>
      </c>
      <c r="AKR2" s="277">
        <v>45261</v>
      </c>
      <c r="AKS2" s="277">
        <v>45264</v>
      </c>
      <c r="AKT2" s="277">
        <v>45265</v>
      </c>
      <c r="AKU2" s="277">
        <v>45266</v>
      </c>
      <c r="AKV2" s="277">
        <v>45267</v>
      </c>
      <c r="AKW2" s="277">
        <v>45268</v>
      </c>
      <c r="AKX2" s="277">
        <v>45271</v>
      </c>
      <c r="AKY2" s="277">
        <v>45272</v>
      </c>
      <c r="AKZ2" s="277">
        <v>45273</v>
      </c>
      <c r="ALA2" s="277">
        <v>45274</v>
      </c>
      <c r="ALB2" s="277">
        <v>45275</v>
      </c>
      <c r="ALC2" s="277">
        <v>45278</v>
      </c>
      <c r="ALD2" s="277">
        <v>45279</v>
      </c>
      <c r="ALE2" s="277">
        <v>45280</v>
      </c>
      <c r="ALF2" s="277">
        <v>45281</v>
      </c>
      <c r="ALG2" s="277">
        <v>45282</v>
      </c>
      <c r="ALH2" s="277">
        <v>45285</v>
      </c>
      <c r="ALI2" s="277">
        <v>45286</v>
      </c>
      <c r="ALJ2" s="277">
        <v>45287</v>
      </c>
      <c r="ALK2" s="277">
        <v>45288</v>
      </c>
      <c r="ALL2" s="277">
        <v>45289</v>
      </c>
      <c r="ALM2" s="277">
        <v>45300</v>
      </c>
      <c r="ALN2" s="277">
        <v>45301</v>
      </c>
      <c r="ALO2" s="277">
        <v>45302</v>
      </c>
      <c r="ALP2" s="277">
        <v>45303</v>
      </c>
      <c r="ALQ2" s="277">
        <v>45306</v>
      </c>
      <c r="ALR2" s="277">
        <v>45307</v>
      </c>
      <c r="ALS2" s="277">
        <v>45308</v>
      </c>
      <c r="ALT2" s="277">
        <v>45309</v>
      </c>
      <c r="ALU2" s="277">
        <v>45310</v>
      </c>
      <c r="ALV2" s="277">
        <v>45313</v>
      </c>
      <c r="ALW2" s="277">
        <v>45314</v>
      </c>
      <c r="ALX2" s="277">
        <v>45315</v>
      </c>
      <c r="ALY2" s="277">
        <v>45316</v>
      </c>
      <c r="ALZ2" s="277">
        <v>45317</v>
      </c>
      <c r="AMA2" s="277">
        <v>45320</v>
      </c>
      <c r="AMB2" s="277">
        <v>45321</v>
      </c>
      <c r="AMC2" s="277">
        <v>45322</v>
      </c>
      <c r="AMD2" s="277">
        <v>45323</v>
      </c>
      <c r="AME2" s="277">
        <v>45324</v>
      </c>
      <c r="AMF2" s="277">
        <v>45327</v>
      </c>
      <c r="AMG2" s="277">
        <v>45328</v>
      </c>
      <c r="AMH2" s="277">
        <v>45329</v>
      </c>
      <c r="AMI2" s="277">
        <v>45330</v>
      </c>
      <c r="AMJ2" s="277">
        <v>45331</v>
      </c>
      <c r="AMK2" s="277">
        <v>45334</v>
      </c>
      <c r="AML2" s="277">
        <v>45335</v>
      </c>
      <c r="AMM2" s="277">
        <v>45336</v>
      </c>
      <c r="AMN2" s="277">
        <v>45337</v>
      </c>
      <c r="AMO2" s="277">
        <v>45338</v>
      </c>
      <c r="AMP2" s="277">
        <v>45341</v>
      </c>
      <c r="AMQ2" s="277">
        <v>45342</v>
      </c>
      <c r="AMR2" s="277">
        <v>45343</v>
      </c>
      <c r="AMS2" s="277">
        <v>45344</v>
      </c>
      <c r="AMT2" s="277">
        <v>45348</v>
      </c>
      <c r="AMU2" s="277">
        <v>45349</v>
      </c>
      <c r="AMV2" s="277">
        <v>45350</v>
      </c>
      <c r="AMW2" s="277">
        <v>45351</v>
      </c>
      <c r="AMX2" s="277">
        <v>45352</v>
      </c>
      <c r="AMY2" s="277">
        <v>45355</v>
      </c>
      <c r="AMZ2" s="277">
        <v>45356</v>
      </c>
      <c r="ANA2" s="277">
        <v>45357</v>
      </c>
      <c r="ANB2" s="277">
        <v>45358</v>
      </c>
      <c r="ANC2" s="277">
        <v>45362</v>
      </c>
      <c r="AND2" s="277">
        <v>45363</v>
      </c>
      <c r="ANE2" s="277">
        <v>45364</v>
      </c>
      <c r="ANF2" s="277">
        <v>45365</v>
      </c>
      <c r="ANG2" s="277">
        <v>45366</v>
      </c>
      <c r="ANH2" s="277">
        <v>45369</v>
      </c>
      <c r="ANI2" s="277">
        <v>45370</v>
      </c>
      <c r="ANJ2" s="277">
        <v>45371</v>
      </c>
      <c r="ANK2" s="277">
        <v>45372</v>
      </c>
      <c r="ANL2" s="277">
        <v>45373</v>
      </c>
      <c r="ANM2" s="277">
        <v>45376</v>
      </c>
      <c r="ANN2" s="277">
        <v>45377</v>
      </c>
      <c r="ANO2" s="277">
        <v>45378</v>
      </c>
      <c r="ANP2" s="277">
        <v>45379</v>
      </c>
      <c r="ANQ2" s="277">
        <v>45380</v>
      </c>
      <c r="ANR2" s="277">
        <v>45383</v>
      </c>
      <c r="ANS2" s="277">
        <v>45384</v>
      </c>
      <c r="ANT2" s="277">
        <v>45385</v>
      </c>
      <c r="ANU2" s="277">
        <v>45386</v>
      </c>
      <c r="ANV2" s="277">
        <v>45387</v>
      </c>
      <c r="ANW2" s="277">
        <v>45390</v>
      </c>
      <c r="ANX2" s="277">
        <v>45391</v>
      </c>
      <c r="ANY2" s="277">
        <v>45392</v>
      </c>
      <c r="ANZ2" s="277">
        <v>45393</v>
      </c>
      <c r="AOA2" s="277">
        <v>45394</v>
      </c>
      <c r="AOB2" s="277">
        <v>45397</v>
      </c>
      <c r="AOC2" s="277">
        <v>45398</v>
      </c>
      <c r="AOD2" s="277">
        <v>45399</v>
      </c>
      <c r="AOE2" s="277">
        <v>45400</v>
      </c>
      <c r="AOF2" s="277">
        <v>45401</v>
      </c>
      <c r="AOG2" s="277">
        <v>45404</v>
      </c>
      <c r="AOH2" s="277">
        <v>45405</v>
      </c>
      <c r="AOI2" s="277">
        <v>45406</v>
      </c>
      <c r="AOJ2" s="277">
        <v>45407</v>
      </c>
      <c r="AOK2" s="277">
        <v>45408</v>
      </c>
      <c r="AOL2" s="277">
        <v>45409</v>
      </c>
      <c r="AOM2" s="277">
        <v>45414</v>
      </c>
      <c r="AON2" s="277">
        <v>45415</v>
      </c>
      <c r="AOO2" s="277">
        <v>45418</v>
      </c>
      <c r="AOP2" s="277">
        <v>45419</v>
      </c>
      <c r="AOQ2" s="277">
        <v>45420</v>
      </c>
      <c r="AOR2" s="277">
        <v>45425</v>
      </c>
      <c r="AOS2" s="277">
        <v>45426</v>
      </c>
      <c r="AOT2" s="277">
        <v>45427</v>
      </c>
      <c r="AOU2" s="277">
        <v>45428</v>
      </c>
      <c r="AOV2" s="277">
        <v>45429</v>
      </c>
      <c r="AOW2" s="277">
        <v>45432</v>
      </c>
      <c r="AOX2" s="277">
        <v>45433</v>
      </c>
      <c r="AOY2" s="277">
        <v>45434</v>
      </c>
      <c r="AOZ2" s="277">
        <v>45435</v>
      </c>
      <c r="APA2" s="277">
        <v>45436</v>
      </c>
      <c r="APB2" s="277">
        <v>45439</v>
      </c>
      <c r="APC2" s="277">
        <v>45440</v>
      </c>
      <c r="APD2" s="277">
        <v>45441</v>
      </c>
      <c r="APE2" s="277">
        <v>45442</v>
      </c>
      <c r="APF2" s="277">
        <v>45443</v>
      </c>
      <c r="APG2" s="277">
        <v>45446</v>
      </c>
      <c r="APH2" s="277">
        <v>45447</v>
      </c>
      <c r="API2" s="277">
        <v>45448</v>
      </c>
      <c r="APJ2" s="277">
        <v>45449</v>
      </c>
      <c r="APK2" s="277">
        <v>45450</v>
      </c>
      <c r="APL2" s="277">
        <v>45453</v>
      </c>
      <c r="APM2" s="277">
        <v>45454</v>
      </c>
      <c r="APN2" s="277">
        <v>45456</v>
      </c>
      <c r="APO2" s="277">
        <v>45457</v>
      </c>
      <c r="APP2" s="277">
        <v>45460</v>
      </c>
      <c r="APQ2" s="277">
        <v>45461</v>
      </c>
      <c r="APR2" s="277">
        <v>45462</v>
      </c>
      <c r="APS2" s="277">
        <v>45463</v>
      </c>
      <c r="APT2" s="277">
        <v>45464</v>
      </c>
      <c r="APU2" s="277">
        <v>45467</v>
      </c>
      <c r="APV2" s="277">
        <v>45468</v>
      </c>
      <c r="APW2" s="277">
        <v>45469</v>
      </c>
      <c r="APX2" s="277">
        <v>45470</v>
      </c>
      <c r="APY2" s="277">
        <v>45471</v>
      </c>
      <c r="APZ2" s="277">
        <v>45474</v>
      </c>
      <c r="AQA2" s="277">
        <v>45475</v>
      </c>
      <c r="AQB2" s="277">
        <v>45476</v>
      </c>
      <c r="AQC2" s="277">
        <v>45477</v>
      </c>
      <c r="AQD2" s="277">
        <v>45478</v>
      </c>
      <c r="AQE2" s="277">
        <v>45481</v>
      </c>
      <c r="AQF2" s="277">
        <v>45482</v>
      </c>
      <c r="AQG2" s="277">
        <v>45483</v>
      </c>
      <c r="AQH2" s="277">
        <v>45484</v>
      </c>
      <c r="AQI2" s="277">
        <v>45485</v>
      </c>
      <c r="AQJ2" s="277">
        <v>45488</v>
      </c>
      <c r="AQK2" s="277">
        <v>45489</v>
      </c>
      <c r="AQL2" s="277">
        <v>45490</v>
      </c>
      <c r="AQM2" s="277">
        <v>45491</v>
      </c>
      <c r="AQN2" s="277">
        <v>45492</v>
      </c>
      <c r="AQO2" s="277">
        <v>45495</v>
      </c>
      <c r="AQP2" s="277">
        <v>45496</v>
      </c>
      <c r="AQQ2" s="277">
        <v>45497</v>
      </c>
      <c r="AQR2" s="277">
        <v>45498</v>
      </c>
      <c r="AQS2" s="277">
        <v>45499</v>
      </c>
      <c r="AQT2" s="277">
        <v>45502</v>
      </c>
      <c r="AQU2" s="277">
        <v>45503</v>
      </c>
      <c r="AQV2" s="277">
        <v>45504</v>
      </c>
      <c r="AQW2" s="277">
        <v>45505</v>
      </c>
      <c r="AQX2" s="277">
        <v>45506</v>
      </c>
      <c r="AQY2" s="277">
        <v>45509</v>
      </c>
      <c r="AQZ2" s="277">
        <v>45510</v>
      </c>
      <c r="ARA2" s="277">
        <v>45511</v>
      </c>
      <c r="ARB2" s="277">
        <v>45512</v>
      </c>
      <c r="ARC2" s="277">
        <v>45513</v>
      </c>
      <c r="ARD2" s="277">
        <v>45516</v>
      </c>
      <c r="ARE2" s="277">
        <v>45517</v>
      </c>
      <c r="ARF2" s="277">
        <v>45518</v>
      </c>
      <c r="ARG2" s="277">
        <v>45519</v>
      </c>
      <c r="ARH2" s="277">
        <v>45520</v>
      </c>
      <c r="ARI2" s="277">
        <v>45523</v>
      </c>
      <c r="ARJ2" s="277">
        <v>45524</v>
      </c>
      <c r="ARK2" s="277">
        <v>45525</v>
      </c>
      <c r="ARL2" s="277">
        <v>45526</v>
      </c>
      <c r="ARM2" s="277">
        <v>45527</v>
      </c>
      <c r="ARN2" s="277">
        <v>45530</v>
      </c>
      <c r="ARO2" s="277">
        <v>45531</v>
      </c>
      <c r="ARP2" s="277">
        <v>45532</v>
      </c>
      <c r="ARQ2" s="277">
        <v>45533</v>
      </c>
      <c r="ARR2" s="277">
        <v>45534</v>
      </c>
      <c r="ARS2" s="277">
        <v>45537</v>
      </c>
      <c r="ART2" s="277">
        <v>45538</v>
      </c>
      <c r="ARU2" s="277">
        <v>45539</v>
      </c>
      <c r="ARV2" s="277">
        <v>45540</v>
      </c>
      <c r="ARW2" s="277">
        <v>45541</v>
      </c>
      <c r="ARX2" s="277">
        <v>45544</v>
      </c>
      <c r="ARY2" s="277">
        <v>45545</v>
      </c>
      <c r="ARZ2" s="277">
        <v>45546</v>
      </c>
      <c r="ASA2" s="277">
        <v>45547</v>
      </c>
      <c r="ASB2" s="277">
        <v>45548</v>
      </c>
      <c r="ASC2" s="277">
        <v>45551</v>
      </c>
      <c r="ASD2" s="277">
        <v>45552</v>
      </c>
      <c r="ASE2" s="277">
        <v>45553</v>
      </c>
      <c r="ASF2" s="277">
        <v>45554</v>
      </c>
      <c r="ASG2" s="277">
        <v>45555</v>
      </c>
      <c r="ASH2" s="277">
        <v>45558</v>
      </c>
      <c r="ASI2" s="277">
        <v>45559</v>
      </c>
      <c r="ASJ2" s="277">
        <v>45560</v>
      </c>
      <c r="ASK2" s="277">
        <v>45561</v>
      </c>
      <c r="ASL2" s="277">
        <v>45562</v>
      </c>
      <c r="ASM2" s="277">
        <v>45565</v>
      </c>
      <c r="ASN2" s="277">
        <v>45566</v>
      </c>
      <c r="ASO2" s="277">
        <v>45567</v>
      </c>
      <c r="ASP2" s="277">
        <v>45568</v>
      </c>
      <c r="ASQ2" s="277">
        <v>45569</v>
      </c>
      <c r="ASR2" s="277">
        <v>45572</v>
      </c>
      <c r="ASS2" s="277">
        <v>45573</v>
      </c>
      <c r="AST2" s="277">
        <v>45574</v>
      </c>
      <c r="ASU2" s="277">
        <v>45575</v>
      </c>
      <c r="ASV2" s="277">
        <v>45576</v>
      </c>
      <c r="ASW2" s="277">
        <v>45579</v>
      </c>
      <c r="ASX2" s="277">
        <v>45580</v>
      </c>
      <c r="ASY2" s="277">
        <v>45581</v>
      </c>
      <c r="ASZ2" s="277">
        <v>45582</v>
      </c>
      <c r="ATA2" s="277">
        <v>45583</v>
      </c>
      <c r="ATB2" s="277">
        <v>45586</v>
      </c>
      <c r="ATC2" s="277">
        <v>45587</v>
      </c>
      <c r="ATD2" s="277">
        <v>45588</v>
      </c>
      <c r="ATE2" s="277">
        <v>45589</v>
      </c>
      <c r="ATF2" s="277">
        <v>45590</v>
      </c>
      <c r="ATG2" s="277">
        <v>45593</v>
      </c>
      <c r="ATH2" s="277">
        <v>45594</v>
      </c>
      <c r="ATI2" s="277">
        <v>45595</v>
      </c>
      <c r="ATJ2" s="277">
        <v>45596</v>
      </c>
      <c r="ATK2" s="277">
        <v>45597</v>
      </c>
      <c r="ATL2" s="277">
        <v>45598</v>
      </c>
      <c r="ATM2" s="277">
        <v>45601</v>
      </c>
      <c r="ATN2" s="277">
        <v>45602</v>
      </c>
      <c r="ATO2" s="277">
        <v>45603</v>
      </c>
      <c r="ATP2" s="277">
        <v>45604</v>
      </c>
      <c r="ATQ2" s="277">
        <v>45607</v>
      </c>
      <c r="ATR2" s="277">
        <v>45608</v>
      </c>
      <c r="ATS2" s="277">
        <v>45609</v>
      </c>
      <c r="ATT2" s="277">
        <v>45610</v>
      </c>
      <c r="ATU2" s="277">
        <v>45611</v>
      </c>
      <c r="ATV2" s="277">
        <v>45614</v>
      </c>
      <c r="ATW2" s="277">
        <v>45615</v>
      </c>
      <c r="ATX2" s="277">
        <v>45616</v>
      </c>
      <c r="ATY2" s="277">
        <v>45617</v>
      </c>
      <c r="ATZ2" s="277">
        <v>45618</v>
      </c>
      <c r="AUA2" s="277">
        <v>45621</v>
      </c>
      <c r="AUB2" s="277">
        <v>45622</v>
      </c>
      <c r="AUC2" s="277">
        <v>45623</v>
      </c>
      <c r="AUD2" s="277">
        <v>45624</v>
      </c>
      <c r="AUE2" s="277">
        <v>45625</v>
      </c>
      <c r="AUF2" s="277">
        <v>45628</v>
      </c>
      <c r="AUG2" s="277">
        <v>45629</v>
      </c>
      <c r="AUH2" s="277">
        <v>45630</v>
      </c>
      <c r="AUI2" s="277">
        <v>45631</v>
      </c>
      <c r="AUJ2" s="277">
        <v>45632</v>
      </c>
      <c r="AUK2" s="277">
        <v>45635</v>
      </c>
      <c r="AUL2" s="277">
        <v>45636</v>
      </c>
      <c r="AUM2" s="277">
        <v>45637</v>
      </c>
      <c r="AUN2" s="277">
        <v>45638</v>
      </c>
      <c r="AUO2" s="277">
        <v>45639</v>
      </c>
      <c r="AUP2" s="277">
        <v>45642</v>
      </c>
      <c r="AUQ2" s="277">
        <v>45643</v>
      </c>
      <c r="AUR2" s="277">
        <v>45644</v>
      </c>
      <c r="AUS2" s="277">
        <v>45645</v>
      </c>
      <c r="AUT2" s="277">
        <v>45646</v>
      </c>
      <c r="AUU2" s="277">
        <v>45649</v>
      </c>
      <c r="AUV2" s="277">
        <v>45650</v>
      </c>
      <c r="AUW2" s="277">
        <v>45651</v>
      </c>
      <c r="AUX2" s="277">
        <v>45652</v>
      </c>
      <c r="AUY2" s="277">
        <v>45653</v>
      </c>
      <c r="AUZ2" s="277">
        <v>45654</v>
      </c>
      <c r="AVA2" s="277">
        <v>45666</v>
      </c>
      <c r="AVB2" s="277">
        <v>45667</v>
      </c>
      <c r="AVC2" s="277">
        <v>45670</v>
      </c>
      <c r="AVD2" s="277">
        <v>45671</v>
      </c>
      <c r="AVE2" s="277">
        <v>45672</v>
      </c>
      <c r="AVF2" s="277">
        <v>45673</v>
      </c>
      <c r="AVG2" s="277">
        <v>45674</v>
      </c>
      <c r="AVH2" s="277">
        <v>45677</v>
      </c>
      <c r="AVI2" s="277">
        <v>45678</v>
      </c>
      <c r="AVJ2" s="277">
        <v>45679</v>
      </c>
      <c r="AVK2" s="277">
        <v>45680</v>
      </c>
      <c r="AVL2" s="277">
        <v>45681</v>
      </c>
      <c r="AVM2" s="277">
        <v>45684</v>
      </c>
      <c r="AVN2" s="277">
        <v>45685</v>
      </c>
      <c r="AVO2" s="277">
        <v>45686</v>
      </c>
      <c r="AVP2" s="277">
        <v>45687</v>
      </c>
      <c r="AVQ2" s="277">
        <v>45688</v>
      </c>
      <c r="AVR2" s="277">
        <v>45691</v>
      </c>
      <c r="AVS2" s="277">
        <v>45692</v>
      </c>
      <c r="AVT2" s="277">
        <v>45693</v>
      </c>
      <c r="AVU2" s="277">
        <v>45694</v>
      </c>
      <c r="AVV2" s="277">
        <v>45695</v>
      </c>
      <c r="AVW2" s="277">
        <v>45698</v>
      </c>
      <c r="AVX2" s="277">
        <v>45699</v>
      </c>
      <c r="AVY2" s="277">
        <v>45700</v>
      </c>
      <c r="AVZ2" s="277">
        <v>45701</v>
      </c>
      <c r="AWA2" s="277">
        <v>45702</v>
      </c>
      <c r="AWB2" s="277">
        <v>45705</v>
      </c>
      <c r="AWC2" s="277">
        <v>45706</v>
      </c>
      <c r="AWD2" s="277">
        <v>45707</v>
      </c>
      <c r="AWE2" s="277">
        <v>45708</v>
      </c>
      <c r="AWF2" s="277">
        <v>45709</v>
      </c>
      <c r="AWG2" s="277">
        <v>45712</v>
      </c>
      <c r="AWH2" s="277">
        <v>45713</v>
      </c>
      <c r="AWI2" s="277">
        <v>45714</v>
      </c>
      <c r="AWJ2" s="277">
        <v>45715</v>
      </c>
      <c r="AWK2" s="277">
        <v>45716</v>
      </c>
      <c r="AWL2" s="277">
        <v>45719</v>
      </c>
      <c r="AWM2" s="277">
        <v>45720</v>
      </c>
      <c r="AWN2" s="277">
        <v>45721</v>
      </c>
      <c r="AWO2" s="277">
        <v>45722</v>
      </c>
      <c r="AWP2" s="277">
        <v>45723</v>
      </c>
      <c r="AWQ2" s="277">
        <v>45726</v>
      </c>
      <c r="AWR2" s="277">
        <v>45727</v>
      </c>
      <c r="AWS2" s="277">
        <v>45728</v>
      </c>
      <c r="AWT2" s="277">
        <v>45729</v>
      </c>
      <c r="AWU2" s="277">
        <v>45730</v>
      </c>
      <c r="AWV2" s="277">
        <v>45733</v>
      </c>
      <c r="AWW2" s="277">
        <v>45734</v>
      </c>
      <c r="AWX2" s="277">
        <v>45735</v>
      </c>
      <c r="AWY2" s="277">
        <v>45736</v>
      </c>
      <c r="AWZ2" s="277">
        <v>45737</v>
      </c>
      <c r="AXA2" s="277">
        <v>45740</v>
      </c>
      <c r="AXB2" s="277">
        <v>45741</v>
      </c>
      <c r="AXC2" s="277">
        <v>45742</v>
      </c>
      <c r="AXD2" s="277">
        <v>45743</v>
      </c>
      <c r="AXE2" s="277">
        <v>45744</v>
      </c>
      <c r="AXF2" s="277">
        <v>45747</v>
      </c>
      <c r="AXG2" s="277">
        <v>45748</v>
      </c>
      <c r="AXH2" s="277">
        <v>45749</v>
      </c>
      <c r="AXI2" s="277">
        <v>45750</v>
      </c>
      <c r="AXJ2" s="277">
        <v>45751</v>
      </c>
      <c r="AXK2" s="277">
        <v>45754</v>
      </c>
      <c r="AXL2" s="277">
        <v>45755</v>
      </c>
      <c r="AXM2" s="277">
        <v>45756</v>
      </c>
      <c r="AXN2" s="277">
        <v>45757</v>
      </c>
      <c r="AXO2" s="277">
        <v>45758</v>
      </c>
      <c r="AXP2" s="277">
        <v>45761</v>
      </c>
      <c r="AXQ2" s="277">
        <v>45762</v>
      </c>
      <c r="AXR2" s="277">
        <v>45763</v>
      </c>
      <c r="AXS2" s="277">
        <v>45764</v>
      </c>
      <c r="AXT2" s="277">
        <v>45765</v>
      </c>
      <c r="AXU2" s="277">
        <v>45768</v>
      </c>
      <c r="AXV2" s="277">
        <v>45769</v>
      </c>
      <c r="AXW2" s="277">
        <v>45770</v>
      </c>
      <c r="AXX2" s="277">
        <v>45771</v>
      </c>
      <c r="AXY2" s="277">
        <v>45772</v>
      </c>
      <c r="AXZ2" s="277">
        <v>45775</v>
      </c>
      <c r="AYA2" s="277">
        <v>45776</v>
      </c>
      <c r="AYB2" s="277">
        <v>45777</v>
      </c>
      <c r="AYC2" s="277">
        <v>45782</v>
      </c>
      <c r="AYD2" s="277">
        <v>45783</v>
      </c>
      <c r="AYE2" s="277">
        <v>45784</v>
      </c>
      <c r="AYF2" s="277">
        <v>45789</v>
      </c>
      <c r="AYG2" s="277">
        <v>45790</v>
      </c>
      <c r="AYH2" s="277">
        <v>45791</v>
      </c>
      <c r="AYI2" s="277">
        <v>45792</v>
      </c>
      <c r="AYJ2" s="277">
        <v>45793</v>
      </c>
      <c r="AYK2" s="277">
        <v>45796</v>
      </c>
      <c r="AYL2" s="277">
        <v>45797</v>
      </c>
      <c r="AYM2" s="277">
        <v>45798</v>
      </c>
      <c r="AYN2" s="277">
        <v>45799</v>
      </c>
      <c r="AYO2" s="277">
        <v>45800</v>
      </c>
      <c r="AYP2" s="277">
        <v>45803</v>
      </c>
      <c r="AYQ2" s="277">
        <v>45804</v>
      </c>
      <c r="AYR2" s="277">
        <v>45805</v>
      </c>
      <c r="AYS2" s="277">
        <v>45806</v>
      </c>
      <c r="AYT2" s="277">
        <v>45807</v>
      </c>
      <c r="AYU2" s="277">
        <v>45810</v>
      </c>
      <c r="AYV2" s="277">
        <v>45811</v>
      </c>
      <c r="AYW2" s="277">
        <v>45812</v>
      </c>
      <c r="AYX2" s="277">
        <v>45813</v>
      </c>
      <c r="AYY2" s="277">
        <v>45814</v>
      </c>
      <c r="AYZ2" s="277">
        <v>45817</v>
      </c>
      <c r="AZA2" s="277">
        <v>45818</v>
      </c>
      <c r="AZB2" s="277">
        <v>45819</v>
      </c>
      <c r="AZC2" s="277">
        <v>45824</v>
      </c>
      <c r="AZD2" s="277">
        <v>45825</v>
      </c>
      <c r="AZE2" s="277">
        <v>45826</v>
      </c>
      <c r="AZF2" s="277">
        <v>45827</v>
      </c>
      <c r="AZG2" s="277">
        <v>45828</v>
      </c>
      <c r="AZH2" s="277">
        <v>45831</v>
      </c>
      <c r="AZI2" s="277">
        <v>45832</v>
      </c>
      <c r="AZJ2" s="277">
        <v>45833</v>
      </c>
      <c r="AZK2" s="277">
        <v>45834</v>
      </c>
      <c r="AZL2" s="277">
        <v>45835</v>
      </c>
      <c r="AZM2" s="277">
        <v>45838</v>
      </c>
      <c r="AZN2" s="277">
        <v>45839</v>
      </c>
      <c r="AZO2" s="277">
        <v>45840</v>
      </c>
      <c r="AZP2" s="277">
        <v>45841</v>
      </c>
      <c r="AZQ2" s="277">
        <v>45842</v>
      </c>
      <c r="AZR2" s="277">
        <v>45845</v>
      </c>
      <c r="AZS2" s="277">
        <v>45846</v>
      </c>
      <c r="AZT2" s="277">
        <v>45847</v>
      </c>
      <c r="AZU2" s="277">
        <v>45848</v>
      </c>
      <c r="AZV2" s="277">
        <v>45849</v>
      </c>
      <c r="AZW2" s="277">
        <v>45852</v>
      </c>
      <c r="AZX2" s="277">
        <v>45853</v>
      </c>
      <c r="AZY2" s="277">
        <v>45854</v>
      </c>
      <c r="AZZ2" s="277">
        <v>45855</v>
      </c>
      <c r="BAA2" s="277">
        <v>45856</v>
      </c>
      <c r="BAB2" s="277">
        <v>45859</v>
      </c>
      <c r="BAC2" s="277">
        <v>45860</v>
      </c>
      <c r="BAD2" s="277">
        <v>45861</v>
      </c>
      <c r="BAE2" s="277">
        <v>45862</v>
      </c>
      <c r="BAF2" s="277">
        <v>45863</v>
      </c>
      <c r="BAG2" s="277">
        <v>45866</v>
      </c>
      <c r="BAH2" s="277">
        <v>45867</v>
      </c>
      <c r="BAI2" s="277">
        <v>45868</v>
      </c>
      <c r="BAJ2" s="277">
        <v>45869</v>
      </c>
      <c r="BAK2" s="277">
        <v>45870</v>
      </c>
      <c r="BAL2" s="277">
        <v>45873</v>
      </c>
      <c r="BAM2" s="277">
        <v>45874</v>
      </c>
      <c r="BAN2" s="277">
        <v>45875</v>
      </c>
      <c r="BAO2" s="277">
        <v>45876</v>
      </c>
      <c r="BAP2" s="277">
        <v>45877</v>
      </c>
      <c r="BAQ2" s="277">
        <v>45880</v>
      </c>
    </row>
    <row r="3" spans="1:1395" s="218" customFormat="1" ht="12.75" hidden="1" customHeight="1" outlineLevel="1" x14ac:dyDescent="0.2">
      <c r="B3" s="264" t="s">
        <v>132</v>
      </c>
      <c r="C3" s="218">
        <v>520300.34</v>
      </c>
      <c r="RE3" s="300"/>
      <c r="RF3" s="300"/>
      <c r="RG3" s="300"/>
      <c r="RH3" s="300"/>
      <c r="RI3" s="300"/>
      <c r="RJ3" s="300"/>
      <c r="RR3" s="300"/>
      <c r="RS3" s="300"/>
      <c r="RT3" s="300"/>
    </row>
    <row r="4" spans="1:1395" s="218" customFormat="1" ht="12.75" hidden="1" customHeight="1" outlineLevel="1" x14ac:dyDescent="0.2">
      <c r="B4" s="217"/>
      <c r="RE4" s="300"/>
      <c r="RF4" s="300"/>
      <c r="RG4" s="300"/>
      <c r="RH4" s="300"/>
      <c r="RI4" s="300"/>
      <c r="RJ4" s="300"/>
      <c r="RR4" s="300"/>
      <c r="RS4" s="300"/>
      <c r="RT4" s="300"/>
    </row>
    <row r="5" spans="1:1395" s="218" customFormat="1" ht="13.5" hidden="1" customHeight="1" outlineLevel="1" x14ac:dyDescent="0.2">
      <c r="A5" s="481" t="s">
        <v>79</v>
      </c>
      <c r="B5" s="217" t="s">
        <v>130</v>
      </c>
      <c r="RE5" s="300"/>
      <c r="RF5" s="300"/>
      <c r="RG5" s="300"/>
      <c r="RH5" s="300"/>
      <c r="RI5" s="300"/>
      <c r="RJ5" s="300"/>
      <c r="RR5" s="300"/>
      <c r="RS5" s="300"/>
      <c r="RT5" s="300"/>
    </row>
    <row r="6" spans="1:1395" s="218" customFormat="1" ht="13.5" hidden="1" customHeight="1" outlineLevel="1" x14ac:dyDescent="0.2">
      <c r="A6" s="481"/>
      <c r="B6" s="217" t="s">
        <v>75</v>
      </c>
      <c r="RE6" s="300"/>
      <c r="RF6" s="300"/>
      <c r="RG6" s="300"/>
      <c r="RH6" s="300"/>
      <c r="RI6" s="300"/>
      <c r="RJ6" s="300"/>
      <c r="RR6" s="300"/>
      <c r="RS6" s="300"/>
      <c r="RT6" s="300"/>
    </row>
    <row r="7" spans="1:1395" s="218" customFormat="1" ht="12.75" hidden="1" customHeight="1" outlineLevel="1" x14ac:dyDescent="0.2">
      <c r="A7" s="481"/>
      <c r="RE7" s="300"/>
      <c r="RF7" s="300"/>
      <c r="RG7" s="300"/>
      <c r="RH7" s="300"/>
      <c r="RI7" s="300"/>
      <c r="RJ7" s="300"/>
      <c r="RR7" s="300"/>
      <c r="RS7" s="300"/>
      <c r="RT7" s="300"/>
    </row>
    <row r="8" spans="1:1395" s="221" customFormat="1" ht="12.75" hidden="1" customHeight="1" outlineLevel="1" x14ac:dyDescent="0.2">
      <c r="A8" s="478" t="s">
        <v>136</v>
      </c>
      <c r="B8" s="220"/>
      <c r="RE8" s="301"/>
      <c r="RF8" s="301"/>
      <c r="RG8" s="301"/>
      <c r="RH8" s="301"/>
      <c r="RI8" s="301"/>
      <c r="RJ8" s="301"/>
      <c r="RR8" s="301"/>
      <c r="RS8" s="301"/>
      <c r="RT8" s="301"/>
      <c r="UJ8" s="218"/>
      <c r="UK8" s="218"/>
      <c r="UL8" s="218"/>
      <c r="UM8" s="218"/>
      <c r="UN8" s="218"/>
      <c r="UO8" s="218"/>
      <c r="UP8" s="218"/>
      <c r="UQ8" s="218"/>
      <c r="UR8" s="218"/>
      <c r="US8" s="218"/>
      <c r="UT8" s="218"/>
      <c r="UU8" s="218"/>
      <c r="UV8" s="218"/>
      <c r="UW8" s="218"/>
      <c r="UX8" s="218"/>
      <c r="UY8" s="218"/>
      <c r="UZ8" s="218"/>
      <c r="VA8" s="218"/>
      <c r="VB8" s="218"/>
      <c r="VC8" s="218"/>
      <c r="VD8" s="218"/>
      <c r="VE8" s="218"/>
      <c r="VF8" s="218"/>
      <c r="VG8" s="218"/>
      <c r="VH8" s="218"/>
      <c r="VI8" s="218"/>
      <c r="VJ8" s="218"/>
      <c r="VK8" s="218"/>
      <c r="VL8" s="218"/>
      <c r="VM8" s="218"/>
      <c r="VN8" s="218"/>
      <c r="VO8" s="218"/>
      <c r="VP8" s="218"/>
      <c r="VQ8" s="218"/>
      <c r="VR8" s="218"/>
      <c r="VS8" s="218"/>
      <c r="VT8" s="218"/>
      <c r="VU8" s="218"/>
      <c r="VV8" s="218"/>
      <c r="VW8" s="218"/>
      <c r="VX8" s="218"/>
      <c r="VY8" s="218"/>
      <c r="VZ8" s="218"/>
      <c r="WA8" s="218"/>
      <c r="WB8" s="218"/>
      <c r="WC8" s="218"/>
      <c r="WD8" s="218"/>
      <c r="WE8" s="218"/>
      <c r="WF8" s="218"/>
      <c r="WG8" s="218"/>
      <c r="WH8" s="218"/>
      <c r="WI8" s="218"/>
    </row>
    <row r="9" spans="1:1395" s="218" customFormat="1" ht="12.75" hidden="1" customHeight="1" outlineLevel="1" x14ac:dyDescent="0.2">
      <c r="A9" s="479"/>
      <c r="B9" s="217" t="s">
        <v>75</v>
      </c>
      <c r="RE9" s="302"/>
      <c r="RF9" s="302"/>
      <c r="RG9" s="302"/>
      <c r="RH9" s="302"/>
      <c r="RI9" s="302"/>
      <c r="RJ9" s="302"/>
      <c r="RR9" s="302"/>
      <c r="RS9" s="302"/>
      <c r="RT9" s="302"/>
    </row>
    <row r="10" spans="1:1395" s="218" customFormat="1" ht="12.75" hidden="1" customHeight="1" outlineLevel="1" x14ac:dyDescent="0.2">
      <c r="A10" s="479"/>
      <c r="RE10" s="302"/>
      <c r="RF10" s="302"/>
      <c r="RG10" s="302"/>
      <c r="RH10" s="302"/>
      <c r="RI10" s="302"/>
      <c r="RJ10" s="302"/>
      <c r="RR10" s="302"/>
      <c r="RS10" s="302"/>
      <c r="RT10" s="302"/>
    </row>
    <row r="11" spans="1:1395" s="219" customFormat="1" ht="29.25" hidden="1" customHeight="1" outlineLevel="1" x14ac:dyDescent="0.2">
      <c r="A11" s="230" t="s">
        <v>111</v>
      </c>
      <c r="RE11" s="303"/>
      <c r="RF11" s="303"/>
      <c r="RG11" s="303"/>
      <c r="RH11" s="303"/>
      <c r="RI11" s="303"/>
      <c r="RJ11" s="303"/>
      <c r="RR11" s="303"/>
      <c r="RS11" s="303"/>
      <c r="RT11" s="303"/>
      <c r="UJ11" s="218"/>
      <c r="UK11" s="218"/>
      <c r="UL11" s="218"/>
      <c r="UM11" s="218"/>
      <c r="UN11" s="218"/>
      <c r="UO11" s="218"/>
      <c r="UP11" s="218"/>
      <c r="UQ11" s="218"/>
      <c r="UR11" s="218"/>
      <c r="US11" s="218"/>
      <c r="UT11" s="218"/>
      <c r="UU11" s="218"/>
      <c r="UV11" s="218"/>
      <c r="UW11" s="218"/>
      <c r="UX11" s="218"/>
      <c r="UY11" s="218"/>
      <c r="UZ11" s="218"/>
      <c r="VA11" s="218"/>
      <c r="VB11" s="218"/>
      <c r="VC11" s="218"/>
      <c r="VD11" s="218"/>
      <c r="VE11" s="218"/>
      <c r="VF11" s="218"/>
      <c r="VG11" s="218"/>
      <c r="VH11" s="218"/>
      <c r="VI11" s="218"/>
      <c r="VJ11" s="218"/>
      <c r="VK11" s="218"/>
      <c r="VL11" s="218"/>
      <c r="VM11" s="218"/>
      <c r="VN11" s="218"/>
      <c r="VO11" s="218"/>
      <c r="VP11" s="218"/>
      <c r="VQ11" s="218"/>
      <c r="VR11" s="218"/>
      <c r="VS11" s="218"/>
      <c r="VT11" s="218"/>
      <c r="VU11" s="218"/>
      <c r="VV11" s="218"/>
      <c r="VW11" s="218"/>
      <c r="VX11" s="218"/>
      <c r="VY11" s="218"/>
      <c r="VZ11" s="218"/>
      <c r="WA11" s="218"/>
      <c r="WB11" s="218"/>
      <c r="WC11" s="218"/>
      <c r="WD11" s="218"/>
      <c r="WE11" s="218"/>
      <c r="WF11" s="218"/>
      <c r="WG11" s="218"/>
      <c r="WH11" s="218"/>
      <c r="WI11" s="218"/>
    </row>
    <row r="12" spans="1:1395" s="218" customFormat="1" ht="12.75" hidden="1" customHeight="1" outlineLevel="1" x14ac:dyDescent="0.2">
      <c r="A12" s="222"/>
      <c r="RE12" s="300"/>
      <c r="RF12" s="300"/>
      <c r="RG12" s="300"/>
      <c r="RH12" s="300"/>
      <c r="RI12" s="300"/>
      <c r="RJ12" s="300"/>
      <c r="RR12" s="300"/>
      <c r="RS12" s="300"/>
      <c r="RT12" s="300"/>
    </row>
    <row r="13" spans="1:1395" s="221" customFormat="1" ht="12.75" hidden="1" customHeight="1" outlineLevel="1" x14ac:dyDescent="0.2">
      <c r="A13" s="478" t="s">
        <v>110</v>
      </c>
      <c r="B13" s="220"/>
      <c r="RE13" s="301"/>
      <c r="RF13" s="301"/>
      <c r="RG13" s="301"/>
      <c r="RH13" s="301"/>
      <c r="RI13" s="301"/>
      <c r="RJ13" s="301"/>
      <c r="RR13" s="301"/>
      <c r="RS13" s="301"/>
      <c r="RT13" s="301"/>
      <c r="UJ13" s="218"/>
      <c r="UK13" s="218"/>
      <c r="UL13" s="218"/>
      <c r="UM13" s="218"/>
      <c r="UN13" s="218"/>
      <c r="UO13" s="218"/>
      <c r="UP13" s="218"/>
      <c r="UQ13" s="218"/>
      <c r="UR13" s="218"/>
      <c r="US13" s="218"/>
      <c r="UT13" s="218"/>
      <c r="UU13" s="218"/>
      <c r="UV13" s="218"/>
      <c r="UW13" s="218"/>
      <c r="UX13" s="218"/>
      <c r="UY13" s="218"/>
      <c r="UZ13" s="218"/>
      <c r="VA13" s="218"/>
      <c r="VB13" s="218"/>
      <c r="VC13" s="218"/>
      <c r="VD13" s="218"/>
      <c r="VE13" s="218"/>
      <c r="VF13" s="218"/>
      <c r="VG13" s="218"/>
      <c r="VH13" s="218"/>
      <c r="VI13" s="218"/>
      <c r="VJ13" s="218"/>
      <c r="VK13" s="218"/>
      <c r="VL13" s="218"/>
      <c r="VM13" s="218"/>
      <c r="VN13" s="218"/>
      <c r="VO13" s="218"/>
      <c r="VP13" s="218"/>
      <c r="VQ13" s="218"/>
      <c r="VR13" s="218"/>
      <c r="VS13" s="218"/>
      <c r="VT13" s="218"/>
      <c r="VU13" s="218"/>
      <c r="VV13" s="218"/>
      <c r="VW13" s="218"/>
      <c r="VX13" s="218"/>
      <c r="VY13" s="218"/>
      <c r="VZ13" s="218"/>
      <c r="WA13" s="218"/>
      <c r="WB13" s="218"/>
      <c r="WC13" s="218"/>
      <c r="WD13" s="218"/>
      <c r="WE13" s="218"/>
      <c r="WF13" s="218"/>
      <c r="WG13" s="218"/>
      <c r="WH13" s="218"/>
      <c r="WI13" s="218"/>
    </row>
    <row r="14" spans="1:1395" s="218" customFormat="1" ht="12.75" hidden="1" customHeight="1" outlineLevel="1" x14ac:dyDescent="0.2">
      <c r="A14" s="479"/>
      <c r="B14" s="217" t="s">
        <v>75</v>
      </c>
      <c r="RE14" s="302"/>
      <c r="RF14" s="302"/>
      <c r="RG14" s="302"/>
      <c r="RH14" s="302"/>
      <c r="RI14" s="302"/>
      <c r="RJ14" s="302"/>
      <c r="RR14" s="302"/>
      <c r="RS14" s="302"/>
      <c r="RT14" s="302"/>
    </row>
    <row r="15" spans="1:1395" s="218" customFormat="1" ht="12.75" hidden="1" customHeight="1" outlineLevel="1" x14ac:dyDescent="0.2">
      <c r="A15" s="479"/>
      <c r="RE15" s="302"/>
      <c r="RF15" s="302"/>
      <c r="RG15" s="302"/>
      <c r="RH15" s="302"/>
      <c r="RI15" s="302"/>
      <c r="RJ15" s="302"/>
      <c r="RR15" s="302"/>
      <c r="RS15" s="302"/>
      <c r="RT15" s="302"/>
    </row>
    <row r="16" spans="1:1395" s="219" customFormat="1" ht="29.25" hidden="1" customHeight="1" outlineLevel="1" x14ac:dyDescent="0.2">
      <c r="A16" s="230" t="s">
        <v>111</v>
      </c>
      <c r="RE16" s="303"/>
      <c r="RF16" s="303"/>
      <c r="RG16" s="303"/>
      <c r="RH16" s="303"/>
      <c r="RI16" s="303"/>
      <c r="RJ16" s="303"/>
      <c r="RR16" s="303"/>
      <c r="RS16" s="303"/>
      <c r="RT16" s="303"/>
      <c r="UJ16" s="218"/>
      <c r="UK16" s="218"/>
      <c r="UL16" s="218"/>
      <c r="UM16" s="218"/>
      <c r="UN16" s="218"/>
      <c r="UO16" s="218"/>
      <c r="UP16" s="218"/>
      <c r="UQ16" s="218"/>
      <c r="UR16" s="218"/>
      <c r="US16" s="218"/>
      <c r="UT16" s="218"/>
      <c r="UU16" s="218"/>
      <c r="UV16" s="218"/>
      <c r="UW16" s="218"/>
      <c r="UX16" s="218"/>
      <c r="UY16" s="218"/>
      <c r="UZ16" s="218"/>
      <c r="VA16" s="218"/>
      <c r="VB16" s="218"/>
      <c r="VC16" s="218"/>
      <c r="VD16" s="218"/>
      <c r="VE16" s="218"/>
      <c r="VF16" s="218"/>
      <c r="VG16" s="218"/>
      <c r="VH16" s="218"/>
      <c r="VI16" s="218"/>
      <c r="VJ16" s="218"/>
      <c r="VK16" s="218"/>
      <c r="VL16" s="218"/>
      <c r="VM16" s="218"/>
      <c r="VN16" s="218"/>
      <c r="VO16" s="218"/>
      <c r="VP16" s="218"/>
      <c r="VQ16" s="218"/>
      <c r="VR16" s="218"/>
      <c r="VS16" s="218"/>
      <c r="VT16" s="218"/>
      <c r="VU16" s="218"/>
      <c r="VV16" s="218"/>
      <c r="VW16" s="218"/>
      <c r="VX16" s="218"/>
      <c r="VY16" s="218"/>
      <c r="VZ16" s="218"/>
      <c r="WA16" s="218"/>
      <c r="WB16" s="218"/>
      <c r="WC16" s="218"/>
      <c r="WD16" s="218"/>
      <c r="WE16" s="218"/>
      <c r="WF16" s="218"/>
      <c r="WG16" s="218"/>
      <c r="WH16" s="218"/>
      <c r="WI16" s="218"/>
    </row>
    <row r="17" spans="1:1395" s="218" customFormat="1" ht="12.75" hidden="1" customHeight="1" outlineLevel="1" x14ac:dyDescent="0.2">
      <c r="A17" s="222"/>
      <c r="RE17" s="300"/>
      <c r="RF17" s="300"/>
      <c r="RG17" s="300"/>
      <c r="RH17" s="300"/>
      <c r="RI17" s="300"/>
      <c r="RJ17" s="300"/>
      <c r="RR17" s="300"/>
      <c r="RS17" s="300"/>
      <c r="RT17" s="300"/>
    </row>
    <row r="18" spans="1:1395" s="218" customFormat="1" ht="15.75" hidden="1" customHeight="1" outlineLevel="1" x14ac:dyDescent="0.2">
      <c r="A18" s="479" t="s">
        <v>80</v>
      </c>
      <c r="B18" s="217" t="s">
        <v>130</v>
      </c>
      <c r="RE18" s="300"/>
      <c r="RF18" s="300"/>
      <c r="RG18" s="300"/>
      <c r="RH18" s="300"/>
      <c r="RI18" s="300"/>
      <c r="RJ18" s="300"/>
      <c r="RR18" s="300"/>
      <c r="RS18" s="300"/>
      <c r="RT18" s="300"/>
    </row>
    <row r="19" spans="1:1395" s="218" customFormat="1" ht="15.75" hidden="1" customHeight="1" outlineLevel="1" x14ac:dyDescent="0.2">
      <c r="A19" s="479"/>
      <c r="B19" s="217" t="s">
        <v>75</v>
      </c>
      <c r="RE19" s="300"/>
      <c r="RF19" s="300"/>
      <c r="RG19" s="300"/>
      <c r="RH19" s="300"/>
      <c r="RI19" s="300"/>
      <c r="RJ19" s="300"/>
      <c r="RR19" s="300"/>
      <c r="RS19" s="300"/>
      <c r="RT19" s="300"/>
    </row>
    <row r="20" spans="1:1395" s="218" customFormat="1" ht="12.75" hidden="1" customHeight="1" outlineLevel="1" x14ac:dyDescent="0.2">
      <c r="A20" s="479"/>
      <c r="RE20" s="300"/>
      <c r="RF20" s="300"/>
      <c r="RG20" s="300"/>
      <c r="RH20" s="300"/>
      <c r="RI20" s="300"/>
      <c r="RJ20" s="300"/>
      <c r="RR20" s="300"/>
      <c r="RS20" s="300"/>
      <c r="RT20" s="300"/>
    </row>
    <row r="21" spans="1:1395" s="223" customFormat="1" ht="12.75" hidden="1" customHeight="1" outlineLevel="1" x14ac:dyDescent="0.2">
      <c r="A21" s="477" t="s">
        <v>81</v>
      </c>
      <c r="B21" s="477"/>
      <c r="RE21" s="304"/>
      <c r="RF21" s="304"/>
      <c r="RG21" s="304"/>
      <c r="RH21" s="304"/>
      <c r="RI21" s="304"/>
      <c r="RJ21" s="304"/>
      <c r="RR21" s="304"/>
      <c r="RS21" s="304"/>
      <c r="RT21" s="304"/>
    </row>
    <row r="22" spans="1:1395" s="224" customFormat="1" ht="12.75" hidden="1" customHeight="1" outlineLevel="1" x14ac:dyDescent="0.2">
      <c r="A22" s="478" t="s">
        <v>112</v>
      </c>
      <c r="B22" s="221"/>
      <c r="RE22" s="305"/>
      <c r="RF22" s="305"/>
      <c r="RG22" s="305"/>
      <c r="RH22" s="305"/>
      <c r="RI22" s="305"/>
      <c r="RJ22" s="305"/>
      <c r="RR22" s="305"/>
      <c r="RS22" s="305"/>
      <c r="RT22" s="305"/>
      <c r="UJ22" s="223"/>
      <c r="UK22" s="223"/>
      <c r="UL22" s="223"/>
      <c r="UM22" s="223"/>
      <c r="UN22" s="223"/>
      <c r="UO22" s="223"/>
      <c r="UP22" s="223"/>
      <c r="UQ22" s="223"/>
      <c r="UR22" s="223"/>
      <c r="US22" s="223"/>
      <c r="UT22" s="223"/>
      <c r="UU22" s="223"/>
      <c r="UV22" s="223"/>
      <c r="UW22" s="223"/>
      <c r="UX22" s="223"/>
      <c r="UY22" s="223"/>
      <c r="UZ22" s="223"/>
      <c r="VA22" s="223"/>
      <c r="VB22" s="223"/>
      <c r="VC22" s="223"/>
      <c r="VD22" s="223"/>
      <c r="VE22" s="223"/>
      <c r="VF22" s="223"/>
      <c r="VG22" s="223"/>
      <c r="VH22" s="223"/>
      <c r="VI22" s="223"/>
      <c r="VJ22" s="223"/>
      <c r="VK22" s="223"/>
      <c r="VL22" s="223"/>
      <c r="VM22" s="223"/>
      <c r="VN22" s="223"/>
      <c r="VO22" s="223"/>
      <c r="VP22" s="223"/>
      <c r="VQ22" s="223"/>
      <c r="VR22" s="223"/>
      <c r="VS22" s="223"/>
      <c r="VT22" s="223"/>
      <c r="VU22" s="223"/>
      <c r="VV22" s="223"/>
      <c r="VW22" s="223"/>
      <c r="VX22" s="223"/>
      <c r="VY22" s="223"/>
      <c r="VZ22" s="223"/>
      <c r="WA22" s="223"/>
      <c r="WB22" s="223"/>
      <c r="WC22" s="223"/>
      <c r="WD22" s="223"/>
      <c r="WE22" s="223"/>
      <c r="WF22" s="223"/>
      <c r="WG22" s="223"/>
      <c r="WH22" s="223"/>
      <c r="WI22" s="223"/>
    </row>
    <row r="23" spans="1:1395" s="223" customFormat="1" ht="12.75" hidden="1" customHeight="1" outlineLevel="1" x14ac:dyDescent="0.2">
      <c r="A23" s="481"/>
      <c r="B23" s="217" t="s">
        <v>130</v>
      </c>
      <c r="RE23" s="306"/>
      <c r="RF23" s="306"/>
      <c r="RG23" s="306"/>
      <c r="RH23" s="306"/>
      <c r="RI23" s="306"/>
      <c r="RJ23" s="306"/>
      <c r="RR23" s="306"/>
      <c r="RS23" s="306"/>
      <c r="RT23" s="306"/>
    </row>
    <row r="24" spans="1:1395" s="223" customFormat="1" ht="12.75" hidden="1" customHeight="1" outlineLevel="1" x14ac:dyDescent="0.2">
      <c r="A24" s="481"/>
      <c r="B24" s="217" t="s">
        <v>75</v>
      </c>
      <c r="RE24" s="306"/>
      <c r="RF24" s="306"/>
      <c r="RG24" s="306"/>
      <c r="RH24" s="306"/>
      <c r="RI24" s="306"/>
      <c r="RJ24" s="306"/>
      <c r="RR24" s="306"/>
      <c r="RS24" s="306"/>
      <c r="RT24" s="306"/>
    </row>
    <row r="25" spans="1:1395" s="226" customFormat="1" ht="12.75" hidden="1" customHeight="1" outlineLevel="1" x14ac:dyDescent="0.2">
      <c r="A25" s="482"/>
      <c r="B25" s="225"/>
      <c r="RE25" s="307"/>
      <c r="RF25" s="307"/>
      <c r="RG25" s="307"/>
      <c r="RH25" s="307"/>
      <c r="RI25" s="307"/>
      <c r="RJ25" s="307"/>
      <c r="RR25" s="307"/>
      <c r="RS25" s="307"/>
      <c r="RT25" s="307"/>
      <c r="UJ25" s="223"/>
      <c r="UK25" s="223"/>
      <c r="UL25" s="223"/>
      <c r="UM25" s="223"/>
      <c r="UN25" s="223"/>
      <c r="UO25" s="223"/>
      <c r="UP25" s="223"/>
      <c r="UQ25" s="223"/>
      <c r="UR25" s="223"/>
      <c r="US25" s="223"/>
      <c r="UT25" s="223"/>
      <c r="UU25" s="223"/>
      <c r="UV25" s="223"/>
      <c r="UW25" s="223"/>
      <c r="UX25" s="223"/>
      <c r="UY25" s="223"/>
      <c r="UZ25" s="223"/>
      <c r="VA25" s="223"/>
      <c r="VB25" s="223"/>
      <c r="VC25" s="223"/>
      <c r="VD25" s="223"/>
      <c r="VE25" s="223"/>
      <c r="VF25" s="223"/>
      <c r="VG25" s="223"/>
      <c r="VH25" s="223"/>
      <c r="VI25" s="223"/>
      <c r="VJ25" s="223"/>
      <c r="VK25" s="223"/>
      <c r="VL25" s="223"/>
      <c r="VM25" s="223"/>
      <c r="VN25" s="223"/>
      <c r="VO25" s="223"/>
      <c r="VP25" s="223"/>
      <c r="VQ25" s="223"/>
      <c r="VR25" s="223"/>
      <c r="VS25" s="223"/>
      <c r="VT25" s="223"/>
      <c r="VU25" s="223"/>
      <c r="VV25" s="223"/>
      <c r="VW25" s="223"/>
      <c r="VX25" s="223"/>
      <c r="VY25" s="223"/>
      <c r="VZ25" s="223"/>
      <c r="WA25" s="223"/>
      <c r="WB25" s="223"/>
      <c r="WC25" s="223"/>
      <c r="WD25" s="223"/>
      <c r="WE25" s="223"/>
      <c r="WF25" s="223"/>
      <c r="WG25" s="223"/>
      <c r="WH25" s="223"/>
      <c r="WI25" s="223"/>
    </row>
    <row r="26" spans="1:1395" s="228" customFormat="1" ht="29.25" hidden="1" customHeight="1" outlineLevel="1" x14ac:dyDescent="0.2">
      <c r="A26" s="230" t="s">
        <v>111</v>
      </c>
      <c r="B26" s="227"/>
      <c r="RE26" s="308"/>
      <c r="RF26" s="308"/>
      <c r="RG26" s="308"/>
      <c r="RH26" s="308"/>
      <c r="RI26" s="308"/>
      <c r="RJ26" s="308"/>
      <c r="RR26" s="308"/>
      <c r="RS26" s="308"/>
      <c r="RT26" s="308"/>
      <c r="UJ26" s="223"/>
      <c r="UK26" s="223"/>
      <c r="UL26" s="223"/>
      <c r="UM26" s="223"/>
      <c r="UN26" s="223"/>
      <c r="UO26" s="223"/>
      <c r="UP26" s="223"/>
      <c r="UQ26" s="223"/>
      <c r="UR26" s="223"/>
      <c r="US26" s="223"/>
      <c r="UT26" s="223"/>
      <c r="UU26" s="223"/>
      <c r="UV26" s="223"/>
      <c r="UW26" s="223"/>
      <c r="UX26" s="223"/>
      <c r="UY26" s="223"/>
      <c r="UZ26" s="223"/>
      <c r="VA26" s="223"/>
      <c r="VB26" s="223"/>
      <c r="VC26" s="223"/>
      <c r="VD26" s="223"/>
      <c r="VE26" s="223"/>
      <c r="VF26" s="223"/>
      <c r="VG26" s="223"/>
      <c r="VH26" s="223"/>
      <c r="VI26" s="223"/>
      <c r="VJ26" s="223"/>
      <c r="VK26" s="223"/>
      <c r="VL26" s="223"/>
      <c r="VM26" s="223"/>
      <c r="VN26" s="223"/>
      <c r="VO26" s="223"/>
      <c r="VP26" s="223"/>
      <c r="VQ26" s="223"/>
      <c r="VR26" s="223"/>
      <c r="VS26" s="223"/>
      <c r="VT26" s="223"/>
      <c r="VU26" s="223"/>
      <c r="VV26" s="223"/>
      <c r="VW26" s="223"/>
      <c r="VX26" s="223"/>
      <c r="VY26" s="223"/>
      <c r="VZ26" s="223"/>
      <c r="WA26" s="223"/>
      <c r="WB26" s="223"/>
      <c r="WC26" s="223"/>
      <c r="WD26" s="223"/>
      <c r="WE26" s="223"/>
      <c r="WF26" s="223"/>
      <c r="WG26" s="223"/>
      <c r="WH26" s="223"/>
      <c r="WI26" s="223"/>
    </row>
    <row r="27" spans="1:1395" s="218" customFormat="1" ht="7.5" hidden="1" customHeight="1" outlineLevel="1" x14ac:dyDescent="0.2">
      <c r="A27" s="222"/>
      <c r="RE27" s="300"/>
      <c r="RF27" s="300"/>
      <c r="RG27" s="300"/>
      <c r="RH27" s="300"/>
      <c r="RI27" s="300"/>
      <c r="RJ27" s="300"/>
      <c r="RR27" s="300"/>
      <c r="RS27" s="300"/>
      <c r="RT27" s="300"/>
    </row>
    <row r="28" spans="1:1395" s="223" customFormat="1" ht="12.75" hidden="1" customHeight="1" outlineLevel="1" x14ac:dyDescent="0.2">
      <c r="A28" s="477" t="s">
        <v>81</v>
      </c>
      <c r="B28" s="477"/>
      <c r="RE28" s="304"/>
      <c r="RF28" s="304"/>
      <c r="RG28" s="304"/>
      <c r="RH28" s="304"/>
      <c r="RI28" s="304"/>
      <c r="RJ28" s="304"/>
      <c r="RR28" s="304"/>
      <c r="RS28" s="304"/>
      <c r="RT28" s="304"/>
    </row>
    <row r="29" spans="1:1395" s="218" customFormat="1" ht="12.75" customHeight="1" collapsed="1" x14ac:dyDescent="0.2">
      <c r="A29" s="222"/>
      <c r="CS29" s="218" t="s">
        <v>167</v>
      </c>
      <c r="RE29" s="300"/>
      <c r="RF29" s="300"/>
      <c r="RG29" s="300"/>
      <c r="RH29" s="300"/>
      <c r="RI29" s="300"/>
      <c r="RJ29" s="300"/>
      <c r="RR29" s="300"/>
      <c r="RS29" s="300"/>
      <c r="RT29" s="300"/>
    </row>
    <row r="30" spans="1:1395" s="218" customFormat="1" x14ac:dyDescent="0.2">
      <c r="A30" s="229"/>
      <c r="B30" s="264" t="s">
        <v>135</v>
      </c>
      <c r="RE30" s="300"/>
      <c r="RF30" s="300"/>
      <c r="RG30" s="300"/>
      <c r="RH30" s="300"/>
      <c r="RI30" s="300"/>
      <c r="RJ30" s="300"/>
      <c r="RR30" s="300"/>
      <c r="RS30" s="300"/>
      <c r="RT30" s="300"/>
    </row>
    <row r="31" spans="1:1395" s="218" customFormat="1" x14ac:dyDescent="0.2">
      <c r="A31" s="229"/>
      <c r="B31" s="223"/>
      <c r="RE31" s="300"/>
      <c r="RF31" s="300"/>
      <c r="RG31" s="300"/>
      <c r="RH31" s="300"/>
      <c r="RI31" s="300"/>
      <c r="RJ31" s="300"/>
      <c r="RR31" s="300"/>
      <c r="RS31" s="300"/>
      <c r="RT31" s="300"/>
    </row>
    <row r="32" spans="1:1395" s="218" customFormat="1" x14ac:dyDescent="0.2">
      <c r="A32" s="483" t="s">
        <v>79</v>
      </c>
      <c r="B32" s="217" t="s">
        <v>130</v>
      </c>
      <c r="C32" s="218">
        <f>11574103.89+160108.24</f>
        <v>11734212.130000001</v>
      </c>
      <c r="D32" s="218">
        <f>11574103.89+160108.24</f>
        <v>11734212.130000001</v>
      </c>
      <c r="E32" s="218">
        <f>11574103.89+160108.24</f>
        <v>11734212.130000001</v>
      </c>
      <c r="F32" s="218">
        <f>5367639.83+160108.24</f>
        <v>5527748.0700000003</v>
      </c>
      <c r="G32" s="218">
        <f>2441429.4+157541.16</f>
        <v>2598970.56</v>
      </c>
      <c r="H32" s="218">
        <f>2441429.4+157541.16</f>
        <v>2598970.56</v>
      </c>
      <c r="I32" s="218">
        <f>18545321.63+157541.16</f>
        <v>18702862.789999999</v>
      </c>
      <c r="J32" s="218">
        <f>13964015.47+157541.16</f>
        <v>14121556.630000001</v>
      </c>
      <c r="K32" s="218">
        <f>14674689.47+157541.16</f>
        <v>14832230.630000001</v>
      </c>
      <c r="L32" s="218">
        <f>14530417.54+157541.16</f>
        <v>14687958.699999999</v>
      </c>
      <c r="M32" s="218">
        <f>17604167.54+157541.16</f>
        <v>17761708.699999999</v>
      </c>
      <c r="N32" s="218">
        <f>1859609.93+157541.16</f>
        <v>2017151.0899999999</v>
      </c>
      <c r="O32" s="218">
        <f>1606849.93+157541.16</f>
        <v>1764391.0899999999</v>
      </c>
      <c r="P32" s="218">
        <f>3650460.78+157541.16</f>
        <v>3808001.94</v>
      </c>
      <c r="Q32" s="218">
        <f>8647924.97+157541.16</f>
        <v>8805466.1300000008</v>
      </c>
      <c r="R32" s="218">
        <f>6947924.97+157541.16</f>
        <v>7105466.1299999999</v>
      </c>
      <c r="S32" s="218">
        <f>4427225.21+157541.16</f>
        <v>4584766.37</v>
      </c>
      <c r="T32" s="218">
        <f>4363463.79+157541.16</f>
        <v>4521004.95</v>
      </c>
      <c r="U32" s="218">
        <f>4363463.79+157541.16</f>
        <v>4521004.95</v>
      </c>
      <c r="V32" s="218">
        <f>16869265.87+157541.16</f>
        <v>17026807.030000001</v>
      </c>
      <c r="W32" s="218">
        <f>1317491.47+157541.16</f>
        <v>1475032.63</v>
      </c>
      <c r="X32" s="218">
        <f>1012134.35+157541.16</f>
        <v>1169675.51</v>
      </c>
      <c r="Y32" s="218">
        <f>11748264.35+157541.16</f>
        <v>11905805.51</v>
      </c>
      <c r="Z32" s="218">
        <f>14377696.15+157541.16</f>
        <v>14535237.310000001</v>
      </c>
      <c r="AA32" s="218">
        <f>157541.16+11736018.92</f>
        <v>11893560.08</v>
      </c>
      <c r="AB32" s="218">
        <f>157541.16+11736018.92</f>
        <v>11893560.08</v>
      </c>
      <c r="AC32" s="218">
        <f>157541.16+4398878.34</f>
        <v>4556419.5</v>
      </c>
      <c r="AD32" s="218">
        <f>157541.16+3809353.74</f>
        <v>3966894.9000000004</v>
      </c>
      <c r="AE32" s="218">
        <f>3020964.96+157541.16</f>
        <v>3178506.12</v>
      </c>
      <c r="AF32" s="218">
        <f>139847.16+3841786.86</f>
        <v>3981634.02</v>
      </c>
      <c r="AG32" s="218">
        <f>3772484.29+139847.16</f>
        <v>3912331.45</v>
      </c>
      <c r="AH32" s="218">
        <f>3787905.48+139847.16</f>
        <v>3927752.64</v>
      </c>
      <c r="AI32" s="218">
        <f>20691590.42+139847.16</f>
        <v>20831437.580000002</v>
      </c>
      <c r="AJ32" s="218">
        <f>18816983.57+139847.16</f>
        <v>18956830.73</v>
      </c>
      <c r="AK32" s="218">
        <f>31283063.21+92160.16</f>
        <v>31375223.370000001</v>
      </c>
      <c r="AL32" s="218">
        <f>28090278.29+223983.16</f>
        <v>28314261.449999999</v>
      </c>
      <c r="AM32" s="218">
        <f>15686016.8+150957.06</f>
        <v>15836973.860000001</v>
      </c>
      <c r="AN32" s="218">
        <f>15686016.8+150957.06</f>
        <v>15836973.860000001</v>
      </c>
      <c r="AO32" s="218">
        <f>2524211.49+142115.06</f>
        <v>2666326.5500000003</v>
      </c>
      <c r="AP32" s="218">
        <f>108642.06+2480943.27</f>
        <v>2589585.33</v>
      </c>
      <c r="AQ32" s="218">
        <f>2091842.27+108642.06</f>
        <v>2200484.33</v>
      </c>
      <c r="AR32" s="218">
        <f>50854.66+1850995.47</f>
        <v>1901850.13</v>
      </c>
      <c r="AS32" s="218">
        <f>39407.66+15731232.43</f>
        <v>15770640.09</v>
      </c>
      <c r="AT32" s="218">
        <f>39407.66+3502560.28</f>
        <v>3541967.94</v>
      </c>
      <c r="AU32" s="218">
        <f>100476.66+3490807.4</f>
        <v>3591284.06</v>
      </c>
      <c r="AV32" s="218">
        <f>100476.66+3490807.4</f>
        <v>3591284.06</v>
      </c>
      <c r="AW32" s="218">
        <f>89314.66+8168966.4</f>
        <v>8258281.0600000005</v>
      </c>
      <c r="AX32" s="218">
        <f>47383.66+3581899.98</f>
        <v>3629283.64</v>
      </c>
      <c r="AY32" s="218">
        <f>38913.66+16052770.01</f>
        <v>16091683.67</v>
      </c>
      <c r="AZ32" s="218">
        <f>3442553.61+38913.66</f>
        <v>3481467.27</v>
      </c>
      <c r="BA32" s="218">
        <f>3349950.49+38913.66</f>
        <v>3388864.1500000004</v>
      </c>
      <c r="BB32" s="218">
        <f>2974096.21+238913.66</f>
        <v>3213009.87</v>
      </c>
      <c r="BC32" s="218">
        <f>2974096.21+238913.66</f>
        <v>3213009.87</v>
      </c>
      <c r="BD32" s="218">
        <f>3488827.31+238913.66</f>
        <v>3727740.97</v>
      </c>
      <c r="BE32" s="218">
        <f>237701.66+318642.06</f>
        <v>556343.72</v>
      </c>
      <c r="BF32" s="218">
        <f>381019.7+237701.66</f>
        <v>618721.36</v>
      </c>
      <c r="BG32" s="218">
        <f>182514.66+3389593.7</f>
        <v>3572108.3600000003</v>
      </c>
      <c r="BH32" s="218">
        <f>2673159.87+182514.66</f>
        <v>2855674.5300000003</v>
      </c>
      <c r="BI32" s="218">
        <f>171743.66+4079239.87</f>
        <v>4250983.53</v>
      </c>
      <c r="BJ32" s="218">
        <f>156242.66+3181199.85</f>
        <v>3337442.5100000002</v>
      </c>
      <c r="BK32" s="218">
        <f>81400.66+3181199.85</f>
        <v>3262600.5100000002</v>
      </c>
      <c r="BL32" s="218">
        <f>14670114.54+81400.66</f>
        <v>14751515.199999999</v>
      </c>
      <c r="BM32" s="218">
        <f>81400.66+14839290.16</f>
        <v>14920690.82</v>
      </c>
      <c r="BN32" s="218">
        <f>4277890.97+81400.66</f>
        <v>4359291.63</v>
      </c>
      <c r="BO32" s="218">
        <f>3414307.94+81400.66</f>
        <v>3495708.6</v>
      </c>
      <c r="BP32" s="218">
        <f>4012130.38+81400.66</f>
        <v>4093531.04</v>
      </c>
      <c r="BQ32" s="218">
        <f>68445.46+4012130.38</f>
        <v>4080575.84</v>
      </c>
      <c r="BR32" s="218">
        <f>66269.66+4012130.38</f>
        <v>4078400.04</v>
      </c>
      <c r="BS32" s="218">
        <f>3952830.56+66269.66</f>
        <v>4019100.22</v>
      </c>
      <c r="BT32" s="218">
        <f>7103892.56+66269.66</f>
        <v>7170162.2199999997</v>
      </c>
      <c r="BU32" s="218">
        <f>7109272.79+66269.66</f>
        <v>7175542.4500000002</v>
      </c>
      <c r="BV32" s="218">
        <f>3937558.45+66269.66</f>
        <v>4003828.1100000003</v>
      </c>
      <c r="BW32" s="218">
        <f>66269.66+6438511.22</f>
        <v>6504780.8799999999</v>
      </c>
      <c r="BX32" s="218">
        <f>22519325.22+66269.66</f>
        <v>22585594.879999999</v>
      </c>
      <c r="BY32" s="218">
        <f>5117307.43+66269.66</f>
        <v>5183577.09</v>
      </c>
      <c r="BZ32" s="218">
        <f>5037827.22+66269.66</f>
        <v>5104096.88</v>
      </c>
      <c r="CA32" s="218">
        <f>4981127.32+66269.66</f>
        <v>5047396.9800000004</v>
      </c>
      <c r="CB32" s="218">
        <f>4981127.32+66269.66</f>
        <v>5047396.9800000004</v>
      </c>
      <c r="CC32" s="218">
        <f>4981127.32+66269.66</f>
        <v>5047396.9800000004</v>
      </c>
      <c r="CD32" s="218">
        <f>4878935.78+66269.66</f>
        <v>4945205.4400000004</v>
      </c>
      <c r="CE32" s="218">
        <f>12440465.76+66269.66</f>
        <v>12506735.42</v>
      </c>
      <c r="CF32" s="218">
        <f>4824930.62+66269.66</f>
        <v>4891200.28</v>
      </c>
      <c r="CG32" s="218">
        <f>4824930.62+66269.66</f>
        <v>4891200.28</v>
      </c>
      <c r="CH32" s="218">
        <f>6443973.38+66269.66</f>
        <v>6510243.04</v>
      </c>
      <c r="CI32" s="218">
        <f>22445855.38+66269.66</f>
        <v>22512125.039999999</v>
      </c>
      <c r="CJ32" s="218">
        <f>2340909.47+66269.66</f>
        <v>2407179.1300000004</v>
      </c>
      <c r="CK32" s="218">
        <f>3254913.67+66269.66</f>
        <v>3321183.33</v>
      </c>
      <c r="CL32" s="218">
        <f>5711135.74+66269.66</f>
        <v>5777405.4000000004</v>
      </c>
      <c r="CM32" s="218">
        <f>2116577.32+66269.66</f>
        <v>2182846.98</v>
      </c>
      <c r="CN32" s="218">
        <f>5557563.32+66269.66</f>
        <v>5623832.9800000004</v>
      </c>
      <c r="CO32" s="218">
        <f>2347481+66269.66</f>
        <v>2413750.66</v>
      </c>
      <c r="CP32" s="218">
        <f>2347481+66269.66</f>
        <v>2413750.66</v>
      </c>
      <c r="CQ32" s="218">
        <f>2283003.05+66269.66</f>
        <v>2349272.71</v>
      </c>
      <c r="CR32" s="218">
        <v>17138222.809999999</v>
      </c>
      <c r="CS32" s="218">
        <v>17077435.989999998</v>
      </c>
      <c r="CT32" s="218">
        <v>2362328.71</v>
      </c>
      <c r="CU32" s="218">
        <v>2265991.4500000002</v>
      </c>
      <c r="CV32" s="218">
        <v>1567381.86</v>
      </c>
      <c r="CW32" s="218">
        <f>2161087.2+66269.66</f>
        <v>2227356.8600000003</v>
      </c>
      <c r="CX32" s="218">
        <v>3106859.68</v>
      </c>
      <c r="CY32" s="218">
        <f>2003002.63+64269.66</f>
        <v>2067272.2899999998</v>
      </c>
      <c r="CZ32" s="218">
        <f>1558382.15+23354.66</f>
        <v>1581736.8099999998</v>
      </c>
      <c r="DA32" s="218">
        <f>13035905.6+23354.66</f>
        <v>13059260.26</v>
      </c>
      <c r="DB32" s="218">
        <f>12984398.21+23354.66</f>
        <v>13007752.870000001</v>
      </c>
      <c r="DC32" s="218">
        <f>12984398.21+23354.66</f>
        <v>13007752.870000001</v>
      </c>
      <c r="DD32" s="218">
        <f>9826378.92+23354.66</f>
        <v>9849733.5800000001</v>
      </c>
      <c r="DE32" s="218">
        <f>3127826.83+23354.66</f>
        <v>3151181.49</v>
      </c>
      <c r="DF32" s="218">
        <f>2542705.96+23354.66</f>
        <v>2566060.62</v>
      </c>
      <c r="DG32" s="218">
        <f>2814515.96+23354.66</f>
        <v>2837870.62</v>
      </c>
      <c r="DH32" s="218">
        <f>24658689.98+23354.66</f>
        <v>24682044.640000001</v>
      </c>
      <c r="DI32" s="218">
        <f>22032216.52+23354.66</f>
        <v>22055571.18</v>
      </c>
      <c r="DJ32" s="218">
        <f>18942515.9+23354.66</f>
        <v>18965870.559999999</v>
      </c>
      <c r="DK32" s="218">
        <f>18954510.17+23354.66</f>
        <v>18977864.830000002</v>
      </c>
      <c r="DL32" s="218">
        <f>18954510.17+23354.66</f>
        <v>18977864.830000002</v>
      </c>
      <c r="DM32" s="218">
        <f>17506800.11+23354.66</f>
        <v>17530154.77</v>
      </c>
      <c r="DN32" s="218">
        <f>3781467.58+23354.66</f>
        <v>3804822.24</v>
      </c>
      <c r="DO32" s="218">
        <f>3804857.37+23354.66</f>
        <v>3828212.0300000003</v>
      </c>
      <c r="DP32" s="218">
        <f>3288314.39+23354.66</f>
        <v>3311669.0500000003</v>
      </c>
      <c r="DQ32" s="218">
        <f>3229858.39+23354.66</f>
        <v>3253213.0500000003</v>
      </c>
      <c r="DR32" s="218">
        <f>3096915.81+23354.66</f>
        <v>3120270.47</v>
      </c>
      <c r="DS32" s="218">
        <f>2656717.17+23354.66</f>
        <v>2680071.83</v>
      </c>
      <c r="DT32" s="218">
        <f>14115443.17+23354.66</f>
        <v>14138797.83</v>
      </c>
      <c r="DU32" s="218">
        <f>13862072.77+23354.66</f>
        <v>13885427.43</v>
      </c>
      <c r="DV32" s="218">
        <f>9365733.95+23354.66</f>
        <v>9389088.6099999994</v>
      </c>
      <c r="DW32" s="218">
        <f>21854.66+3612330.71</f>
        <v>3634185.37</v>
      </c>
      <c r="DX32" s="218">
        <f>3419656.71+21854.66</f>
        <v>3441511.37</v>
      </c>
      <c r="DY32" s="218">
        <f>3402061.17+21854.66</f>
        <v>3423915.83</v>
      </c>
      <c r="DZ32" s="218">
        <f>3247682.64+21854.66</f>
        <v>3269537.3000000003</v>
      </c>
      <c r="EA32" s="218">
        <v>20253519.949999999</v>
      </c>
      <c r="EB32" s="218">
        <v>3519685.59</v>
      </c>
      <c r="EC32" s="218">
        <v>3546348.04</v>
      </c>
      <c r="ED32" s="218">
        <v>5992530.9199999999</v>
      </c>
      <c r="EE32" s="218">
        <v>3158576.78</v>
      </c>
      <c r="EF32" s="218">
        <v>2447786.5499999998</v>
      </c>
      <c r="EG32" s="218">
        <v>3140256.63</v>
      </c>
      <c r="EH32" s="218">
        <v>4958809.28</v>
      </c>
      <c r="EI32" s="218">
        <v>8480663.9399999995</v>
      </c>
      <c r="EJ32" s="218">
        <v>7980663.5700000003</v>
      </c>
      <c r="EK32" s="218">
        <v>20652916.739999998</v>
      </c>
      <c r="EL32" s="218">
        <v>19055320.379999999</v>
      </c>
      <c r="EM32" s="218">
        <f>19522700.29+50804.66</f>
        <v>19573504.949999999</v>
      </c>
      <c r="EN32" s="218">
        <f>19417460.8+50804.66</f>
        <v>19468265.460000001</v>
      </c>
      <c r="EO32" s="218">
        <f>19410318.8+50804.66</f>
        <v>19461123.460000001</v>
      </c>
      <c r="EP32" s="218">
        <f>19406863.46+50804.66</f>
        <v>19457668.120000001</v>
      </c>
      <c r="EQ32" s="218">
        <f>6917489.51+50804.66</f>
        <v>6968294.1699999999</v>
      </c>
      <c r="ER32" s="218">
        <f>12710445.78+419749.66</f>
        <v>13130195.439999999</v>
      </c>
      <c r="ES32" s="218">
        <f>8510165.32+419749.66</f>
        <v>8929914.9800000004</v>
      </c>
      <c r="ET32" s="218">
        <f>8991797.32+419749.66</f>
        <v>9411546.9800000004</v>
      </c>
      <c r="EU32" s="218">
        <f>1182481.68+419749.66</f>
        <v>1602231.3399999999</v>
      </c>
      <c r="EV32" s="218">
        <f>2002751.86+319749.66</f>
        <v>2322501.52</v>
      </c>
      <c r="EW32" s="218">
        <f>2002751.86+319749.66</f>
        <v>2322501.52</v>
      </c>
      <c r="EX32" s="218">
        <f>1979423+319749.66</f>
        <v>2299172.66</v>
      </c>
      <c r="EY32" s="218">
        <f>1479423+319749.66</f>
        <v>1799172.66</v>
      </c>
      <c r="EZ32" s="218">
        <f>1304151.95+319749.66</f>
        <v>1623901.6099999999</v>
      </c>
      <c r="FA32" s="218">
        <f>4883704.95+319749.66</f>
        <v>5203454.6100000003</v>
      </c>
      <c r="FB32" s="218">
        <f>1224371.31+319749.66</f>
        <v>1544120.97</v>
      </c>
      <c r="FC32" s="218">
        <f>4290890.05+319749.66</f>
        <v>4610639.71</v>
      </c>
      <c r="FD32" s="218">
        <f>4290890.05+319749.66</f>
        <v>4610639.71</v>
      </c>
      <c r="FE32" s="218">
        <f>4290890.05+319749.66</f>
        <v>4610639.71</v>
      </c>
      <c r="FF32" s="218">
        <f>11951478.27+319749.66</f>
        <v>12271227.93</v>
      </c>
      <c r="FG32" s="218">
        <f>106277456.61+319749.66</f>
        <v>106597206.27</v>
      </c>
      <c r="FH32" s="218">
        <f>12654873.98+319749.66</f>
        <v>12974623.640000001</v>
      </c>
      <c r="FI32" s="218">
        <f>1764386.86+319749.66</f>
        <v>2084136.52</v>
      </c>
      <c r="FJ32" s="218">
        <f>17349320.46+319749.66</f>
        <v>17669070.120000001</v>
      </c>
      <c r="FK32" s="218">
        <f>1763502.16+318249.66</f>
        <v>2081751.8199999998</v>
      </c>
      <c r="FL32" s="218">
        <f>1746651.96+318249.66</f>
        <v>2064901.6199999999</v>
      </c>
      <c r="FM32" s="218">
        <f>14563020.96+318249.66</f>
        <v>14881270.620000001</v>
      </c>
      <c r="FN32" s="218">
        <f>16204627.24+318249.66</f>
        <v>16522876.9</v>
      </c>
      <c r="FO32" s="218">
        <f>2252254.49+267499.66</f>
        <v>2519754.1500000004</v>
      </c>
      <c r="FP32" s="218">
        <f>1972311.93+267499.66</f>
        <v>2239811.59</v>
      </c>
      <c r="FQ32" s="218">
        <f>1972311.93+267499.66</f>
        <v>2239811.59</v>
      </c>
      <c r="FR32" s="218">
        <f>1960651.82+267499.66</f>
        <v>2228151.48</v>
      </c>
      <c r="FS32" s="218">
        <f>1960651.82+267499.66</f>
        <v>2228151.48</v>
      </c>
      <c r="FT32" s="218">
        <f>1880570.83+267499.66</f>
        <v>2148070.4900000002</v>
      </c>
      <c r="FU32" s="218">
        <f>2018039.57+267499.66</f>
        <v>2285539.23</v>
      </c>
      <c r="FV32" s="218">
        <f>1945099.51+267499.66</f>
        <v>2212599.17</v>
      </c>
      <c r="FW32" s="218">
        <f>1945099.51+267499.66</f>
        <v>2212599.17</v>
      </c>
      <c r="FX32" s="218">
        <f>1997931.23+267499.66</f>
        <v>2265430.89</v>
      </c>
      <c r="FY32" s="218">
        <f>15519835.89+267499.66</f>
        <v>15787335.550000001</v>
      </c>
      <c r="FZ32" s="218">
        <f>907000.46+267499.66</f>
        <v>1174500.1199999999</v>
      </c>
      <c r="GA32" s="218">
        <f>907000.46+267499.66</f>
        <v>1174500.1199999999</v>
      </c>
      <c r="GB32" s="218">
        <f>1412251.46+267499.66</f>
        <v>1679751.1199999999</v>
      </c>
      <c r="GC32" s="218">
        <f>959236.41+267499.66</f>
        <v>1226736.07</v>
      </c>
      <c r="GD32" s="218">
        <v>1027803.92</v>
      </c>
      <c r="GE32" s="218">
        <f>755826.26+267499.66</f>
        <v>1023325.9199999999</v>
      </c>
      <c r="GF32" s="218">
        <f>9455298.51+267499.66</f>
        <v>9722798.1699999999</v>
      </c>
      <c r="GG32" s="218">
        <f>11083302.34+267499.66</f>
        <v>11350802</v>
      </c>
      <c r="GH32" s="218">
        <f>8833427.18+267499.66</f>
        <v>9100926.8399999999</v>
      </c>
      <c r="GI32" s="218">
        <f>1777608.83+267499.66</f>
        <v>2045108.49</v>
      </c>
      <c r="GJ32" s="218">
        <f>19473474.83+267499.66</f>
        <v>19740974.489999998</v>
      </c>
      <c r="GK32" s="218">
        <f>17539818.17+267499.66</f>
        <v>17807317.830000002</v>
      </c>
      <c r="GL32" s="218">
        <f>1940760.52+267499.66</f>
        <v>2208260.1800000002</v>
      </c>
      <c r="GM32" s="218">
        <f>1919930.16+267499.66</f>
        <v>2187429.8199999998</v>
      </c>
      <c r="GN32" s="218">
        <f>1659975.24+267499.66</f>
        <v>1927474.9</v>
      </c>
      <c r="GO32" s="218">
        <f>659975.24+267499.66</f>
        <v>927474.89999999991</v>
      </c>
      <c r="GP32" s="218">
        <f>605376.31+267499.66</f>
        <v>872875.97</v>
      </c>
      <c r="GQ32" s="218">
        <f>5467887.31+267499.66</f>
        <v>5735386.9699999997</v>
      </c>
      <c r="GR32" s="218">
        <f>2492201.34+267499.66</f>
        <v>2759701</v>
      </c>
      <c r="GS32" s="218">
        <f>3594210.34+267499.66</f>
        <v>3861710</v>
      </c>
      <c r="GT32" s="218">
        <f>3002935.78+267499.66</f>
        <v>3270435.44</v>
      </c>
      <c r="GU32" s="218">
        <f>2186488.48+267499.66</f>
        <v>2453988.14</v>
      </c>
      <c r="GV32" s="218">
        <f>264016.55+267499.66</f>
        <v>531516.21</v>
      </c>
      <c r="GW32" s="218">
        <f>5702805.8+267499.66</f>
        <v>5970305.46</v>
      </c>
      <c r="GX32" s="218">
        <v>6594485.5199999996</v>
      </c>
      <c r="GY32" s="218">
        <v>2622397.31</v>
      </c>
      <c r="GZ32" s="218">
        <v>556764.24</v>
      </c>
      <c r="HA32" s="218">
        <f>1396110.53+267499.66</f>
        <v>1663610.19</v>
      </c>
      <c r="HB32" s="218">
        <f>1390880.63+267499.66</f>
        <v>1658380.2899999998</v>
      </c>
      <c r="HC32" s="218">
        <f>14951593.53+267499.66</f>
        <v>15219093.189999999</v>
      </c>
      <c r="HD32" s="218">
        <f>12233148+267499.66</f>
        <v>12500647.66</v>
      </c>
      <c r="HE32" s="218">
        <f>26381103+267499.66</f>
        <v>26648602.66</v>
      </c>
      <c r="HF32" s="218">
        <v>12088687.77</v>
      </c>
      <c r="HG32" s="218">
        <f>751821.12+267499.66</f>
        <v>1019320.78</v>
      </c>
      <c r="HH32" s="218">
        <f>1188544.12+267499.66</f>
        <v>1456043.78</v>
      </c>
      <c r="HI32" s="218">
        <v>524773.41</v>
      </c>
      <c r="HJ32" s="218">
        <f>82911594.64+267499.66</f>
        <v>83179094.299999997</v>
      </c>
      <c r="HK32" s="218">
        <f>636576.57+267499.66</f>
        <v>904076.23</v>
      </c>
      <c r="HL32" s="218">
        <v>636371.63</v>
      </c>
      <c r="HM32" s="218">
        <f>3969739.63+267499.66</f>
        <v>4237239.29</v>
      </c>
      <c r="HN32" s="218">
        <f>19153561.26+267499.66</f>
        <v>19421060.920000002</v>
      </c>
      <c r="HO32" s="218">
        <f>19153561.26+267499.66</f>
        <v>19421060.920000002</v>
      </c>
      <c r="HP32" s="218">
        <f>1928032.18+267499.66</f>
        <v>2195531.84</v>
      </c>
      <c r="HQ32" s="218">
        <f>383692.4+267499.66</f>
        <v>651192.06000000006</v>
      </c>
      <c r="HR32" s="218">
        <f>551835.4+267499.66</f>
        <v>819335.06</v>
      </c>
      <c r="HS32" s="218">
        <f>780946.46+267499.66</f>
        <v>1048446.1199999999</v>
      </c>
      <c r="HT32" s="218">
        <f>325119.4+267499.66</f>
        <v>592619.06000000006</v>
      </c>
      <c r="HU32" s="218">
        <f>889176.26+267499.66</f>
        <v>1156675.92</v>
      </c>
      <c r="HV32" s="218">
        <v>891078.93</v>
      </c>
      <c r="HW32" s="218">
        <f>1794440.93+267499.66</f>
        <v>2061940.5899999999</v>
      </c>
      <c r="HX32" s="218">
        <f>835910.06+267499.66</f>
        <v>1103409.72</v>
      </c>
      <c r="HY32" s="218">
        <f>8786780.46+267499.66</f>
        <v>9054280.120000001</v>
      </c>
      <c r="HZ32" s="218">
        <f>7512665.05+267499.66</f>
        <v>7780164.71</v>
      </c>
      <c r="IA32" s="218">
        <f>7529900.42+267499.66</f>
        <v>7797400.0800000001</v>
      </c>
      <c r="IB32" s="218">
        <f>1820627.9+267499.66</f>
        <v>2088127.5599999998</v>
      </c>
      <c r="IC32" s="218">
        <f>7827126.17+267499.66</f>
        <v>8094625.8300000001</v>
      </c>
      <c r="ID32" s="218">
        <f>2553540.87+267499.66</f>
        <v>2821040.5300000003</v>
      </c>
      <c r="IE32" s="218">
        <f>2612422.91+267499.66</f>
        <v>2879922.5700000003</v>
      </c>
      <c r="IF32" s="218">
        <f>2602422.71+267499.66</f>
        <v>2869922.37</v>
      </c>
      <c r="IG32" s="218">
        <f>5267422.48+267499.66</f>
        <v>5534922.1400000006</v>
      </c>
      <c r="IH32" s="218">
        <f>5127588.48+267499.66</f>
        <v>5395088.1400000006</v>
      </c>
      <c r="II32" s="218">
        <f>4962466.67+267499.66</f>
        <v>5229966.33</v>
      </c>
      <c r="IJ32" s="218">
        <f>4289092.72+267499.66</f>
        <v>4556592.38</v>
      </c>
      <c r="IK32" s="218">
        <f>2922447.88+267499.66</f>
        <v>3189947.54</v>
      </c>
      <c r="IL32" s="218">
        <f>2920810.47+267499.66</f>
        <v>3188310.1300000004</v>
      </c>
      <c r="IM32" s="218">
        <f>5378648.46+267499.66</f>
        <v>5646148.1200000001</v>
      </c>
      <c r="IN32" s="218">
        <f>1801460.46+267499.66</f>
        <v>2068960.1199999999</v>
      </c>
      <c r="IO32" s="218">
        <f>2467602.32</f>
        <v>2467602.3199999998</v>
      </c>
      <c r="IP32" s="218">
        <f>1943890.99+267499.66</f>
        <v>2211390.65</v>
      </c>
      <c r="IQ32" s="218">
        <f>1943890.99+267499.66</f>
        <v>2211390.65</v>
      </c>
      <c r="IR32" s="218">
        <f>17538742.93+267499.66</f>
        <v>17806242.59</v>
      </c>
      <c r="IS32" s="218">
        <f>13341782.49+267499.66</f>
        <v>13609282.15</v>
      </c>
      <c r="IT32" s="218">
        <f>18441377.93+267499.66</f>
        <v>18708877.59</v>
      </c>
      <c r="IU32" s="218">
        <f>18441377.93+267499.66</f>
        <v>18708877.59</v>
      </c>
      <c r="IV32" s="218">
        <f>15574383.96+267499.66</f>
        <v>15841883.620000001</v>
      </c>
      <c r="IW32" s="218">
        <f>1797836.01+267499.66</f>
        <v>2065335.67</v>
      </c>
      <c r="IX32" s="218">
        <f>1797836.01+267499.66</f>
        <v>2065335.67</v>
      </c>
      <c r="IY32" s="218">
        <f>2986159.49+267499.66</f>
        <v>3253659.1500000004</v>
      </c>
      <c r="IZ32" s="218">
        <f>2852304.91+267499.66</f>
        <v>3119804.5700000003</v>
      </c>
      <c r="JA32" s="218">
        <f>125238950.27+267499.66</f>
        <v>125506449.92999999</v>
      </c>
      <c r="JB32" s="218">
        <f>18281904.23+267499.66</f>
        <v>18549403.890000001</v>
      </c>
      <c r="JC32" s="218">
        <f>15522374.15+267499.66</f>
        <v>15789873.810000001</v>
      </c>
      <c r="JD32" s="218">
        <f>15204327.15+267499.66</f>
        <v>15471826.810000001</v>
      </c>
      <c r="JE32" s="218">
        <f>194443814.82+267499.66</f>
        <v>194711314.47999999</v>
      </c>
      <c r="JF32" s="218">
        <f>15401159.02+267499.66</f>
        <v>15668658.68</v>
      </c>
      <c r="JG32" s="218">
        <f>15401159.02+267499.66</f>
        <v>15668658.68</v>
      </c>
      <c r="JH32" s="218">
        <f>15360726.28+267499.66</f>
        <v>15628225.939999999</v>
      </c>
      <c r="JI32" s="218">
        <f>15360726.28+267499.66</f>
        <v>15628225.939999999</v>
      </c>
      <c r="JJ32" s="218">
        <f>5664079.58+254007.13</f>
        <v>5918086.71</v>
      </c>
      <c r="JK32" s="218">
        <f>2855664.59+254007.13</f>
        <v>3109671.7199999997</v>
      </c>
      <c r="JL32" s="218">
        <f>14041583.99+254007.13</f>
        <v>14295591.120000001</v>
      </c>
      <c r="JM32" s="218">
        <f>15033072.39+254007.13</f>
        <v>15287079.520000001</v>
      </c>
      <c r="JN32" s="218">
        <f>4810975.67+254007.13</f>
        <v>5064982.8</v>
      </c>
      <c r="JO32" s="218">
        <f>4795714.55+254007.13</f>
        <v>5049721.68</v>
      </c>
      <c r="JP32" s="218">
        <f>4802514.55+254007.13</f>
        <v>5056521.68</v>
      </c>
      <c r="JQ32" s="218">
        <f>12198727.9+254007.13</f>
        <v>12452735.030000001</v>
      </c>
      <c r="JR32" s="218">
        <f>5069586.59+254007.13</f>
        <v>5323593.72</v>
      </c>
      <c r="JS32" s="218">
        <f>5069586.59+254007.13</f>
        <v>5323593.72</v>
      </c>
      <c r="JT32" s="218">
        <f>17889915.97+254007.13</f>
        <v>18143923.099999998</v>
      </c>
      <c r="JU32" s="218">
        <f>21455184.43+254007.13</f>
        <v>21709191.559999999</v>
      </c>
      <c r="JV32" s="218">
        <f>19455152.43+254007.13</f>
        <v>19709159.559999999</v>
      </c>
      <c r="JW32" s="218">
        <f>12000307.14+254007.13</f>
        <v>12254314.270000001</v>
      </c>
      <c r="JX32" s="218">
        <f>11003439.14+254007.13</f>
        <v>11257446.270000001</v>
      </c>
      <c r="JY32" s="218">
        <f>11012371.56+254007.13</f>
        <v>11266378.690000001</v>
      </c>
      <c r="JZ32" s="218">
        <v>10581164.84</v>
      </c>
      <c r="KA32" s="218">
        <f>4743472.49+254007.13</f>
        <v>4997479.62</v>
      </c>
      <c r="KB32" s="218">
        <f>4499469.48+254007.13</f>
        <v>4753476.6100000003</v>
      </c>
      <c r="KC32" s="218">
        <f>7219376.04+254007.13</f>
        <v>7473383.1699999999</v>
      </c>
      <c r="KD32" s="218">
        <f>7219376.04+254007.13</f>
        <v>7473383.1699999999</v>
      </c>
      <c r="KE32" s="218">
        <f>15980010.44+254007.13</f>
        <v>16234017.57</v>
      </c>
      <c r="KF32" s="218">
        <f>11350273.15+254007.13</f>
        <v>11604280.280000001</v>
      </c>
      <c r="KG32" s="218">
        <f>4702565.8+254007.13</f>
        <v>4956572.93</v>
      </c>
      <c r="KH32" s="218">
        <f>4702565.8+254007.13</f>
        <v>4956572.93</v>
      </c>
      <c r="KI32" s="218">
        <f>2607611.22+254007.13</f>
        <v>2861618.35</v>
      </c>
      <c r="KJ32" s="218">
        <f>23129691.22+254007.13</f>
        <v>23383698.349999998</v>
      </c>
      <c r="KK32" s="218">
        <f>22079285.72+254007.13</f>
        <v>22333292.849999998</v>
      </c>
      <c r="KL32" s="218">
        <f>23129544.72+254007.13</f>
        <v>23383551.849999998</v>
      </c>
      <c r="KM32" s="218">
        <f>23051754.82+254007.13</f>
        <v>23305761.949999999</v>
      </c>
      <c r="KN32" s="218">
        <f>9408063.99+254007.13</f>
        <v>9662071.120000001</v>
      </c>
      <c r="KO32" s="218">
        <f>7005768.6+254007.13</f>
        <v>7259775.7299999995</v>
      </c>
      <c r="KP32" s="218">
        <f>5573548.69+254007.13</f>
        <v>5827555.8200000003</v>
      </c>
      <c r="KQ32" s="218">
        <f>4382816.29+254007.13</f>
        <v>4636823.42</v>
      </c>
      <c r="KR32" s="218">
        <f>4850167.7+254007.13</f>
        <v>5104174.83</v>
      </c>
      <c r="KS32" s="218">
        <f>4515603.7</f>
        <v>4515603.7</v>
      </c>
      <c r="KT32" s="218">
        <f>3238332.5+254007.13</f>
        <v>3492339.63</v>
      </c>
      <c r="KU32" s="218">
        <f>3951469.1+254007.13</f>
        <v>4205476.2300000004</v>
      </c>
      <c r="KV32" s="218">
        <f>4404551.98+254007.13</f>
        <v>4658559.1100000003</v>
      </c>
      <c r="KW32" s="218">
        <f>4064557.21+254007.13</f>
        <v>4318564.34</v>
      </c>
      <c r="KX32" s="218">
        <f>17350686.21+254007.13</f>
        <v>17604693.34</v>
      </c>
      <c r="KY32" s="218">
        <f>12034211.02+254007.13</f>
        <v>12288218.15</v>
      </c>
      <c r="KZ32" s="218">
        <f>7542481.08+154007.13</f>
        <v>7696488.21</v>
      </c>
      <c r="LA32" s="218">
        <f>3336707.35+71307.13</f>
        <v>3408014.48</v>
      </c>
      <c r="LB32" s="218">
        <f>3356413.1+71307.13</f>
        <v>3427720.23</v>
      </c>
      <c r="LC32" s="218">
        <f>3356413.1+71307.13</f>
        <v>3427720.23</v>
      </c>
      <c r="LD32" s="218">
        <f>11438240.1+71307.13</f>
        <v>11509547.23</v>
      </c>
      <c r="LE32" s="218">
        <f>3062323.07+71307.13</f>
        <v>3133630.1999999997</v>
      </c>
      <c r="LF32" s="218">
        <f>17475973.67+71307.13</f>
        <v>17547280.800000001</v>
      </c>
      <c r="LG32" s="218">
        <f>16596693.4+71307.13</f>
        <v>16668000.530000001</v>
      </c>
      <c r="LH32" s="218">
        <f>16596693.4+71307.13</f>
        <v>16668000.530000001</v>
      </c>
      <c r="LI32" s="218">
        <f>2642170.9+71307.13</f>
        <v>2713478.03</v>
      </c>
      <c r="LJ32" s="218">
        <f>16453123.8+71307.13</f>
        <v>16524430.930000002</v>
      </c>
      <c r="LK32" s="218">
        <f>12697397.84+20557.13</f>
        <v>12717954.970000001</v>
      </c>
      <c r="LL32" s="218">
        <f>4796306.04+20557.13</f>
        <v>4816863.17</v>
      </c>
      <c r="LM32" s="218">
        <f>4498209.9+20557.13</f>
        <v>4518767.03</v>
      </c>
      <c r="LN32" s="218">
        <f>4498209.9+20557.13</f>
        <v>4518767.03</v>
      </c>
      <c r="LO32" s="218">
        <f>4245512.91+20557.13</f>
        <v>4266070.04</v>
      </c>
      <c r="LP32" s="218">
        <v>6461015.04</v>
      </c>
      <c r="LQ32" s="218">
        <v>2299861.0099999998</v>
      </c>
      <c r="LR32" s="218">
        <v>28540717.209999997</v>
      </c>
      <c r="LS32" s="218">
        <f>10322906.6+220557.13</f>
        <v>10543463.73</v>
      </c>
      <c r="LT32" s="218">
        <f>3682953.42+220557.13</f>
        <v>3903510.55</v>
      </c>
      <c r="LU32" s="218">
        <f>4671943.35+220557.13</f>
        <v>4892500.4799999995</v>
      </c>
      <c r="LV32" s="218">
        <f>4086395.67+149507.13</f>
        <v>4235902.8</v>
      </c>
      <c r="LW32" s="218">
        <f>4086395.67+149507.13</f>
        <v>4235902.8</v>
      </c>
      <c r="LX32" s="218">
        <f>5578915.17+149507.13</f>
        <v>5728422.2999999998</v>
      </c>
      <c r="LY32" s="218">
        <f>4036916.01+149507.13</f>
        <v>4186423.1399999997</v>
      </c>
      <c r="LZ32" s="218">
        <f>3510804.95</f>
        <v>3510804.95</v>
      </c>
      <c r="MA32" s="218">
        <f>31641728.39+149507.13</f>
        <v>31791235.52</v>
      </c>
      <c r="MB32" s="218">
        <f>19487037.64+149507.13</f>
        <v>19636544.77</v>
      </c>
      <c r="MC32" s="218">
        <f>5401354.96+149507.13</f>
        <v>5550862.0899999999</v>
      </c>
      <c r="MD32" s="218">
        <f>5146381.12+129377.13</f>
        <v>5275758.25</v>
      </c>
      <c r="ME32" s="218">
        <f>6603392.12+129377.13</f>
        <v>6732769.25</v>
      </c>
      <c r="MF32" s="218">
        <f>4721073.88+129377.13</f>
        <v>4850451.01</v>
      </c>
      <c r="MG32" s="218">
        <f>9990710.58+129377.13</f>
        <v>10120087.710000001</v>
      </c>
      <c r="MH32" s="218">
        <f>9966346.58+129377.13</f>
        <v>10095723.710000001</v>
      </c>
      <c r="MI32" s="218">
        <f>4452777.19+129377.13</f>
        <v>4582154.32</v>
      </c>
      <c r="MJ32" s="218">
        <f>4446271.19+129377.13</f>
        <v>4575648.32</v>
      </c>
      <c r="MK32" s="218">
        <f>4446271.19+129377.13</f>
        <v>4575648.32</v>
      </c>
      <c r="ML32" s="218">
        <v>18405565.190000001</v>
      </c>
      <c r="MM32" s="218">
        <f>15764709.73+129377.13</f>
        <v>15894086.860000001</v>
      </c>
      <c r="MN32" s="218">
        <f>2578074.27+129377.13</f>
        <v>2707451.4</v>
      </c>
      <c r="MO32" s="218">
        <f>2556190.27+129377.13</f>
        <v>2685567.4</v>
      </c>
      <c r="MP32" s="218">
        <f>3139818.06+129377.13</f>
        <v>3269195.19</v>
      </c>
      <c r="MQ32" s="218">
        <f>4352981.02+129377.13</f>
        <v>4482358.1499999994</v>
      </c>
      <c r="MR32" s="218">
        <f>4114643.17+129377.13</f>
        <v>4244020.3</v>
      </c>
      <c r="MS32" s="218">
        <f>4042978.41+129377.13</f>
        <v>4172355.54</v>
      </c>
      <c r="MT32" s="218">
        <f>4042978.41+129377.13</f>
        <v>4172355.54</v>
      </c>
      <c r="MU32" s="218">
        <f>7384819.51+129377.13</f>
        <v>7514196.6399999997</v>
      </c>
      <c r="MV32" s="218">
        <f>20110191.51+129377.13</f>
        <v>20239568.640000001</v>
      </c>
      <c r="MW32" s="218">
        <f>303887.02+129377.13</f>
        <v>433264.15</v>
      </c>
      <c r="MX32" s="218">
        <f>3700683.41+129377.13</f>
        <v>3830060.54</v>
      </c>
      <c r="MY32" s="218">
        <f>3640706.53+129377.13</f>
        <v>3770083.6599999997</v>
      </c>
      <c r="MZ32" s="218">
        <f>3643665.43+129377.13</f>
        <v>3773042.56</v>
      </c>
      <c r="NA32" s="218">
        <f>2006292.26+129377.13</f>
        <v>2135669.39</v>
      </c>
      <c r="NB32" s="218">
        <f>1951033.14+129377.13</f>
        <v>2080410.27</v>
      </c>
      <c r="NC32" s="218">
        <f>1918101.14+129377.13</f>
        <v>2047478.27</v>
      </c>
      <c r="ND32" s="218">
        <f>16125145.14+129377.13</f>
        <v>16254522.270000001</v>
      </c>
      <c r="NE32" s="218">
        <f>13501310.2+129377.13</f>
        <v>13630687.33</v>
      </c>
      <c r="NF32" s="218">
        <f>15173969.89+129377.13</f>
        <v>15303347.020000001</v>
      </c>
      <c r="NG32" s="218">
        <f>13630860.1+129377.13</f>
        <v>13760237.23</v>
      </c>
      <c r="NH32" s="218">
        <f>6681247.89+27877.13</f>
        <v>6709125.0199999996</v>
      </c>
      <c r="NI32" s="218">
        <f>10724948.53</f>
        <v>10724948.529999999</v>
      </c>
      <c r="NJ32" s="218">
        <f>19611797.11+27877.13</f>
        <v>19639674.239999998</v>
      </c>
      <c r="NK32" s="218">
        <f>5906899.62+27877.13</f>
        <v>5934776.75</v>
      </c>
      <c r="NL32" s="218">
        <f>5642623.12+27877.13</f>
        <v>5670500.25</v>
      </c>
      <c r="NM32" s="218">
        <f>5917747.5+27877.13</f>
        <v>5945624.6299999999</v>
      </c>
      <c r="NN32" s="218">
        <f>5306918.7+27877.13</f>
        <v>5334795.83</v>
      </c>
      <c r="NO32" s="218">
        <f>5030046.72+27877.13</f>
        <v>5057923.8499999996</v>
      </c>
      <c r="NP32" s="218">
        <v>3326169.13</v>
      </c>
      <c r="NQ32" s="218">
        <v>51326169.149999999</v>
      </c>
      <c r="NR32" s="218">
        <v>6302156.6600000001</v>
      </c>
      <c r="NS32" s="218">
        <v>6032956.2999999998</v>
      </c>
      <c r="NT32" s="218">
        <v>6032752.2999999998</v>
      </c>
      <c r="NU32" s="218">
        <v>3078680.3</v>
      </c>
      <c r="NV32" s="218">
        <v>13768991.16</v>
      </c>
      <c r="NW32" s="218">
        <v>13632476.9</v>
      </c>
      <c r="NX32" s="218">
        <v>13642038</v>
      </c>
      <c r="NY32" s="218">
        <v>11165421.83</v>
      </c>
      <c r="NZ32" s="218">
        <f>10940138.13+27877.13</f>
        <v>10968015.260000002</v>
      </c>
      <c r="OA32" s="218">
        <f>23720425.17+27877.13</f>
        <v>23748302.300000001</v>
      </c>
      <c r="OB32" s="218">
        <f>23716419.13+27877.13</f>
        <v>23744296.259999998</v>
      </c>
      <c r="OC32" s="218">
        <f>22485419.45+27877.13</f>
        <v>22513296.579999998</v>
      </c>
      <c r="OD32" s="218">
        <f>21111253.78+327877.13</f>
        <v>21439130.91</v>
      </c>
      <c r="OE32" s="218">
        <f>21111253.78+227877.13</f>
        <v>21339130.91</v>
      </c>
      <c r="OF32" s="218">
        <f>5519043.3+124877.13</f>
        <v>5643920.4299999997</v>
      </c>
      <c r="OG32" s="218">
        <f>7590089.69+23377.13</f>
        <v>7613466.8200000003</v>
      </c>
      <c r="OH32" s="218">
        <f>7590089.69+23377.13</f>
        <v>7613466.8200000003</v>
      </c>
      <c r="OI32" s="218">
        <f>1603883.69+23377.13</f>
        <v>1627260.8199999998</v>
      </c>
      <c r="OJ32" s="218">
        <f>4418014.69+23377.13</f>
        <v>4441391.82</v>
      </c>
      <c r="OK32" s="218">
        <f>4418014.69+23377.13</f>
        <v>4441391.82</v>
      </c>
      <c r="OL32" s="218">
        <v>4296604.32</v>
      </c>
      <c r="OM32" s="218">
        <f>7403850.05+23377.13</f>
        <v>7427227.1799999997</v>
      </c>
      <c r="ON32" s="218">
        <f>7292212.05+23377.13</f>
        <v>7315589.1799999997</v>
      </c>
      <c r="OO32" s="218">
        <f>5241311.29</f>
        <v>5241311.29</v>
      </c>
      <c r="OP32" s="218">
        <f>3867396.29+123377.13</f>
        <v>3990773.42</v>
      </c>
      <c r="OQ32" s="218">
        <f>3748916.01+123377.13</f>
        <v>3872293.1399999997</v>
      </c>
      <c r="OR32" s="218">
        <f>3118615.48+97503.13</f>
        <v>3216118.61</v>
      </c>
      <c r="OS32" s="218">
        <f>3118615.48+97503.13</f>
        <v>3216118.61</v>
      </c>
      <c r="OT32" s="218">
        <f>19139211.76+97503.13</f>
        <v>19236714.890000001</v>
      </c>
      <c r="OU32" s="218">
        <f>28767705.54+97503.13</f>
        <v>28865208.669999998</v>
      </c>
      <c r="OV32" s="218">
        <f>28764046.34+97503.13</f>
        <v>28861549.469999999</v>
      </c>
      <c r="OW32" s="218">
        <f>18671236.71+97503.13</f>
        <v>18768739.84</v>
      </c>
      <c r="OX32" s="218">
        <f>32240639.71+97503.13</f>
        <v>32338142.84</v>
      </c>
      <c r="OY32" s="218">
        <f>3854250.58+123453.13</f>
        <v>3977703.71</v>
      </c>
      <c r="OZ32" s="218">
        <f>13221379.06+123453.13</f>
        <v>13344832.190000001</v>
      </c>
      <c r="PA32" s="218">
        <f>13182907.16+123453.13</f>
        <v>13306360.290000001</v>
      </c>
      <c r="PB32" s="218">
        <f>3377116.4+123453.13</f>
        <v>3500569.53</v>
      </c>
      <c r="PC32" s="218">
        <f>34609377.17+123084.13</f>
        <v>34732461.300000004</v>
      </c>
      <c r="PD32" s="218">
        <f>5207807.91+123084.13</f>
        <v>5330892.04</v>
      </c>
      <c r="PE32" s="218">
        <f>13630142.34+123084.13</f>
        <v>13753226.470000001</v>
      </c>
      <c r="PF32" s="218">
        <f>83649867.88+123084.13</f>
        <v>83772952.00999999</v>
      </c>
      <c r="PG32" s="218">
        <v>4934844.87</v>
      </c>
      <c r="PH32" s="218">
        <f>4267076.58+123084.13</f>
        <v>4390160.71</v>
      </c>
      <c r="PI32" s="218">
        <f>24482101.99+123084.13</f>
        <v>24605186.119999997</v>
      </c>
      <c r="PJ32" s="218">
        <f>20699863.69+123084.13</f>
        <v>20822947.82</v>
      </c>
      <c r="PK32" s="218">
        <f>10380208.8+123084.13</f>
        <v>10503292.930000002</v>
      </c>
      <c r="PL32" s="218">
        <f>85201340.17+123084.13</f>
        <v>85324424.299999997</v>
      </c>
      <c r="PM32" s="218">
        <f>7387853.62+91584.13</f>
        <v>7479437.75</v>
      </c>
      <c r="PN32" s="218">
        <f>8661068.82+91134.13</f>
        <v>8752202.9500000011</v>
      </c>
      <c r="PO32" s="218">
        <f>22131455.22+40384.13</f>
        <v>22171839.349999998</v>
      </c>
      <c r="PP32" s="218">
        <f>4192661.23+40384.13</f>
        <v>4233045.3600000003</v>
      </c>
      <c r="PQ32" s="218">
        <f>3870901.1+4859.13</f>
        <v>3875760.23</v>
      </c>
      <c r="PR32" s="218">
        <f>6950752.4+4859.13</f>
        <v>6955611.5300000003</v>
      </c>
      <c r="PS32" s="218">
        <f>7594190.33+4859.13</f>
        <v>7599049.46</v>
      </c>
      <c r="PT32" s="218">
        <f>2384.92+20175074.16</f>
        <v>20177459.080000002</v>
      </c>
      <c r="PU32" s="218">
        <f>4505551.09+141484.92</f>
        <v>4647036.01</v>
      </c>
      <c r="PV32" s="218">
        <f>3077549.91+391484.92</f>
        <v>3469034.83</v>
      </c>
      <c r="PW32" s="218">
        <f>5408487.77+188504.92</f>
        <v>5596992.6899999995</v>
      </c>
      <c r="PX32" s="218">
        <f>3137423.54+188504.92</f>
        <v>3325928.46</v>
      </c>
      <c r="PY32" s="218">
        <f>46270857.24+188504.92</f>
        <v>46459362.160000004</v>
      </c>
      <c r="PZ32" s="218">
        <f>22691790.8+383644.92</f>
        <v>23075435.720000003</v>
      </c>
      <c r="QA32" s="218">
        <f>10060829.29+383644.92</f>
        <v>10444474.209999999</v>
      </c>
      <c r="QB32" s="218">
        <f>4479110.96+383644.92</f>
        <v>4862755.88</v>
      </c>
      <c r="QC32" s="218">
        <f>4477314.96+383644.92</f>
        <v>4860959.88</v>
      </c>
      <c r="QD32" s="218">
        <f>32101855.66+383644.92</f>
        <v>32485500.580000002</v>
      </c>
      <c r="QE32" s="218">
        <f>50188699.01+383644.92</f>
        <v>50572343.93</v>
      </c>
      <c r="QF32" s="218">
        <f>6297047.83+383644.92</f>
        <v>6680692.75</v>
      </c>
      <c r="QG32" s="218">
        <f>6264198.85+325760.92</f>
        <v>6589959.7699999996</v>
      </c>
      <c r="QH32" s="218">
        <f>4982266.73+325760.92</f>
        <v>5308027.6500000004</v>
      </c>
      <c r="QI32" s="218">
        <f>6714285.94+305434.92</f>
        <v>7019720.8600000003</v>
      </c>
      <c r="QJ32" s="218">
        <f>8651435.88+305434.92</f>
        <v>8956870.8000000007</v>
      </c>
      <c r="QK32" s="218">
        <f>6296936.64+305434.92</f>
        <v>6602371.5599999996</v>
      </c>
      <c r="QL32" s="218">
        <f>4805973.35+302184.92</f>
        <v>5108158.2699999996</v>
      </c>
      <c r="QM32" s="218">
        <f>8028874.49+302184.92</f>
        <v>8331059.4100000001</v>
      </c>
      <c r="QN32" s="218">
        <f>4105111.48+301446.92</f>
        <v>4406558.4000000004</v>
      </c>
      <c r="QO32" s="218">
        <f>4241694.77+301446.92</f>
        <v>4543141.6899999995</v>
      </c>
      <c r="QP32" s="218">
        <f>1818797.4+301446.92</f>
        <v>2120244.3199999998</v>
      </c>
      <c r="QQ32" s="218">
        <f>3890061.81+278013.92</f>
        <v>4168075.73</v>
      </c>
      <c r="QR32" s="218">
        <v>35386179.920000002</v>
      </c>
      <c r="QS32" s="218">
        <v>19624578.27</v>
      </c>
      <c r="QT32" s="218">
        <v>2576203.5299999998</v>
      </c>
      <c r="QU32" s="218">
        <f>1781072.71+278013.92</f>
        <v>2059086.63</v>
      </c>
      <c r="QV32" s="218">
        <f>3552820.73+271823.92</f>
        <v>3824644.65</v>
      </c>
      <c r="QW32" s="218">
        <f>6536132.54+271823.92</f>
        <v>6807956.46</v>
      </c>
      <c r="QX32" s="218">
        <f>7424804.48+270562.92</f>
        <v>7695367.4000000004</v>
      </c>
      <c r="QY32" s="218">
        <f>8555127.48+265062.92</f>
        <v>8820190.4000000004</v>
      </c>
      <c r="QZ32" s="218">
        <v>23806814.98</v>
      </c>
      <c r="RA32" s="218">
        <f>19200553.99+265062.92</f>
        <v>19465616.91</v>
      </c>
      <c r="RB32" s="218">
        <v>9382642.0800000001</v>
      </c>
      <c r="RC32" s="218">
        <v>10593447.48</v>
      </c>
      <c r="RD32" s="218">
        <v>13704028.029999999</v>
      </c>
      <c r="RE32" s="300">
        <v>15493227.369999999</v>
      </c>
      <c r="RF32" s="300">
        <v>13690245.4</v>
      </c>
      <c r="RG32" s="300">
        <v>48836328.859999999</v>
      </c>
      <c r="RH32" s="300">
        <v>4642304.63</v>
      </c>
      <c r="RI32" s="300">
        <v>32555970.68</v>
      </c>
      <c r="RJ32" s="300">
        <v>5059655.5599999996</v>
      </c>
      <c r="RK32" s="218">
        <v>7253145.3799999999</v>
      </c>
      <c r="RL32" s="218">
        <v>15544492.199999999</v>
      </c>
      <c r="RM32" s="218">
        <v>8776837.6999999993</v>
      </c>
      <c r="RN32" s="218">
        <f>2329938.27+265062.92</f>
        <v>2595001.19</v>
      </c>
      <c r="RO32" s="218">
        <v>4145301.4699999997</v>
      </c>
      <c r="RP32" s="218">
        <v>22148763.470000003</v>
      </c>
      <c r="RQ32" s="218">
        <v>20343617.16</v>
      </c>
      <c r="RR32" s="300">
        <v>12912393.57</v>
      </c>
      <c r="RS32" s="300">
        <v>32314201.430000003</v>
      </c>
      <c r="RT32" s="300">
        <v>30045802.75</v>
      </c>
      <c r="RU32" s="218">
        <v>6762949.9399999995</v>
      </c>
      <c r="RV32" s="218">
        <v>6578276.2699999996</v>
      </c>
      <c r="RW32" s="218">
        <v>6452273.2599999998</v>
      </c>
      <c r="RX32" s="218">
        <v>2503399.9299999997</v>
      </c>
      <c r="RY32" s="218">
        <v>1544915.95</v>
      </c>
      <c r="RZ32" s="218">
        <v>26029575.84</v>
      </c>
      <c r="SA32" s="218">
        <v>6406644.3099999996</v>
      </c>
      <c r="SB32" s="218">
        <v>3214258.38</v>
      </c>
      <c r="SC32" s="218">
        <v>3562674.64</v>
      </c>
      <c r="SD32" s="218">
        <v>27640679.079999998</v>
      </c>
      <c r="SE32" s="218">
        <v>25740027.68</v>
      </c>
      <c r="SF32" s="218">
        <v>6839321.5800000001</v>
      </c>
      <c r="SG32" s="218">
        <v>4074926.14</v>
      </c>
      <c r="SH32" s="218">
        <v>25672187.149999999</v>
      </c>
      <c r="SI32" s="218">
        <v>1572932.86</v>
      </c>
      <c r="SJ32" s="218">
        <v>4049614.39</v>
      </c>
      <c r="SK32" s="218">
        <v>4937928.13</v>
      </c>
      <c r="SL32" s="218">
        <v>4398198.84</v>
      </c>
      <c r="SM32" s="218">
        <v>4608272.16</v>
      </c>
      <c r="SN32" s="218">
        <v>2739280.53</v>
      </c>
      <c r="SO32" s="218">
        <v>1824468.7</v>
      </c>
      <c r="SP32" s="218">
        <v>28755255.079999998</v>
      </c>
      <c r="SQ32" s="218">
        <v>8040622.4699999997</v>
      </c>
      <c r="SR32" s="218">
        <v>10684342.609999999</v>
      </c>
      <c r="SS32" s="218">
        <v>5859941.1699999999</v>
      </c>
      <c r="ST32" s="218">
        <v>40218270.93</v>
      </c>
      <c r="SU32" s="218">
        <v>7147409.9400000004</v>
      </c>
      <c r="SV32" s="218">
        <v>23664580.34</v>
      </c>
      <c r="SW32" s="218">
        <v>20424192.989999998</v>
      </c>
      <c r="SX32" s="218">
        <v>27326163.219999999</v>
      </c>
      <c r="SY32" s="218">
        <v>1313296.56</v>
      </c>
      <c r="SZ32" s="218">
        <v>5576335.8799999999</v>
      </c>
      <c r="TA32" s="218">
        <v>5553093.6500000004</v>
      </c>
      <c r="TB32" s="218">
        <v>3274897.32</v>
      </c>
      <c r="TC32" s="218">
        <v>2193834.5099999998</v>
      </c>
      <c r="TD32" s="218">
        <v>9138114.5899999999</v>
      </c>
      <c r="TE32" s="218">
        <v>10085847.75</v>
      </c>
      <c r="TF32" s="218">
        <v>8917781</v>
      </c>
      <c r="TG32" s="218">
        <v>2669178.91</v>
      </c>
      <c r="TH32" s="218">
        <v>861190.37</v>
      </c>
      <c r="TI32" s="218">
        <v>7381451.6600000001</v>
      </c>
      <c r="TJ32" s="218">
        <v>961564.14</v>
      </c>
      <c r="TK32" s="218">
        <v>13596350.49</v>
      </c>
      <c r="TL32" s="218">
        <v>1713164.06</v>
      </c>
      <c r="TM32" s="218">
        <v>14442252.48</v>
      </c>
      <c r="TN32" s="218">
        <v>36514300.990000002</v>
      </c>
      <c r="TO32" s="218">
        <v>9438877.8399999999</v>
      </c>
      <c r="TP32" s="218">
        <v>9460046.8399999999</v>
      </c>
      <c r="TQ32" s="218">
        <v>5424823.1900000004</v>
      </c>
      <c r="TR32" s="218">
        <v>8877990.8000000007</v>
      </c>
      <c r="TS32" s="218">
        <v>40079480.770000003</v>
      </c>
      <c r="TT32" s="218">
        <v>1582103.59</v>
      </c>
      <c r="TU32" s="218">
        <v>284149.39</v>
      </c>
      <c r="TV32" s="218">
        <v>3260865.32</v>
      </c>
      <c r="TW32" s="218">
        <v>281891.76</v>
      </c>
      <c r="TX32" s="218">
        <f>280574.76</f>
        <v>280574.76</v>
      </c>
      <c r="TY32" s="218">
        <v>280574.76</v>
      </c>
      <c r="TZ32" s="218">
        <v>280574.76</v>
      </c>
      <c r="UA32" s="218">
        <v>994995.29</v>
      </c>
      <c r="UB32" s="218">
        <v>1441726.25</v>
      </c>
      <c r="UC32" s="218">
        <v>969273.31</v>
      </c>
      <c r="UD32" s="218">
        <v>1478632.48</v>
      </c>
      <c r="UE32" s="218">
        <v>1387623.22</v>
      </c>
      <c r="UF32" s="218">
        <v>1361325.22</v>
      </c>
      <c r="UG32" s="218">
        <v>1061185.22</v>
      </c>
      <c r="UH32" s="218">
        <v>1061185.22</v>
      </c>
      <c r="UI32" s="218">
        <v>1938209.97</v>
      </c>
      <c r="UJ32" s="218">
        <v>392002.78</v>
      </c>
      <c r="UK32" s="218">
        <v>392002.78</v>
      </c>
      <c r="UL32" s="218">
        <v>287757.96999999997</v>
      </c>
      <c r="UM32" s="218">
        <v>287652.96999999997</v>
      </c>
      <c r="UN32" s="218">
        <v>1149641.98</v>
      </c>
      <c r="UO32" s="218">
        <v>1131150.3600000001</v>
      </c>
      <c r="UP32" s="218">
        <v>300480.36</v>
      </c>
      <c r="UQ32" s="218">
        <v>267407.59999999998</v>
      </c>
      <c r="UR32" s="218">
        <v>267552.59999999998</v>
      </c>
      <c r="US32" s="218">
        <v>267552.59999999998</v>
      </c>
      <c r="UT32" s="218">
        <v>202962.47</v>
      </c>
      <c r="UU32" s="218">
        <v>202962.47</v>
      </c>
      <c r="UV32" s="218">
        <v>202962.47</v>
      </c>
      <c r="UW32" s="218">
        <v>382531.45</v>
      </c>
      <c r="UX32" s="218">
        <v>390719.45</v>
      </c>
      <c r="UY32" s="218">
        <v>284509.71000000002</v>
      </c>
      <c r="UZ32" s="218">
        <v>263207.96999999997</v>
      </c>
      <c r="VA32" s="218">
        <v>263207.96999999997</v>
      </c>
      <c r="VB32" s="218">
        <v>263207.96999999997</v>
      </c>
      <c r="VC32" s="218">
        <v>263207.96999999997</v>
      </c>
      <c r="VD32" s="218">
        <v>263207.96999999997</v>
      </c>
      <c r="VE32" s="218">
        <v>260727.97</v>
      </c>
      <c r="VF32" s="218">
        <v>235534.55</v>
      </c>
      <c r="VG32" s="218">
        <v>1011015.18</v>
      </c>
      <c r="VH32" s="218">
        <v>1011015.18</v>
      </c>
      <c r="VI32" s="218">
        <v>377509.21</v>
      </c>
      <c r="VJ32" s="218">
        <v>377474.21</v>
      </c>
      <c r="VK32" s="218">
        <v>177329.05</v>
      </c>
      <c r="VL32" s="218">
        <v>177329.05</v>
      </c>
      <c r="VM32" s="218">
        <v>175029.05</v>
      </c>
      <c r="VN32" s="218">
        <v>128938.27</v>
      </c>
      <c r="VO32" s="218">
        <v>3477864.13</v>
      </c>
      <c r="VP32" s="218">
        <v>3477829.13</v>
      </c>
      <c r="VQ32" s="218">
        <v>3477829.13</v>
      </c>
      <c r="VR32" s="218">
        <v>477829.13</v>
      </c>
      <c r="VS32" s="218">
        <v>477829.13</v>
      </c>
      <c r="VT32" s="218">
        <v>477829.13</v>
      </c>
      <c r="VU32" s="218">
        <v>477829.13</v>
      </c>
      <c r="VV32" s="218">
        <v>396929.01</v>
      </c>
      <c r="VW32" s="218">
        <v>1208249.8799999999</v>
      </c>
      <c r="VX32" s="218">
        <v>1208249.8799999999</v>
      </c>
      <c r="VY32" s="218">
        <v>1208249.8799999999</v>
      </c>
      <c r="VZ32" s="218">
        <v>1208249.8799999999</v>
      </c>
      <c r="WA32" s="218">
        <v>1208249.8799999999</v>
      </c>
      <c r="WB32" s="218">
        <v>1189207.44</v>
      </c>
      <c r="WC32" s="218">
        <v>1045934.11</v>
      </c>
      <c r="WD32" s="218">
        <v>1045934.11</v>
      </c>
      <c r="WE32" s="218">
        <v>29374542.039999999</v>
      </c>
      <c r="WF32" s="218">
        <v>29374542.039999999</v>
      </c>
      <c r="WG32" s="218">
        <v>11571265.539999999</v>
      </c>
      <c r="WH32" s="218">
        <v>11571265.539999999</v>
      </c>
      <c r="WI32" s="218">
        <v>11571719.539999999</v>
      </c>
      <c r="WJ32" s="218">
        <v>11391315.380000001</v>
      </c>
      <c r="WK32" s="218">
        <v>4891315.38</v>
      </c>
      <c r="WL32" s="218">
        <v>1107391.07</v>
      </c>
      <c r="WM32" s="218">
        <v>1107391.07</v>
      </c>
      <c r="WN32" s="218">
        <v>1107391.07</v>
      </c>
      <c r="WO32" s="218">
        <v>977588.71</v>
      </c>
      <c r="WP32" s="218">
        <v>977588.71</v>
      </c>
      <c r="WQ32" s="218">
        <v>977588.71</v>
      </c>
      <c r="WR32" s="218">
        <v>977588.71</v>
      </c>
      <c r="WS32" s="218">
        <v>1977588.71</v>
      </c>
      <c r="WT32" s="218">
        <v>1977588.71</v>
      </c>
      <c r="WU32" s="218">
        <v>228542.36</v>
      </c>
      <c r="WV32" s="218">
        <v>1224098.8500000001</v>
      </c>
      <c r="WW32" s="218">
        <v>1081296.56</v>
      </c>
      <c r="WX32" s="218">
        <v>4650502.04</v>
      </c>
      <c r="WY32" s="218">
        <v>4650502.04</v>
      </c>
      <c r="WZ32" s="218">
        <v>4595077.24</v>
      </c>
      <c r="XA32" s="218">
        <v>4592777.24</v>
      </c>
      <c r="XB32" s="218">
        <v>4592777.24</v>
      </c>
      <c r="XC32" s="218">
        <v>4500923.76</v>
      </c>
      <c r="XD32" s="218">
        <v>4500923.76</v>
      </c>
      <c r="XE32" s="218">
        <v>1260614.5</v>
      </c>
      <c r="XF32" s="218">
        <v>1260614.5</v>
      </c>
      <c r="XG32" s="218">
        <v>2668858.85</v>
      </c>
      <c r="XH32" s="218">
        <v>2668858.85</v>
      </c>
      <c r="XI32" s="218">
        <v>2576148.31</v>
      </c>
      <c r="XJ32" s="218">
        <v>1487302.31</v>
      </c>
      <c r="XK32" s="218">
        <v>1487302.31</v>
      </c>
      <c r="XL32" s="218">
        <v>1420541.79</v>
      </c>
      <c r="XM32" s="218">
        <v>1420541.79</v>
      </c>
      <c r="XN32" s="218">
        <v>617832.1</v>
      </c>
      <c r="XO32" s="218">
        <v>617832.1</v>
      </c>
      <c r="XP32" s="218">
        <v>617832.1</v>
      </c>
      <c r="XQ32" s="218">
        <v>617832.1</v>
      </c>
      <c r="XR32" s="218">
        <v>600643.99</v>
      </c>
      <c r="XS32" s="218">
        <v>360505.38</v>
      </c>
      <c r="XT32" s="218">
        <v>358205.38</v>
      </c>
      <c r="XU32" s="218">
        <v>54368.67</v>
      </c>
      <c r="XV32" s="218">
        <v>54368.67</v>
      </c>
      <c r="XW32" s="218">
        <v>9856878.6699999999</v>
      </c>
      <c r="XX32" s="218">
        <v>9856878.6699999999</v>
      </c>
      <c r="XY32" s="218">
        <v>6311333.4800000004</v>
      </c>
      <c r="XZ32" s="218">
        <v>6085111.9199999999</v>
      </c>
      <c r="YA32" s="218">
        <v>6085111.9199999999</v>
      </c>
      <c r="YB32" s="218">
        <v>6085111.9199999999</v>
      </c>
      <c r="YC32" s="218">
        <v>6085111.9199999999</v>
      </c>
      <c r="YD32" s="218">
        <v>6041135.6200000001</v>
      </c>
      <c r="YE32" s="218">
        <v>6026712.1100000003</v>
      </c>
      <c r="YF32" s="218">
        <v>2716813.87</v>
      </c>
      <c r="YG32" s="218">
        <v>3884400.29</v>
      </c>
      <c r="YH32" s="218">
        <v>3884400.29</v>
      </c>
      <c r="YI32" s="218">
        <v>2197543.09</v>
      </c>
      <c r="YJ32" s="218">
        <v>2197543.09</v>
      </c>
      <c r="YK32" s="218">
        <v>2142124.2599999998</v>
      </c>
      <c r="YL32" s="218">
        <v>2142124.2599999998</v>
      </c>
      <c r="YM32" s="218">
        <v>2041738.72</v>
      </c>
      <c r="YN32" s="218">
        <f>363003.13+172000000</f>
        <v>172363003.13</v>
      </c>
      <c r="YO32" s="218">
        <v>170374559.83000001</v>
      </c>
      <c r="YP32" s="218">
        <v>50409025.579999998</v>
      </c>
      <c r="YQ32" s="218">
        <v>50416862.57</v>
      </c>
      <c r="YR32" s="218">
        <v>50198841.18</v>
      </c>
      <c r="YS32" s="218">
        <v>48755336.130000003</v>
      </c>
      <c r="YT32" s="218">
        <f>48000000+1005945.16</f>
        <v>49005945.159999996</v>
      </c>
      <c r="YU32" s="428">
        <v>48683407.310000002</v>
      </c>
      <c r="YV32" s="218">
        <v>48683407.310000002</v>
      </c>
      <c r="YW32" s="296">
        <v>32055789.57</v>
      </c>
      <c r="YX32" s="218">
        <v>31956325.57</v>
      </c>
      <c r="YY32" s="218">
        <v>31887618.57</v>
      </c>
      <c r="YZ32" s="218">
        <v>18715106.02</v>
      </c>
      <c r="ZA32" s="218">
        <v>18634895.170000002</v>
      </c>
      <c r="ZB32" s="218">
        <v>18634895.170000002</v>
      </c>
      <c r="ZC32" s="218">
        <v>17836870.719999999</v>
      </c>
      <c r="ZD32" s="218">
        <v>3836870.72</v>
      </c>
      <c r="ZE32" s="218">
        <v>3521776.37</v>
      </c>
      <c r="ZF32" s="218">
        <v>3223664.77</v>
      </c>
      <c r="ZG32" s="218">
        <v>1172195.72</v>
      </c>
      <c r="ZH32" s="218">
        <v>1007083.77</v>
      </c>
      <c r="ZI32" s="218">
        <v>1007083.77</v>
      </c>
      <c r="ZJ32" s="218">
        <v>253951.93</v>
      </c>
      <c r="ZK32" s="218">
        <v>253951.93</v>
      </c>
      <c r="ZL32" s="218">
        <v>181421.63</v>
      </c>
      <c r="ZM32" s="218">
        <v>960870.86</v>
      </c>
      <c r="ZN32" s="218">
        <v>888165.2</v>
      </c>
      <c r="ZO32" s="218">
        <v>830139.2</v>
      </c>
      <c r="ZP32" s="218">
        <v>830139.2</v>
      </c>
      <c r="ZQ32" s="218">
        <v>123853358.39</v>
      </c>
      <c r="ZR32" s="218">
        <f>5824186.57+40000000</f>
        <v>45824186.57</v>
      </c>
      <c r="ZS32" s="218">
        <f>5808264.91+40000000</f>
        <v>45808264.909999996</v>
      </c>
      <c r="ZT32" s="218">
        <v>31337101.649999999</v>
      </c>
      <c r="ZU32" s="218">
        <f>1304973.15+30000000</f>
        <v>31304973.149999999</v>
      </c>
      <c r="ZV32" s="218">
        <v>31317137.530000001</v>
      </c>
      <c r="ZW32" s="218">
        <v>31017137.530000001</v>
      </c>
      <c r="ZX32" s="218">
        <v>16305879.84</v>
      </c>
      <c r="ZY32" s="218">
        <v>16305879.84</v>
      </c>
      <c r="ZZ32" s="218">
        <v>16305879.84</v>
      </c>
      <c r="AAA32" s="218">
        <v>4793487.84</v>
      </c>
      <c r="AAB32" s="218">
        <f>4792914.84-3500000</f>
        <v>1292914.8399999999</v>
      </c>
      <c r="AAC32" s="218">
        <v>1151263.1599999999</v>
      </c>
      <c r="AAD32" s="218">
        <v>1150598.1599999999</v>
      </c>
      <c r="AAE32" s="218">
        <v>1150598.1599999999</v>
      </c>
      <c r="AAF32" s="218">
        <v>1150598.1599999999</v>
      </c>
      <c r="AAG32" s="218">
        <v>1150598.1599999999</v>
      </c>
      <c r="AAH32" s="218">
        <v>1150598.1599999999</v>
      </c>
      <c r="AAI32" s="218">
        <v>83446298.170000002</v>
      </c>
      <c r="AAJ32" s="218">
        <v>83446298.170000002</v>
      </c>
      <c r="AAK32" s="218">
        <v>80096006.159999996</v>
      </c>
      <c r="AAL32" s="218">
        <v>89755468.489999995</v>
      </c>
      <c r="AAM32" s="218">
        <v>86969985.569999993</v>
      </c>
      <c r="AAN32" s="218">
        <v>85398364.329999998</v>
      </c>
      <c r="AAO32" s="218">
        <v>87452964.099999994</v>
      </c>
      <c r="AAP32" s="218">
        <v>87452964.099999994</v>
      </c>
      <c r="AAQ32" s="218">
        <v>7522564.0999999996</v>
      </c>
      <c r="AAR32" s="218">
        <v>6398602.0999999996</v>
      </c>
      <c r="AAS32" s="218">
        <v>6303036.9199999999</v>
      </c>
      <c r="AAT32" s="218">
        <v>6303036.9199999999</v>
      </c>
      <c r="AAU32" s="218">
        <v>6279337.3700000001</v>
      </c>
      <c r="AAV32" s="218">
        <v>6279337.3700000001</v>
      </c>
      <c r="AAW32" s="218">
        <v>6279337.3700000001</v>
      </c>
      <c r="AAX32" s="218">
        <v>6279337.3700000001</v>
      </c>
      <c r="AAY32" s="218">
        <v>4506457.05</v>
      </c>
      <c r="AAZ32" s="218">
        <v>4506457.05</v>
      </c>
      <c r="ABA32" s="218">
        <v>4476469.07</v>
      </c>
      <c r="ABB32" s="218">
        <v>3341629.31</v>
      </c>
      <c r="ABC32" s="218">
        <v>2435014.1800000002</v>
      </c>
      <c r="ABD32" s="218">
        <v>1519200.42</v>
      </c>
      <c r="ABE32" s="436">
        <v>1748396.42</v>
      </c>
      <c r="ABF32" s="436">
        <v>1748396.42</v>
      </c>
      <c r="ABG32" s="436">
        <v>1748396.42</v>
      </c>
      <c r="ABH32" s="436">
        <v>1709289.34</v>
      </c>
      <c r="ABI32" s="437">
        <v>1994414.9</v>
      </c>
      <c r="ABJ32" s="437">
        <v>2390764.48</v>
      </c>
      <c r="ABK32" s="218">
        <v>2355724.86</v>
      </c>
      <c r="ABL32" s="218">
        <v>2355724.86</v>
      </c>
      <c r="ABM32" s="218">
        <v>2355724.86</v>
      </c>
      <c r="ABN32" s="218">
        <v>2323655.56</v>
      </c>
      <c r="ABO32" s="218">
        <v>1003971.62</v>
      </c>
      <c r="ABP32" s="218">
        <v>1003971.62</v>
      </c>
      <c r="ABQ32" s="218">
        <v>1003971.62</v>
      </c>
      <c r="ABR32" s="218">
        <v>1003971.62</v>
      </c>
      <c r="ABS32" s="218">
        <v>714512.84</v>
      </c>
      <c r="ABT32" s="218">
        <v>714512.84</v>
      </c>
      <c r="ABU32" s="218">
        <v>714512.84</v>
      </c>
      <c r="ABV32" s="218">
        <v>714512.84</v>
      </c>
      <c r="ABW32" s="218">
        <v>8289512.8399999999</v>
      </c>
      <c r="ABX32" s="218">
        <v>4670665.84</v>
      </c>
      <c r="ABY32" s="218">
        <v>792977.6</v>
      </c>
      <c r="ABZ32" s="218">
        <v>790338.6</v>
      </c>
      <c r="ACA32" s="218">
        <v>790338.6</v>
      </c>
      <c r="ACB32" s="296">
        <v>739611.3</v>
      </c>
      <c r="ACC32" s="296">
        <v>507898</v>
      </c>
      <c r="ACD32" s="218">
        <v>502033.51</v>
      </c>
      <c r="ACE32" s="312">
        <v>502033.51</v>
      </c>
      <c r="ACF32" s="218">
        <v>502033.51</v>
      </c>
      <c r="ACG32" s="218">
        <v>502033.51</v>
      </c>
      <c r="ACH32" s="218">
        <v>2502033.5099999998</v>
      </c>
      <c r="ACI32" s="218">
        <v>748474.11</v>
      </c>
      <c r="ACJ32" s="218">
        <v>748474.11</v>
      </c>
      <c r="ACK32" s="218">
        <v>748474.11</v>
      </c>
      <c r="ACL32" s="218">
        <v>748474.11</v>
      </c>
      <c r="ACM32" s="218">
        <v>644315.44999999995</v>
      </c>
      <c r="ACN32" s="218">
        <v>644315.44999999995</v>
      </c>
      <c r="ACO32" s="218">
        <v>644315.44999999995</v>
      </c>
      <c r="ACP32" s="218">
        <v>519315.45</v>
      </c>
      <c r="ACQ32" s="218">
        <v>509908.45</v>
      </c>
      <c r="ACR32" s="218">
        <v>509908.45</v>
      </c>
      <c r="ACS32" s="218">
        <v>428973.86</v>
      </c>
      <c r="ACT32" s="218">
        <v>5435970.8799999999</v>
      </c>
      <c r="ACU32" s="218">
        <v>1040534.56</v>
      </c>
      <c r="ACV32" s="218">
        <v>1040534.56</v>
      </c>
      <c r="ACW32" s="218">
        <v>1040534.56</v>
      </c>
      <c r="ACX32" s="218">
        <v>1040534.56</v>
      </c>
      <c r="ACY32" s="218">
        <v>1040534.56</v>
      </c>
      <c r="ACZ32" s="218">
        <v>516768.83</v>
      </c>
      <c r="ADA32" s="218">
        <v>516768.83</v>
      </c>
      <c r="ADB32" s="218">
        <v>516768.83</v>
      </c>
      <c r="ADC32" s="218">
        <v>516768.83</v>
      </c>
      <c r="ADD32" s="218">
        <v>516768.83</v>
      </c>
      <c r="ADE32" s="218">
        <v>516768.83</v>
      </c>
      <c r="ADF32" s="218">
        <v>600431.56000000006</v>
      </c>
      <c r="ADG32" s="218">
        <v>657055.56000000006</v>
      </c>
      <c r="ADH32" s="218">
        <v>657055.56000000006</v>
      </c>
      <c r="ADI32" s="218">
        <v>1932478.8</v>
      </c>
      <c r="ADJ32" s="218">
        <v>1932478.8</v>
      </c>
      <c r="ADK32" s="218">
        <v>1891949.24</v>
      </c>
      <c r="ADL32" s="218">
        <v>1891949.24</v>
      </c>
      <c r="ADM32" s="218">
        <v>1891949.24</v>
      </c>
      <c r="ADN32" s="218">
        <v>4391949.24</v>
      </c>
      <c r="ADO32" s="218">
        <v>851731.97</v>
      </c>
      <c r="ADP32" s="218">
        <v>851731.97</v>
      </c>
      <c r="ADQ32" s="218">
        <v>887299.97</v>
      </c>
      <c r="ADR32" s="218">
        <v>850960.95</v>
      </c>
      <c r="ADS32" s="218">
        <v>850960.95</v>
      </c>
      <c r="ADT32" s="218">
        <v>2240863.79</v>
      </c>
      <c r="ADU32" s="218">
        <v>2210969.66</v>
      </c>
      <c r="ADV32" s="218">
        <v>3210969.66</v>
      </c>
      <c r="ADW32" s="218">
        <v>3210969.66</v>
      </c>
      <c r="ADX32" s="218">
        <v>1300938.56</v>
      </c>
      <c r="ADY32" s="218">
        <v>1274318.58</v>
      </c>
      <c r="ADZ32" s="218">
        <v>1274318.58</v>
      </c>
      <c r="AEA32" s="218">
        <v>1274318.77</v>
      </c>
      <c r="AEB32" s="218">
        <v>1274318.77</v>
      </c>
      <c r="AEC32" s="218">
        <v>1200026.49</v>
      </c>
      <c r="AED32" s="218">
        <v>1200026.49</v>
      </c>
      <c r="AEE32" s="218">
        <v>1194952.49</v>
      </c>
      <c r="AEF32" s="218">
        <v>1194952.49</v>
      </c>
      <c r="AEG32" s="218">
        <v>1175454.1299999999</v>
      </c>
      <c r="AEH32" s="218">
        <v>6175454.1299999999</v>
      </c>
      <c r="AEI32" s="218">
        <v>2176370.9700000002</v>
      </c>
      <c r="AEJ32" s="218">
        <v>2092172.43</v>
      </c>
      <c r="AEK32" s="218">
        <v>2092172.43</v>
      </c>
      <c r="AEL32" s="218">
        <v>1939247.53</v>
      </c>
      <c r="AEM32" s="218">
        <v>2035297.53</v>
      </c>
      <c r="AEN32" s="218">
        <v>2035297.53</v>
      </c>
      <c r="AEO32" s="218">
        <v>2035297.53</v>
      </c>
      <c r="AEP32" s="218">
        <v>2035297.53</v>
      </c>
      <c r="AEQ32" s="218">
        <v>1983015.79</v>
      </c>
      <c r="AER32" s="218">
        <v>620048.56999999995</v>
      </c>
      <c r="AES32" s="218">
        <v>546038.43999999994</v>
      </c>
      <c r="AET32" s="218">
        <v>546038.43999999994</v>
      </c>
      <c r="AEU32" s="218">
        <v>546038.43999999994</v>
      </c>
      <c r="AEV32" s="218">
        <v>400991.06</v>
      </c>
      <c r="AEW32" s="218">
        <v>400991.06</v>
      </c>
      <c r="AEX32" s="218">
        <v>4321304.79</v>
      </c>
      <c r="AEY32" s="218">
        <v>4262122.5199999996</v>
      </c>
      <c r="AEZ32" s="218">
        <v>4199272.18</v>
      </c>
      <c r="AFA32" s="218">
        <v>3542742.18</v>
      </c>
      <c r="AFB32" s="218">
        <v>468766.1</v>
      </c>
      <c r="AFC32" s="218">
        <v>415832.1</v>
      </c>
      <c r="AFD32" s="218">
        <v>387364.41</v>
      </c>
      <c r="AFE32" s="218">
        <v>340403.65</v>
      </c>
      <c r="AFF32" s="218">
        <v>340403.65</v>
      </c>
      <c r="AFG32" s="218">
        <v>340403.65</v>
      </c>
      <c r="AFH32" s="218">
        <v>282943.65000000002</v>
      </c>
      <c r="AFI32" s="218">
        <v>444119.82</v>
      </c>
      <c r="AFJ32" s="218">
        <v>417765.42</v>
      </c>
      <c r="AFK32" s="218">
        <v>396717.02</v>
      </c>
      <c r="AFL32" s="218">
        <v>1696717.02</v>
      </c>
      <c r="AFM32" s="218">
        <v>1696717.02</v>
      </c>
      <c r="AFN32" s="218">
        <v>1696717.02</v>
      </c>
      <c r="AFO32" s="218">
        <v>1585666.2</v>
      </c>
      <c r="AFP32" s="218">
        <v>1585666.2</v>
      </c>
      <c r="AFQ32" s="218">
        <v>1585666.2</v>
      </c>
      <c r="AFR32" s="218">
        <v>1585666.2</v>
      </c>
      <c r="AFS32" s="218">
        <v>1443466.58</v>
      </c>
      <c r="AFT32" s="218">
        <v>1443466.58</v>
      </c>
      <c r="AFU32" s="218">
        <v>1443466.58</v>
      </c>
      <c r="AFV32" s="218">
        <v>1443466.58</v>
      </c>
      <c r="AFW32" s="218">
        <v>1401696.12</v>
      </c>
      <c r="AFX32" s="218">
        <v>51489846.799999997</v>
      </c>
      <c r="AFY32" s="218">
        <v>1360800.99</v>
      </c>
      <c r="AFZ32" s="218">
        <v>1360800.99</v>
      </c>
      <c r="AGA32" s="218">
        <v>1265224.56</v>
      </c>
      <c r="AGB32" s="218">
        <v>1265224.56</v>
      </c>
      <c r="AGC32" s="218">
        <v>487690.31</v>
      </c>
      <c r="AGD32" s="218">
        <v>417586.26</v>
      </c>
      <c r="AGE32" s="218">
        <v>417586.26</v>
      </c>
      <c r="AGF32" s="218">
        <v>417586.26</v>
      </c>
      <c r="AGG32" s="218">
        <v>35314.160000000003</v>
      </c>
      <c r="AGH32" s="218">
        <v>35314.160000000003</v>
      </c>
      <c r="AGI32" s="218">
        <v>12169.77</v>
      </c>
      <c r="AGJ32" s="218">
        <v>70012169.769999996</v>
      </c>
      <c r="AGK32" s="218">
        <v>47222.54</v>
      </c>
      <c r="AGL32" s="218">
        <v>221563.56</v>
      </c>
      <c r="AGM32" s="218">
        <v>866912.75</v>
      </c>
      <c r="AGN32" s="218">
        <v>861912.75</v>
      </c>
      <c r="AGO32" s="218">
        <v>861912.75</v>
      </c>
      <c r="AGP32" s="218">
        <v>861912.75</v>
      </c>
      <c r="AGQ32" s="218">
        <v>25593045.960000001</v>
      </c>
      <c r="AGR32" s="218">
        <v>5568211.71</v>
      </c>
      <c r="AGS32" s="218">
        <v>6068174.71</v>
      </c>
      <c r="AGT32" s="218">
        <v>5791862.0199999996</v>
      </c>
      <c r="AGU32" s="218">
        <v>1615567.48</v>
      </c>
      <c r="AGV32" s="218">
        <v>1615567.48</v>
      </c>
      <c r="AGW32" s="218">
        <v>1582623.21</v>
      </c>
      <c r="AGX32" s="218">
        <v>1580415.21</v>
      </c>
      <c r="AGY32" s="218">
        <v>1569701.65</v>
      </c>
      <c r="AGZ32" s="218">
        <v>1569701.65</v>
      </c>
      <c r="AHA32" s="218">
        <v>587152.47</v>
      </c>
      <c r="AHB32" s="218">
        <v>337884.64</v>
      </c>
      <c r="AHC32" s="218">
        <v>837884.64</v>
      </c>
      <c r="AHD32" s="218">
        <v>837884.64</v>
      </c>
      <c r="AHE32" s="218">
        <v>800170.29</v>
      </c>
      <c r="AHF32" s="218">
        <v>800170.29</v>
      </c>
      <c r="AHG32" s="218">
        <v>800170.29</v>
      </c>
      <c r="AHH32" s="218">
        <v>5564148.6500000004</v>
      </c>
      <c r="AHI32" s="218">
        <v>5550696.3099999996</v>
      </c>
      <c r="AHJ32" s="218">
        <v>5550696.3099999996</v>
      </c>
      <c r="AHK32" s="218">
        <v>5432195</v>
      </c>
      <c r="AHL32" s="218">
        <v>5432195</v>
      </c>
      <c r="AHM32" s="218">
        <v>6143313.5300000003</v>
      </c>
      <c r="AHN32" s="218">
        <v>6143313.5300000003</v>
      </c>
      <c r="AHO32" s="218">
        <v>6104013.8499999996</v>
      </c>
      <c r="AHP32" s="218">
        <v>2089870.29</v>
      </c>
      <c r="AHQ32" s="218">
        <v>1993098.9</v>
      </c>
      <c r="AHR32" s="218">
        <v>1993098.9</v>
      </c>
      <c r="AHS32" s="218">
        <v>1808434.46</v>
      </c>
      <c r="AHT32" s="218">
        <v>1808434.46</v>
      </c>
      <c r="AHU32" s="218">
        <v>1775193.46</v>
      </c>
      <c r="AHV32" s="218">
        <v>1775193.46</v>
      </c>
      <c r="AHW32" s="218">
        <v>1775193.46</v>
      </c>
      <c r="AHX32" s="218">
        <v>1775193.46</v>
      </c>
      <c r="AHY32" s="218">
        <v>1775193.46</v>
      </c>
      <c r="AHZ32" s="218">
        <v>276561.17</v>
      </c>
      <c r="AIA32" s="218">
        <v>276561.17</v>
      </c>
      <c r="AIB32" s="218">
        <v>223853.24</v>
      </c>
      <c r="AIC32" s="218">
        <v>223853.24</v>
      </c>
      <c r="AID32" s="218">
        <v>223853.24</v>
      </c>
      <c r="AIE32" s="218">
        <v>95044.37</v>
      </c>
      <c r="AIF32" s="218">
        <v>590044.37</v>
      </c>
      <c r="AIG32" s="218">
        <v>439186.27</v>
      </c>
      <c r="AIH32" s="218">
        <v>439186.27</v>
      </c>
      <c r="AII32" s="218">
        <v>439186.27</v>
      </c>
      <c r="AIJ32" s="218">
        <v>439186.27</v>
      </c>
      <c r="AIK32" s="218">
        <v>1189916.3700000001</v>
      </c>
      <c r="AIL32" s="218">
        <v>1151685.05</v>
      </c>
      <c r="AIM32" s="218">
        <v>1147862.99</v>
      </c>
      <c r="AIN32" s="218">
        <v>914777.72</v>
      </c>
      <c r="AIO32" s="218">
        <v>914777.72</v>
      </c>
      <c r="AIP32" s="218">
        <v>914777.72</v>
      </c>
      <c r="AIQ32" s="218">
        <v>914777.72</v>
      </c>
      <c r="AIR32" s="218">
        <v>914777.72</v>
      </c>
      <c r="AIS32" s="218">
        <v>3414777.72</v>
      </c>
      <c r="AIT32" s="218">
        <v>886888.44</v>
      </c>
      <c r="AIU32" s="218">
        <v>886888.44</v>
      </c>
      <c r="AIV32" s="218">
        <v>886888.44</v>
      </c>
      <c r="AIW32" s="218">
        <v>886888.44</v>
      </c>
      <c r="AIX32" s="218">
        <v>775351.64</v>
      </c>
      <c r="AIY32" s="218">
        <v>775351.64</v>
      </c>
      <c r="AIZ32" s="218">
        <v>775351.64</v>
      </c>
      <c r="AJA32" s="218">
        <v>769501.64</v>
      </c>
      <c r="AJB32" s="218">
        <v>769501.64</v>
      </c>
      <c r="AJC32" s="218">
        <v>769501.64</v>
      </c>
      <c r="AJD32" s="218">
        <v>785979.45</v>
      </c>
      <c r="AJE32" s="218">
        <v>785979.45</v>
      </c>
      <c r="AJF32" s="218">
        <v>952839.41</v>
      </c>
      <c r="AJG32" s="218">
        <v>909987.01</v>
      </c>
      <c r="AJH32" s="218">
        <v>909987.01</v>
      </c>
      <c r="AJI32" s="218">
        <v>909987.01</v>
      </c>
      <c r="AJJ32" s="218">
        <v>624987.01</v>
      </c>
      <c r="AJK32" s="218">
        <v>624987.01</v>
      </c>
      <c r="AJL32" s="218">
        <v>624987.01</v>
      </c>
      <c r="AJM32" s="218">
        <v>599806.41</v>
      </c>
      <c r="AJN32" s="218">
        <v>1167407.07</v>
      </c>
      <c r="AJO32" s="218">
        <v>1167407.07</v>
      </c>
      <c r="AJP32" s="218">
        <v>3510313.15</v>
      </c>
      <c r="AJQ32" s="218">
        <v>957314.73</v>
      </c>
      <c r="AJR32" s="218">
        <v>950282.04</v>
      </c>
      <c r="AJS32" s="218">
        <v>950282.04</v>
      </c>
      <c r="AJT32" s="218">
        <v>950282.04</v>
      </c>
      <c r="AJU32" s="218">
        <v>950282.04</v>
      </c>
      <c r="AJV32" s="218">
        <v>950282.04</v>
      </c>
      <c r="AJW32" s="218">
        <v>945282.04</v>
      </c>
      <c r="AJX32" s="218">
        <v>945282.04</v>
      </c>
      <c r="AJY32" s="218">
        <v>945282.04</v>
      </c>
      <c r="AJZ32" s="218">
        <v>930508.53</v>
      </c>
      <c r="AKA32" s="218">
        <v>5930508.5300000003</v>
      </c>
      <c r="AKB32" s="218">
        <v>950759.15</v>
      </c>
      <c r="AKC32" s="218">
        <v>825152.24</v>
      </c>
      <c r="AKD32" s="218">
        <v>825152.24</v>
      </c>
      <c r="AKE32" s="218">
        <v>825152.24</v>
      </c>
      <c r="AKF32" s="218">
        <v>756691.44</v>
      </c>
      <c r="AKG32" s="218">
        <v>756691.44</v>
      </c>
      <c r="AKH32" s="218">
        <v>756691.44</v>
      </c>
      <c r="AKI32" s="218">
        <v>756691.44</v>
      </c>
      <c r="AKJ32" s="218">
        <v>756691.44</v>
      </c>
      <c r="AKK32" s="218">
        <v>756691.44</v>
      </c>
      <c r="AKL32" s="218">
        <v>272067.75</v>
      </c>
      <c r="AKM32" s="218">
        <v>282886.18</v>
      </c>
      <c r="AKN32" s="218">
        <v>282886.18</v>
      </c>
      <c r="AKO32" s="218">
        <v>227123.24</v>
      </c>
      <c r="AKP32" s="218">
        <v>1194544.68</v>
      </c>
      <c r="AKQ32" s="218">
        <v>1194544.68</v>
      </c>
      <c r="AKR32" s="218">
        <v>689544.68</v>
      </c>
      <c r="AKS32" s="218">
        <v>640615.23</v>
      </c>
      <c r="AKT32" s="218">
        <v>640615.23</v>
      </c>
      <c r="AKU32" s="218">
        <v>1730406.67</v>
      </c>
      <c r="AKV32" s="218">
        <v>1647642.69</v>
      </c>
      <c r="AKW32" s="218">
        <v>1283768.23</v>
      </c>
      <c r="AKX32" s="218">
        <v>1210792.49</v>
      </c>
      <c r="AKY32" s="218">
        <v>1210792.49</v>
      </c>
      <c r="AKZ32" s="218">
        <v>1210792.49</v>
      </c>
      <c r="ALA32" s="218">
        <v>1025794.18</v>
      </c>
      <c r="ALB32" s="218">
        <v>559727.18000000005</v>
      </c>
      <c r="ALC32" s="218">
        <v>530250.31999999995</v>
      </c>
      <c r="ALD32" s="218">
        <v>530250.31999999995</v>
      </c>
      <c r="ALE32" s="218">
        <v>530250.31999999995</v>
      </c>
      <c r="ALF32" s="218">
        <v>3073002.12</v>
      </c>
      <c r="ALG32" s="218">
        <v>3073002.12</v>
      </c>
      <c r="ALH32" s="218">
        <v>3103502.12</v>
      </c>
      <c r="ALI32" s="218">
        <v>3103502.12</v>
      </c>
      <c r="ALJ32" s="218">
        <v>1425502.12</v>
      </c>
      <c r="ALK32" s="218">
        <v>1425502.12</v>
      </c>
      <c r="ALL32" s="218">
        <v>1411118.97</v>
      </c>
      <c r="ALM32" s="218">
        <v>1621213.79</v>
      </c>
      <c r="ALN32" s="218">
        <v>1621213.79</v>
      </c>
      <c r="ALO32" s="218">
        <v>1529023.23</v>
      </c>
      <c r="ALP32" s="218">
        <v>1529023.23</v>
      </c>
      <c r="ALQ32" s="218">
        <v>1529023.23</v>
      </c>
      <c r="ALR32" s="218">
        <v>1529023.23</v>
      </c>
      <c r="ALS32" s="218">
        <v>1529023.23</v>
      </c>
      <c r="ALT32" s="218">
        <v>1529023.23</v>
      </c>
      <c r="ALU32" s="218">
        <v>1529023.23</v>
      </c>
      <c r="ALV32" s="218">
        <v>1529023.23</v>
      </c>
      <c r="ALW32" s="218">
        <v>1529023.23</v>
      </c>
      <c r="ALX32" s="218">
        <v>1529023.23</v>
      </c>
      <c r="ALY32" s="218">
        <v>136913.81</v>
      </c>
      <c r="ALZ32" s="218">
        <v>136913.81</v>
      </c>
      <c r="AMA32" s="218">
        <v>136913.81</v>
      </c>
      <c r="AMB32" s="218">
        <v>107681.14</v>
      </c>
      <c r="AMC32" s="218">
        <v>79677.759999999995</v>
      </c>
      <c r="AMD32" s="218">
        <v>123404.71</v>
      </c>
      <c r="AME32" s="218">
        <v>95401.33</v>
      </c>
      <c r="AMF32" s="218">
        <v>72100.490000000005</v>
      </c>
      <c r="AMG32" s="218">
        <v>72100.490000000005</v>
      </c>
      <c r="AMH32" s="218">
        <v>5772100.4900000002</v>
      </c>
      <c r="AMI32" s="218">
        <v>249254.11</v>
      </c>
      <c r="AMJ32" s="218">
        <v>249254.11</v>
      </c>
      <c r="AMK32" s="218">
        <v>249254.11</v>
      </c>
      <c r="AML32" s="218">
        <v>249254.11</v>
      </c>
      <c r="AMM32" s="218">
        <v>249254.11</v>
      </c>
      <c r="AMN32" s="218">
        <v>196773.05</v>
      </c>
      <c r="AMO32" s="218">
        <v>196773.05</v>
      </c>
      <c r="AMP32" s="218">
        <v>196773.05</v>
      </c>
      <c r="AMQ32" s="218">
        <v>216977.85</v>
      </c>
      <c r="AMR32" s="218">
        <v>1476250.5</v>
      </c>
      <c r="AMS32" s="218">
        <v>721073.86</v>
      </c>
      <c r="AMT32" s="218">
        <v>703271.29</v>
      </c>
      <c r="AMU32" s="218">
        <v>703271.29</v>
      </c>
      <c r="AMV32" s="218">
        <v>630153.75</v>
      </c>
      <c r="AMW32" s="218">
        <v>630153.75</v>
      </c>
      <c r="AMX32" s="218">
        <v>625153.75</v>
      </c>
      <c r="AMY32" s="218">
        <v>625153.75</v>
      </c>
      <c r="AMZ32" s="218">
        <v>648749.25</v>
      </c>
      <c r="ANA32" s="218">
        <v>5648749.25</v>
      </c>
      <c r="ANB32" s="218">
        <v>814081.77</v>
      </c>
      <c r="ANC32" s="218">
        <v>814081.77</v>
      </c>
      <c r="AND32" s="218">
        <v>814081.77</v>
      </c>
      <c r="ANE32" s="218">
        <v>814081.77</v>
      </c>
      <c r="ANF32" s="218">
        <v>814081.77</v>
      </c>
      <c r="ANG32" s="218">
        <v>814081.77</v>
      </c>
      <c r="ANH32" s="218">
        <v>814081.77</v>
      </c>
      <c r="ANI32" s="218">
        <v>814081.77</v>
      </c>
      <c r="ANJ32" s="218">
        <v>814081.77</v>
      </c>
      <c r="ANK32" s="218">
        <v>814081.77</v>
      </c>
      <c r="ANL32" s="218">
        <v>814081.77</v>
      </c>
      <c r="ANM32" s="218">
        <v>814081.77</v>
      </c>
      <c r="ANN32" s="218">
        <v>814081.77</v>
      </c>
      <c r="ANO32" s="218">
        <v>814081.77</v>
      </c>
      <c r="ANP32" s="218">
        <v>814081.77</v>
      </c>
      <c r="ANQ32" s="218">
        <v>814081.77</v>
      </c>
      <c r="ANR32" s="218">
        <v>813235.66</v>
      </c>
      <c r="ANS32" s="218">
        <v>813235.66</v>
      </c>
      <c r="ANT32" s="218">
        <v>813235.66</v>
      </c>
      <c r="ANU32" s="218">
        <v>943488.63</v>
      </c>
      <c r="ANV32" s="218">
        <v>1942291.89</v>
      </c>
      <c r="ANW32" s="218">
        <v>1942291.89</v>
      </c>
      <c r="ANX32" s="218">
        <v>1942291.89</v>
      </c>
      <c r="ANY32" s="218">
        <v>1942291.89</v>
      </c>
      <c r="ANZ32" s="218">
        <v>1942291.89</v>
      </c>
      <c r="AOA32" s="218">
        <v>1942291.89</v>
      </c>
      <c r="AOB32" s="218">
        <v>1942291.89</v>
      </c>
      <c r="AOC32" s="218">
        <v>1942291.89</v>
      </c>
      <c r="AOD32" s="218">
        <v>1942291.89</v>
      </c>
      <c r="AOE32" s="218">
        <v>1942291.89</v>
      </c>
      <c r="AOF32" s="218">
        <v>2297423.89</v>
      </c>
      <c r="AOG32" s="218">
        <v>2297423.89</v>
      </c>
      <c r="AOH32" s="218">
        <v>2297423.89</v>
      </c>
      <c r="AOI32" s="218">
        <v>2297423.89</v>
      </c>
      <c r="AOJ32" s="278">
        <v>2297423.89</v>
      </c>
      <c r="AOK32" s="278">
        <v>2297423.89</v>
      </c>
      <c r="AOL32" s="278">
        <v>2297423.89</v>
      </c>
      <c r="AOM32" s="218">
        <v>5494923.8899999997</v>
      </c>
      <c r="AON32" s="218">
        <v>5494923.8899999997</v>
      </c>
      <c r="AOO32" s="218">
        <v>5494923.8899999997</v>
      </c>
      <c r="AOP32" s="218">
        <v>5494923.8899999997</v>
      </c>
      <c r="AOQ32" s="218">
        <v>1219835.01</v>
      </c>
      <c r="AOR32" s="218">
        <v>1219835.01</v>
      </c>
      <c r="AOS32" s="218">
        <v>1219835.01</v>
      </c>
      <c r="AOT32" s="218">
        <v>1219835.01</v>
      </c>
      <c r="AOU32" s="218">
        <v>1219835.01</v>
      </c>
      <c r="AOV32" s="218">
        <v>1219835.01</v>
      </c>
      <c r="AOW32" s="218">
        <v>1227961.72</v>
      </c>
      <c r="AOX32" s="218">
        <v>1227961.72</v>
      </c>
      <c r="AOY32" s="218">
        <v>1227961.72</v>
      </c>
      <c r="AOZ32" s="218">
        <v>1227961.72</v>
      </c>
      <c r="APA32" s="218">
        <v>1227961.72</v>
      </c>
      <c r="APB32" s="218">
        <v>1227961.72</v>
      </c>
      <c r="APC32" s="218">
        <v>1227961.72</v>
      </c>
      <c r="APD32" s="218">
        <v>1227961.72</v>
      </c>
      <c r="APE32" s="218">
        <v>1227961.72</v>
      </c>
      <c r="APF32" s="218">
        <v>1222961.72</v>
      </c>
      <c r="APG32" s="218">
        <v>1468758.09</v>
      </c>
      <c r="APH32" s="218">
        <v>1468758.09</v>
      </c>
      <c r="API32" s="218">
        <v>1468758.09</v>
      </c>
      <c r="APJ32" s="218">
        <v>1495740.9</v>
      </c>
      <c r="APK32" s="218">
        <v>1661870.27</v>
      </c>
      <c r="APL32" s="218">
        <v>1661870.27</v>
      </c>
      <c r="APM32" s="218">
        <v>1661870.27</v>
      </c>
      <c r="APN32" s="218">
        <f>1696465.91+(3621577.53*12.231)</f>
        <v>45991980.679429993</v>
      </c>
      <c r="APO32" s="453">
        <v>1696465.91</v>
      </c>
      <c r="APP32" s="453">
        <v>1696465.91</v>
      </c>
      <c r="APQ32" s="453">
        <v>1696465.91</v>
      </c>
      <c r="APR32" s="453">
        <v>1696465.91</v>
      </c>
      <c r="APS32" s="218">
        <v>1019140.35</v>
      </c>
      <c r="APT32" s="218">
        <v>1019140.35</v>
      </c>
      <c r="APU32" s="218">
        <v>1019140.35</v>
      </c>
      <c r="APV32" s="218">
        <v>1019140.35</v>
      </c>
      <c r="APW32" s="218">
        <v>1183328.71</v>
      </c>
      <c r="APX32" s="218">
        <v>1183328.71</v>
      </c>
      <c r="APY32" s="218">
        <v>1183328.71</v>
      </c>
      <c r="APZ32" s="218">
        <v>1177478.71</v>
      </c>
      <c r="AQA32" s="218">
        <v>1177478.71</v>
      </c>
      <c r="AQB32" s="218">
        <v>1177478.71</v>
      </c>
      <c r="AQC32" s="218">
        <v>1177478.71</v>
      </c>
      <c r="AQD32" s="218">
        <v>1177478.71</v>
      </c>
      <c r="AQE32" s="218">
        <v>1177478.71</v>
      </c>
      <c r="AQF32" s="218">
        <v>1177478.71</v>
      </c>
      <c r="AQG32" s="218">
        <v>1177478.71</v>
      </c>
      <c r="AQH32" s="218">
        <v>1177478.71</v>
      </c>
      <c r="AQI32" s="218">
        <v>4153878.71</v>
      </c>
      <c r="AQJ32" s="218">
        <v>4153878.71</v>
      </c>
      <c r="AQK32" s="218">
        <v>4153878.71</v>
      </c>
      <c r="AQL32" s="218">
        <v>4153878.71</v>
      </c>
      <c r="AQM32" s="218">
        <v>4208256.71</v>
      </c>
      <c r="AQN32" s="218">
        <v>4208256.71</v>
      </c>
      <c r="AQO32" s="218">
        <v>4208256.71</v>
      </c>
      <c r="AQP32" s="218">
        <v>4208256.71</v>
      </c>
      <c r="AQQ32" s="218">
        <v>4208256.71</v>
      </c>
      <c r="AQR32" s="218">
        <v>4208256.71</v>
      </c>
      <c r="AQS32" s="218">
        <f>4208256.71+500000</f>
        <v>4708256.71</v>
      </c>
      <c r="AQT32" s="218">
        <v>2340403.36</v>
      </c>
      <c r="AQU32" s="218">
        <v>618947.56000000006</v>
      </c>
      <c r="AQV32" s="218">
        <v>613947.56000000006</v>
      </c>
      <c r="AQW32" s="218">
        <v>613947.56000000006</v>
      </c>
      <c r="AQX32" s="218">
        <v>613947.56000000006</v>
      </c>
      <c r="AQY32" s="218">
        <v>613947.56000000006</v>
      </c>
      <c r="AQZ32" s="218">
        <v>613947.56000000006</v>
      </c>
      <c r="ARA32" s="218">
        <v>2355559.5699999998</v>
      </c>
      <c r="ARB32" s="218">
        <v>864086.78</v>
      </c>
      <c r="ARC32" s="218">
        <v>864086.78</v>
      </c>
      <c r="ARD32" s="218">
        <v>864086.78</v>
      </c>
      <c r="ARE32" s="218">
        <v>879086.78</v>
      </c>
      <c r="ARF32" s="218">
        <v>879086.78</v>
      </c>
      <c r="ARG32" s="218">
        <v>969093.98</v>
      </c>
      <c r="ARH32" s="218">
        <v>969093.98</v>
      </c>
      <c r="ARI32" s="218">
        <v>5613093.9800000004</v>
      </c>
      <c r="ARJ32" s="218">
        <v>5613093.9800000004</v>
      </c>
      <c r="ARK32" s="218">
        <v>5620059.96</v>
      </c>
      <c r="ARL32" s="218">
        <v>5632059.96</v>
      </c>
      <c r="ARM32" s="218">
        <v>9938101.5199999996</v>
      </c>
      <c r="ARN32" s="218">
        <v>3532981.52</v>
      </c>
      <c r="ARO32" s="218">
        <v>3532981.52</v>
      </c>
      <c r="ARP32" s="218">
        <v>3532981.52</v>
      </c>
      <c r="ARQ32" s="218">
        <v>3532981.52</v>
      </c>
      <c r="ARR32" s="218">
        <v>3527981.52</v>
      </c>
      <c r="ARS32" s="218">
        <v>3527981.52</v>
      </c>
      <c r="ART32" s="218">
        <v>3527981.52</v>
      </c>
      <c r="ARU32" s="218">
        <v>3527981.52</v>
      </c>
      <c r="ARV32" s="218">
        <v>2524251.6</v>
      </c>
      <c r="ARW32" s="218">
        <v>2524251.6</v>
      </c>
      <c r="ARX32" s="218">
        <v>2234094.54</v>
      </c>
      <c r="ARY32" s="218">
        <v>2234094.54</v>
      </c>
      <c r="ARZ32" s="218">
        <v>6338094.54</v>
      </c>
      <c r="ASA32" s="218">
        <v>6338094.54</v>
      </c>
      <c r="ASB32" s="218">
        <v>6338094.54</v>
      </c>
      <c r="ASC32" s="218">
        <v>6338094.54</v>
      </c>
      <c r="ASD32" s="218">
        <v>6338094.54</v>
      </c>
      <c r="ASE32" s="218">
        <v>6338094.54</v>
      </c>
      <c r="ASF32" s="218">
        <v>3866657.51</v>
      </c>
      <c r="ASG32" s="218">
        <v>1621755.21</v>
      </c>
      <c r="ASH32" s="218">
        <v>1621755.21</v>
      </c>
      <c r="ASI32" s="218">
        <v>1621755.21</v>
      </c>
      <c r="ASJ32" s="218">
        <v>1621718.21</v>
      </c>
      <c r="ASK32" s="218">
        <v>1631705.52</v>
      </c>
      <c r="ASL32" s="218">
        <v>1631705.52</v>
      </c>
      <c r="ASM32" s="218">
        <v>1631705.52</v>
      </c>
      <c r="ASN32" s="218">
        <v>1625855.52</v>
      </c>
      <c r="ASO32" s="218">
        <v>1625855.52</v>
      </c>
      <c r="ASP32" s="218">
        <v>2104473.52</v>
      </c>
      <c r="ASQ32" s="218">
        <v>613830.79</v>
      </c>
      <c r="ASR32" s="218">
        <v>613830.79</v>
      </c>
      <c r="ASS32" s="218">
        <v>1149309.01</v>
      </c>
      <c r="AST32" s="218">
        <v>1149309.01</v>
      </c>
      <c r="ASU32" s="218">
        <v>1149309.01</v>
      </c>
      <c r="ASV32" s="218">
        <v>1149309.01</v>
      </c>
      <c r="ASW32" s="218">
        <v>1149309.01</v>
      </c>
      <c r="ASX32" s="218">
        <v>1692249.35</v>
      </c>
      <c r="ASY32" s="218">
        <v>1692249.35</v>
      </c>
      <c r="ASZ32" s="218">
        <v>1692249.35</v>
      </c>
      <c r="ATA32" s="218">
        <v>1692249.35</v>
      </c>
      <c r="ATB32" s="218">
        <v>1692249.35</v>
      </c>
      <c r="ATC32" s="218">
        <v>1692249.35</v>
      </c>
      <c r="ATD32" s="218">
        <v>1692249.35</v>
      </c>
      <c r="ATE32" s="218">
        <v>1491267.18</v>
      </c>
      <c r="ATF32" s="218">
        <v>1498092.46</v>
      </c>
      <c r="ATG32" s="218">
        <v>1498092.46</v>
      </c>
      <c r="ATH32" s="218">
        <v>1498092.46</v>
      </c>
      <c r="ATI32" s="218">
        <v>1498092.46</v>
      </c>
      <c r="ATJ32" s="218">
        <v>1493092.46</v>
      </c>
      <c r="ATK32" s="218">
        <v>1493092.46</v>
      </c>
      <c r="ATL32" s="218">
        <v>1493092.46</v>
      </c>
      <c r="ATM32" s="218">
        <v>1493092.46</v>
      </c>
      <c r="ATN32" s="218">
        <v>1493092.46</v>
      </c>
      <c r="ATO32" s="218">
        <v>7493092.46</v>
      </c>
      <c r="ATP32" s="218">
        <v>8036604.54</v>
      </c>
      <c r="ATQ32" s="218">
        <v>8036604.54</v>
      </c>
      <c r="ATR32" s="218">
        <v>8036604.54</v>
      </c>
      <c r="ATS32" s="218">
        <v>8046965.4100000001</v>
      </c>
      <c r="ATT32" s="218">
        <v>8046965.4100000001</v>
      </c>
      <c r="ATU32" s="218">
        <v>8046965.4100000001</v>
      </c>
      <c r="ATV32" s="218">
        <v>8046965.4100000001</v>
      </c>
      <c r="ATW32" s="218">
        <v>8046965.4100000001</v>
      </c>
      <c r="ATX32" s="218">
        <v>8046965.4100000001</v>
      </c>
      <c r="ATY32" s="218">
        <v>5124784.83</v>
      </c>
      <c r="ATZ32" s="218">
        <v>5124784.83</v>
      </c>
      <c r="AUA32" s="218">
        <v>5124784.83</v>
      </c>
      <c r="AUB32" s="218">
        <v>1164784.83</v>
      </c>
      <c r="AUC32" s="218">
        <v>1164710.83</v>
      </c>
      <c r="AUD32" s="218">
        <v>1164710.83</v>
      </c>
      <c r="AUE32" s="218">
        <v>859710.83</v>
      </c>
      <c r="AUF32" s="218">
        <v>638411.82999999996</v>
      </c>
      <c r="AUG32" s="218">
        <v>638411.82999999996</v>
      </c>
      <c r="AUH32" s="218">
        <v>638411.82999999996</v>
      </c>
      <c r="AUI32" s="218">
        <v>650852.24</v>
      </c>
      <c r="AUJ32" s="218">
        <v>650852.24</v>
      </c>
      <c r="AUK32" s="218">
        <v>650852.24</v>
      </c>
      <c r="AUL32" s="218">
        <v>650852.24</v>
      </c>
      <c r="AUM32" s="218">
        <v>1360019.42</v>
      </c>
      <c r="AUN32" s="218">
        <v>1360019.42</v>
      </c>
      <c r="AUO32" s="218">
        <v>1360019.42</v>
      </c>
      <c r="AUP32" s="218">
        <v>1360019.42</v>
      </c>
      <c r="AUQ32" s="218">
        <v>1360019.42</v>
      </c>
      <c r="AUR32" s="218">
        <v>1360019.42</v>
      </c>
      <c r="AUS32" s="218">
        <v>1360019.42</v>
      </c>
      <c r="AUT32" s="218">
        <v>1360019.42</v>
      </c>
      <c r="AUU32" s="218">
        <v>1360019.42</v>
      </c>
      <c r="AUV32" s="218">
        <v>1360019.42</v>
      </c>
      <c r="AUW32" s="218">
        <v>1360019.42</v>
      </c>
      <c r="AUX32" s="218">
        <v>1360019.42</v>
      </c>
      <c r="AUY32" s="218">
        <v>1360019.42</v>
      </c>
      <c r="AUZ32" s="218">
        <v>1882425.94</v>
      </c>
      <c r="AVA32" s="218">
        <v>1877425.94</v>
      </c>
      <c r="AVB32" s="218">
        <v>1877425.94</v>
      </c>
      <c r="AVC32" s="218">
        <v>1877425.94</v>
      </c>
      <c r="AVD32" s="218">
        <v>1877425.94</v>
      </c>
      <c r="AVE32" s="218">
        <v>1877425.94</v>
      </c>
      <c r="AVF32" s="218">
        <v>1877425.94</v>
      </c>
      <c r="AVG32" s="218">
        <v>1877425.94</v>
      </c>
      <c r="AVH32" s="218">
        <v>1877425.94</v>
      </c>
      <c r="AVI32" s="218">
        <v>1877425.94</v>
      </c>
      <c r="AVJ32" s="218">
        <v>1877425.94</v>
      </c>
      <c r="AVK32" s="218">
        <v>1877425.94</v>
      </c>
      <c r="AVL32" s="218">
        <v>1877425.94</v>
      </c>
      <c r="AVM32" s="218">
        <v>1876756.34</v>
      </c>
      <c r="AVN32" s="218">
        <v>1876756.34</v>
      </c>
      <c r="AVO32" s="218">
        <v>1905570.91</v>
      </c>
      <c r="AVP32" s="218">
        <v>1905570.91</v>
      </c>
      <c r="AVQ32" s="218">
        <v>1905570.91</v>
      </c>
      <c r="AVR32" s="218">
        <v>1900570.91</v>
      </c>
      <c r="AVS32" s="218">
        <v>1900570.91</v>
      </c>
      <c r="AVT32" s="218">
        <v>3347606.02</v>
      </c>
      <c r="AVU32" s="218">
        <v>3347606.02</v>
      </c>
      <c r="AVV32" s="218">
        <v>3347606.02</v>
      </c>
      <c r="AVW32" s="218">
        <v>3347606.02</v>
      </c>
      <c r="AVX32" s="218">
        <v>3347606.02</v>
      </c>
      <c r="AVY32" s="218">
        <v>3347606.02</v>
      </c>
      <c r="AVZ32" s="218">
        <v>3347606.02</v>
      </c>
      <c r="AWA32" s="218">
        <v>3347606.02</v>
      </c>
      <c r="AWB32" s="218">
        <v>3347606.02</v>
      </c>
      <c r="AWC32" s="218">
        <v>3347606.02</v>
      </c>
      <c r="AWD32" s="218">
        <v>3347606.02</v>
      </c>
      <c r="AWE32" s="218">
        <f t="shared" ref="AWE32:AWK32" si="0">3347606.02-2684009.28</f>
        <v>663596.74000000022</v>
      </c>
      <c r="AWF32" s="218">
        <f t="shared" si="0"/>
        <v>663596.74000000022</v>
      </c>
      <c r="AWG32" s="218">
        <f t="shared" si="0"/>
        <v>663596.74000000022</v>
      </c>
      <c r="AWH32" s="218">
        <f t="shared" si="0"/>
        <v>663596.74000000022</v>
      </c>
      <c r="AWI32" s="218">
        <f t="shared" si="0"/>
        <v>663596.74000000022</v>
      </c>
      <c r="AWJ32" s="218">
        <f t="shared" si="0"/>
        <v>663596.74000000022</v>
      </c>
      <c r="AWK32" s="218">
        <f t="shared" si="0"/>
        <v>663596.74000000022</v>
      </c>
      <c r="AWL32" s="218">
        <v>660896.74</v>
      </c>
      <c r="AWM32" s="218">
        <v>660896.74</v>
      </c>
      <c r="AWN32" s="218">
        <v>660896.74</v>
      </c>
      <c r="AWO32" s="218">
        <v>660896.74</v>
      </c>
      <c r="AWP32" s="218">
        <v>660896.74</v>
      </c>
      <c r="AWQ32" s="218">
        <v>660896.74</v>
      </c>
      <c r="AWR32" s="218">
        <v>660896.74</v>
      </c>
      <c r="AWS32" s="218">
        <f>660896.74+44194512.02</f>
        <v>44855408.760000005</v>
      </c>
      <c r="AWT32" s="218">
        <v>660896.74</v>
      </c>
      <c r="AWU32" s="218">
        <v>660896.74</v>
      </c>
      <c r="AWV32" s="218">
        <v>1424650.53</v>
      </c>
      <c r="AWW32" s="218">
        <v>1424650.53</v>
      </c>
      <c r="AWX32" s="218">
        <v>1424650.53</v>
      </c>
      <c r="AWY32" s="218">
        <v>1424650.53</v>
      </c>
      <c r="AWZ32" s="218">
        <v>1424650.53</v>
      </c>
      <c r="AXA32" s="218">
        <v>1424650.53</v>
      </c>
      <c r="AXB32" s="218">
        <v>1424650.53</v>
      </c>
      <c r="AXC32" s="218">
        <v>1424650.53</v>
      </c>
      <c r="AXD32" s="218">
        <v>1424650.53</v>
      </c>
      <c r="AXE32" s="218">
        <v>1424650.53</v>
      </c>
      <c r="AXF32" s="218">
        <v>1424650.53</v>
      </c>
      <c r="AXG32" s="218">
        <v>1421950.53</v>
      </c>
      <c r="AXH32" s="218">
        <v>1421950.53</v>
      </c>
      <c r="AXI32" s="218">
        <v>1421950.53</v>
      </c>
      <c r="AXJ32" s="218">
        <f>1421950.53+4300000-5324563.4</f>
        <v>397387.12999999989</v>
      </c>
      <c r="AXK32" s="218">
        <v>392687.13</v>
      </c>
      <c r="AXL32" s="218">
        <v>392687.13</v>
      </c>
      <c r="AXM32" s="218">
        <v>392559.46</v>
      </c>
      <c r="AXN32" s="218">
        <v>392559.46</v>
      </c>
      <c r="AXO32" s="218">
        <v>392559.46</v>
      </c>
      <c r="AXP32" s="218">
        <v>369559.46</v>
      </c>
      <c r="AXQ32" s="218">
        <v>369559.46</v>
      </c>
      <c r="AXR32" s="218">
        <v>369559.46</v>
      </c>
      <c r="AXS32" s="218">
        <v>367559.46</v>
      </c>
      <c r="AXT32" s="218">
        <v>366059.46</v>
      </c>
      <c r="AXU32" s="218">
        <v>1066086.47</v>
      </c>
      <c r="AXV32" s="218">
        <v>1066086.47</v>
      </c>
      <c r="AXW32" s="218">
        <v>1066086.47</v>
      </c>
      <c r="AXX32" s="218">
        <v>1066086.47</v>
      </c>
      <c r="AXY32" s="218">
        <v>1066086.47</v>
      </c>
      <c r="AXZ32" s="218">
        <v>1066086.47</v>
      </c>
      <c r="AYA32" s="218">
        <v>1066086.47</v>
      </c>
      <c r="AYB32" s="218">
        <v>1066086.47</v>
      </c>
      <c r="AYC32" s="218">
        <v>1066086.47</v>
      </c>
      <c r="AYD32" s="218">
        <v>1061086.47</v>
      </c>
      <c r="AYE32" s="218">
        <v>1061086.47</v>
      </c>
      <c r="AYF32" s="218">
        <v>1061086.47</v>
      </c>
      <c r="AYG32" s="218">
        <v>1061086.47</v>
      </c>
      <c r="AYH32" s="218">
        <v>1061086.47</v>
      </c>
      <c r="AYI32" s="218">
        <v>1061086.47</v>
      </c>
      <c r="AYJ32" s="218">
        <v>1061086.47</v>
      </c>
      <c r="AYK32" s="218">
        <v>1061086.47</v>
      </c>
      <c r="AYL32" s="218">
        <v>1061086.47</v>
      </c>
      <c r="AYM32" s="218">
        <v>1061086.47</v>
      </c>
      <c r="AYN32" s="218">
        <v>1061086.47</v>
      </c>
      <c r="AYO32" s="218">
        <v>1061086.47</v>
      </c>
      <c r="AYP32" s="218">
        <v>1061086.47</v>
      </c>
      <c r="AYQ32" s="218">
        <v>1061086.47</v>
      </c>
      <c r="AYR32" s="218">
        <v>1061086.47</v>
      </c>
      <c r="AYS32" s="218">
        <v>1061086.47</v>
      </c>
      <c r="AYT32" s="218">
        <v>1061086.47</v>
      </c>
      <c r="AYU32" s="218">
        <v>1056082.29</v>
      </c>
      <c r="AYV32" s="218">
        <v>1056082.29</v>
      </c>
      <c r="AYW32" s="218">
        <v>1056082.29</v>
      </c>
      <c r="AYX32" s="218">
        <v>1056082.29</v>
      </c>
      <c r="AYY32" s="218">
        <v>2465812.41</v>
      </c>
      <c r="AYZ32" s="218">
        <v>2465812.41</v>
      </c>
      <c r="AZA32" s="218">
        <v>2465812.41</v>
      </c>
      <c r="AZB32" s="218">
        <v>2465812.41</v>
      </c>
      <c r="AZC32" s="218">
        <v>2420965.86</v>
      </c>
      <c r="AZD32" s="218">
        <v>2420965.86</v>
      </c>
      <c r="AZE32" s="218">
        <v>2420965.86</v>
      </c>
      <c r="AZF32" s="218">
        <v>2420965.86</v>
      </c>
      <c r="AZG32" s="218">
        <v>2420965.86</v>
      </c>
      <c r="AZH32" s="218">
        <v>2420965.86</v>
      </c>
      <c r="AZI32" s="218">
        <v>2420965.86</v>
      </c>
      <c r="AZJ32" s="218">
        <v>2420965.86</v>
      </c>
      <c r="AZK32" s="218">
        <v>2420965.86</v>
      </c>
      <c r="AZL32" s="218">
        <v>2420965.86</v>
      </c>
      <c r="AZM32" s="218">
        <v>2420965.86</v>
      </c>
      <c r="AZN32" s="218">
        <v>2407955.36</v>
      </c>
      <c r="AZO32" s="218">
        <v>2407955.36</v>
      </c>
      <c r="AZP32" s="218">
        <v>2407955.36</v>
      </c>
      <c r="AZQ32" s="218">
        <v>2407955.36</v>
      </c>
      <c r="AZR32" s="218">
        <v>2407955.36</v>
      </c>
      <c r="AZS32" s="218">
        <v>2407955.36</v>
      </c>
      <c r="AZT32" s="218">
        <v>2407955.36</v>
      </c>
      <c r="AZU32" s="218">
        <v>200000</v>
      </c>
      <c r="AZV32" s="218">
        <v>196263</v>
      </c>
      <c r="AZW32" s="218">
        <v>196263</v>
      </c>
      <c r="AZX32" s="218">
        <v>196263</v>
      </c>
      <c r="AZY32" s="218">
        <v>196263</v>
      </c>
      <c r="AZZ32" s="218">
        <v>196263</v>
      </c>
      <c r="BAA32" s="218">
        <v>196263</v>
      </c>
      <c r="BAB32" s="218">
        <v>196263</v>
      </c>
      <c r="BAC32" s="218">
        <v>196263</v>
      </c>
      <c r="BAD32" s="218">
        <v>196263</v>
      </c>
      <c r="BAE32" s="218">
        <v>196263</v>
      </c>
      <c r="BAF32" s="218">
        <v>196263</v>
      </c>
      <c r="BAG32" s="218">
        <v>196263</v>
      </c>
      <c r="BAH32" s="218">
        <v>196263</v>
      </c>
      <c r="BAI32" s="218">
        <v>196263</v>
      </c>
      <c r="BAJ32" s="218">
        <v>196263</v>
      </c>
      <c r="BAK32" s="218">
        <v>190413</v>
      </c>
      <c r="BAL32" s="218">
        <v>190413</v>
      </c>
      <c r="BAM32" s="218">
        <v>190413</v>
      </c>
      <c r="BAN32" s="218">
        <v>190413</v>
      </c>
      <c r="BAO32" s="218">
        <v>190413</v>
      </c>
      <c r="BAP32" s="218">
        <v>40092313.627870001</v>
      </c>
      <c r="BAQ32" s="218">
        <v>40092313.627870001</v>
      </c>
    </row>
    <row r="33" spans="1:1395" s="218" customFormat="1" ht="13.15" customHeight="1" x14ac:dyDescent="0.2">
      <c r="A33" s="483"/>
      <c r="B33" s="217" t="s">
        <v>188</v>
      </c>
      <c r="RE33" s="300"/>
      <c r="RF33" s="300"/>
      <c r="RG33" s="300"/>
      <c r="RH33" s="300"/>
      <c r="RI33" s="300"/>
      <c r="RJ33" s="300"/>
      <c r="RR33" s="300"/>
      <c r="RS33" s="300"/>
      <c r="RT33" s="300"/>
      <c r="UC33" s="218">
        <v>50000</v>
      </c>
      <c r="UD33" s="218">
        <v>7383.06</v>
      </c>
      <c r="UE33" s="218">
        <v>7383.06</v>
      </c>
      <c r="UF33" s="218">
        <v>7383.06</v>
      </c>
      <c r="UG33" s="218">
        <v>7383.06</v>
      </c>
      <c r="UH33" s="218">
        <v>7383.06</v>
      </c>
      <c r="UI33" s="218">
        <v>7383.06</v>
      </c>
      <c r="UJ33" s="218">
        <v>7383.06</v>
      </c>
      <c r="UK33" s="218">
        <v>7383.06</v>
      </c>
      <c r="UL33" s="218">
        <v>7383.06</v>
      </c>
      <c r="UM33" s="218">
        <v>7383.06</v>
      </c>
      <c r="UN33" s="218">
        <v>7383.06</v>
      </c>
      <c r="UO33" s="218">
        <v>7383.06</v>
      </c>
      <c r="UP33" s="218">
        <v>7383.06</v>
      </c>
      <c r="UQ33" s="218">
        <v>7383.06</v>
      </c>
      <c r="UR33" s="218">
        <v>7383.06</v>
      </c>
      <c r="US33" s="218">
        <v>7383.06</v>
      </c>
      <c r="UT33" s="218">
        <v>4383.0600000000004</v>
      </c>
      <c r="UU33" s="218">
        <v>4383.0600000000004</v>
      </c>
      <c r="UV33" s="218">
        <v>4383.0600000000004</v>
      </c>
      <c r="UW33" s="218">
        <v>4383.0600000000004</v>
      </c>
      <c r="UX33" s="218">
        <v>4383.0600000000004</v>
      </c>
      <c r="UY33" s="218">
        <v>4383.0600000000004</v>
      </c>
      <c r="UZ33" s="218">
        <v>4383.0600000000004</v>
      </c>
      <c r="VA33" s="218">
        <v>4383.0600000000004</v>
      </c>
      <c r="VB33" s="218">
        <v>4383.0600000000004</v>
      </c>
      <c r="VC33" s="218">
        <v>4383.0600000000004</v>
      </c>
      <c r="VD33" s="218">
        <v>4383.0600000000004</v>
      </c>
      <c r="VE33" s="218">
        <v>4383.0600000000004</v>
      </c>
      <c r="VF33" s="218">
        <v>1683.06</v>
      </c>
      <c r="VG33" s="218">
        <v>1683.06</v>
      </c>
      <c r="VH33" s="218">
        <v>1683.06</v>
      </c>
      <c r="VI33" s="218">
        <v>1683.06</v>
      </c>
      <c r="VJ33" s="218">
        <v>1683.06</v>
      </c>
      <c r="VK33" s="218">
        <v>1683.06</v>
      </c>
      <c r="VL33" s="218">
        <v>1683.06</v>
      </c>
      <c r="VM33" s="218">
        <v>11683.06</v>
      </c>
      <c r="VN33" s="218">
        <v>11683.06</v>
      </c>
      <c r="VO33" s="218">
        <v>11683.06</v>
      </c>
      <c r="VP33" s="218">
        <v>7183.06</v>
      </c>
      <c r="VQ33" s="218">
        <v>7183.06</v>
      </c>
      <c r="VR33" s="218">
        <v>7183.06</v>
      </c>
      <c r="VS33" s="218">
        <v>7183.06</v>
      </c>
      <c r="VT33" s="218">
        <v>7183.06</v>
      </c>
      <c r="VU33" s="218">
        <v>7183.06</v>
      </c>
      <c r="VV33" s="218">
        <v>7183.06</v>
      </c>
      <c r="VW33" s="218">
        <v>7183.06</v>
      </c>
      <c r="VX33" s="218">
        <v>7183.06</v>
      </c>
      <c r="VY33" s="218">
        <v>7183.06</v>
      </c>
      <c r="VZ33" s="218">
        <v>7183.06</v>
      </c>
      <c r="WA33" s="218">
        <v>7183.06</v>
      </c>
      <c r="WB33" s="218">
        <v>7183.06</v>
      </c>
      <c r="WC33" s="218">
        <v>7183.06</v>
      </c>
      <c r="WD33" s="218">
        <v>7183.06</v>
      </c>
      <c r="WE33" s="218">
        <v>7183.06</v>
      </c>
      <c r="WF33" s="218">
        <v>7183.06</v>
      </c>
      <c r="WG33" s="218">
        <v>5683.06</v>
      </c>
      <c r="WH33" s="218">
        <v>5683.06</v>
      </c>
      <c r="WI33" s="218">
        <v>5683.06</v>
      </c>
      <c r="WJ33" s="218">
        <v>5683.06</v>
      </c>
      <c r="WK33" s="218">
        <v>5683.06</v>
      </c>
      <c r="WL33" s="218">
        <v>5683.06</v>
      </c>
      <c r="WM33" s="218">
        <v>5683.06</v>
      </c>
      <c r="WN33" s="218">
        <v>5683.06</v>
      </c>
      <c r="WO33" s="218">
        <v>5683.06</v>
      </c>
      <c r="WP33" s="218">
        <v>5683.06</v>
      </c>
      <c r="WQ33" s="218">
        <v>5683.06</v>
      </c>
      <c r="WR33" s="218">
        <v>5683.06</v>
      </c>
      <c r="WS33" s="218">
        <v>5683.06</v>
      </c>
      <c r="WT33" s="218">
        <v>5683.06</v>
      </c>
      <c r="WU33" s="218">
        <v>5683.06</v>
      </c>
      <c r="WV33" s="218">
        <v>5683.06</v>
      </c>
      <c r="WW33" s="218">
        <v>5683.06</v>
      </c>
      <c r="WX33" s="218">
        <v>5683.06</v>
      </c>
      <c r="WY33" s="218">
        <v>5683.06</v>
      </c>
      <c r="WZ33" s="218">
        <v>5683.06</v>
      </c>
      <c r="XA33" s="218">
        <v>5683.06</v>
      </c>
      <c r="XB33" s="218">
        <v>4183.0600000000004</v>
      </c>
      <c r="XC33" s="218">
        <v>4183.0600000000004</v>
      </c>
      <c r="XD33" s="218">
        <v>4183.0600000000004</v>
      </c>
      <c r="XE33" s="218">
        <v>4183.0600000000004</v>
      </c>
      <c r="XF33" s="218">
        <v>4183.0600000000004</v>
      </c>
      <c r="XG33" s="218">
        <v>4183.0600000000004</v>
      </c>
      <c r="XH33" s="218">
        <v>4183.0600000000004</v>
      </c>
      <c r="XI33" s="218">
        <v>4183.0600000000004</v>
      </c>
      <c r="XJ33" s="218">
        <v>4183.0600000000004</v>
      </c>
      <c r="XK33" s="218">
        <v>4183.0600000000004</v>
      </c>
      <c r="XL33" s="218">
        <v>4183.0600000000004</v>
      </c>
      <c r="XM33" s="218">
        <v>4183.0600000000004</v>
      </c>
      <c r="XN33" s="218">
        <v>4183.0600000000004</v>
      </c>
      <c r="XO33" s="218">
        <v>4183.0600000000004</v>
      </c>
      <c r="XP33" s="218">
        <v>4183.0600000000004</v>
      </c>
      <c r="XQ33" s="218">
        <v>4183.0600000000004</v>
      </c>
      <c r="XR33" s="218">
        <v>4183.0600000000004</v>
      </c>
      <c r="XS33" s="218">
        <v>4183.0600000000004</v>
      </c>
      <c r="XT33" s="218">
        <v>4183.0600000000004</v>
      </c>
      <c r="XU33" s="218">
        <v>4183.0600000000004</v>
      </c>
      <c r="XV33" s="218">
        <v>4183.0600000000004</v>
      </c>
      <c r="XW33" s="218">
        <v>2683.06</v>
      </c>
      <c r="XX33" s="218">
        <v>2683.06</v>
      </c>
      <c r="XY33" s="218">
        <v>2683.06</v>
      </c>
      <c r="XZ33" s="218">
        <v>2683.06</v>
      </c>
      <c r="YA33" s="218">
        <v>2683.06</v>
      </c>
      <c r="YB33" s="218">
        <v>2683.06</v>
      </c>
      <c r="YC33" s="218">
        <v>2683.06</v>
      </c>
      <c r="YD33" s="218">
        <v>12683.06</v>
      </c>
      <c r="YE33" s="218">
        <v>12683.06</v>
      </c>
      <c r="YF33" s="218">
        <v>12683.06</v>
      </c>
      <c r="YG33" s="218">
        <v>12683.06</v>
      </c>
      <c r="YH33" s="218">
        <v>12683.06</v>
      </c>
      <c r="YI33" s="218">
        <v>12683.06</v>
      </c>
      <c r="YJ33" s="218">
        <v>12683.06</v>
      </c>
      <c r="YK33" s="218">
        <v>12683.06</v>
      </c>
      <c r="YL33" s="218">
        <v>12683.06</v>
      </c>
      <c r="YM33" s="218">
        <v>12683.06</v>
      </c>
      <c r="YN33" s="218">
        <v>12683.06</v>
      </c>
      <c r="YO33" s="218">
        <v>12683.06</v>
      </c>
      <c r="YP33" s="218">
        <v>12683.06</v>
      </c>
      <c r="YQ33" s="218">
        <v>12683.06</v>
      </c>
      <c r="YR33" s="218">
        <v>12683.06</v>
      </c>
      <c r="YS33" s="218">
        <v>11183.06</v>
      </c>
      <c r="YT33" s="218">
        <v>11183.06</v>
      </c>
      <c r="YU33" s="218">
        <v>11183.06</v>
      </c>
      <c r="YV33" s="218">
        <v>11183.06</v>
      </c>
      <c r="YW33" s="218">
        <v>11183.06</v>
      </c>
      <c r="YX33" s="218">
        <v>11183.06</v>
      </c>
      <c r="YY33" s="218">
        <v>11183.06</v>
      </c>
      <c r="YZ33" s="218">
        <v>11183.06</v>
      </c>
      <c r="ZA33" s="218">
        <v>11183.06</v>
      </c>
      <c r="ZB33" s="218">
        <v>11183.06</v>
      </c>
      <c r="ZC33" s="218">
        <v>11183.06</v>
      </c>
      <c r="ZD33" s="218">
        <v>11183.06</v>
      </c>
      <c r="ZE33" s="218">
        <v>11183.06</v>
      </c>
      <c r="ZF33" s="218">
        <v>11183.06</v>
      </c>
      <c r="ZG33" s="218">
        <v>11183.06</v>
      </c>
      <c r="ZH33" s="218">
        <v>11183.06</v>
      </c>
      <c r="ZI33" s="218">
        <v>11183.06</v>
      </c>
      <c r="ZJ33" s="218">
        <v>11183.06</v>
      </c>
      <c r="ZK33" s="218">
        <v>11183.06</v>
      </c>
      <c r="ZL33" s="218">
        <v>11183.06</v>
      </c>
      <c r="ZM33" s="218">
        <v>11183.06</v>
      </c>
      <c r="ZN33" s="218">
        <v>8183.06</v>
      </c>
      <c r="ZO33" s="218">
        <v>8183.06</v>
      </c>
      <c r="ZP33" s="218">
        <v>8183.06</v>
      </c>
      <c r="ZQ33" s="218">
        <v>8183.06</v>
      </c>
      <c r="ZR33" s="218">
        <v>8183.06</v>
      </c>
      <c r="ZS33" s="218">
        <v>8183.06</v>
      </c>
      <c r="ZT33" s="218">
        <v>8183.06</v>
      </c>
      <c r="ZU33" s="218">
        <v>8183.06</v>
      </c>
      <c r="ZV33" s="218">
        <v>8183.06</v>
      </c>
      <c r="ZW33" s="218">
        <v>8183.06</v>
      </c>
      <c r="ZX33" s="218">
        <v>8183.06</v>
      </c>
      <c r="ZY33" s="218">
        <v>8183.06</v>
      </c>
      <c r="ZZ33" s="218">
        <v>8183.06</v>
      </c>
      <c r="AAA33" s="218">
        <v>8183.06</v>
      </c>
      <c r="AAB33" s="218">
        <v>8183.06</v>
      </c>
      <c r="AAC33" s="218">
        <v>8183.06</v>
      </c>
      <c r="AAD33" s="218">
        <v>8183.06</v>
      </c>
      <c r="AAE33" s="218">
        <v>8183.06</v>
      </c>
      <c r="AAF33" s="218">
        <v>8183.06</v>
      </c>
      <c r="AAG33" s="218">
        <v>8183.06</v>
      </c>
      <c r="AAH33" s="218">
        <v>8183.06</v>
      </c>
      <c r="AAI33" s="218">
        <v>8183.06</v>
      </c>
      <c r="AAJ33" s="218">
        <v>8183.06</v>
      </c>
      <c r="AAK33" s="218">
        <v>8183.06</v>
      </c>
      <c r="AAL33" s="218">
        <v>8183.06</v>
      </c>
      <c r="AAM33" s="218">
        <v>8183.06</v>
      </c>
      <c r="AAN33" s="218">
        <v>8183.06</v>
      </c>
      <c r="AAO33" s="218">
        <v>8183.06</v>
      </c>
      <c r="AAP33" s="218">
        <v>8183.06</v>
      </c>
      <c r="AAQ33" s="218">
        <v>8183.06</v>
      </c>
      <c r="AAR33" s="218">
        <v>8183.06</v>
      </c>
      <c r="AAS33" s="218">
        <v>50383.06</v>
      </c>
      <c r="AAT33" s="218">
        <v>50383.06</v>
      </c>
      <c r="AAU33" s="218">
        <v>50383.06</v>
      </c>
      <c r="AAV33" s="218">
        <v>50383.06</v>
      </c>
      <c r="AAW33" s="218">
        <v>50383.06</v>
      </c>
      <c r="AAX33" s="218">
        <v>50383.06</v>
      </c>
      <c r="AAY33" s="218">
        <v>50383.06</v>
      </c>
      <c r="AAZ33" s="218">
        <v>50383.06</v>
      </c>
      <c r="ABA33" s="218">
        <v>50383.06</v>
      </c>
      <c r="ABB33" s="218">
        <v>50383.06</v>
      </c>
      <c r="ABC33" s="218">
        <v>50383.06</v>
      </c>
      <c r="ABD33" s="218">
        <v>50383.06</v>
      </c>
      <c r="ABE33" s="436">
        <v>45883.06</v>
      </c>
      <c r="ABF33" s="436">
        <v>45883.06</v>
      </c>
      <c r="ABG33" s="436">
        <v>45883.06</v>
      </c>
      <c r="ABH33" s="436">
        <v>45883.06</v>
      </c>
      <c r="ABI33" s="437">
        <v>45883.06</v>
      </c>
      <c r="ABJ33" s="437">
        <v>45883.06</v>
      </c>
      <c r="ABK33" s="218">
        <v>45883.06</v>
      </c>
      <c r="ABL33" s="218">
        <v>45883.06</v>
      </c>
      <c r="ABM33" s="218">
        <v>45883.06</v>
      </c>
      <c r="ABN33" s="218">
        <v>45883.06</v>
      </c>
      <c r="ABO33" s="218">
        <v>45883.06</v>
      </c>
      <c r="ABP33" s="218">
        <v>45883.06</v>
      </c>
      <c r="ABQ33" s="218">
        <v>45883.06</v>
      </c>
      <c r="ABR33" s="218">
        <v>45883.06</v>
      </c>
      <c r="ABS33" s="218">
        <v>45883.06</v>
      </c>
      <c r="ABT33" s="218">
        <v>45883.06</v>
      </c>
      <c r="ABU33" s="218">
        <v>45883.06</v>
      </c>
      <c r="ABV33" s="218">
        <v>45883.06</v>
      </c>
      <c r="ABW33" s="218">
        <v>45883.06</v>
      </c>
      <c r="ABX33" s="218">
        <v>45883.06</v>
      </c>
      <c r="ABY33" s="218">
        <v>45883.06</v>
      </c>
      <c r="ABZ33" s="218">
        <v>45883.06</v>
      </c>
      <c r="ACA33" s="218">
        <v>45883.06</v>
      </c>
      <c r="ACB33" s="218">
        <v>45883.06</v>
      </c>
      <c r="ACC33" s="218">
        <v>45883.06</v>
      </c>
      <c r="ACD33" s="218">
        <v>45883.06</v>
      </c>
      <c r="ACE33" s="278">
        <v>45883.06</v>
      </c>
      <c r="ACF33" s="218">
        <v>45883.06</v>
      </c>
      <c r="ACG33" s="218">
        <v>45883.06</v>
      </c>
      <c r="ACH33" s="218">
        <v>45883.06</v>
      </c>
      <c r="ACI33" s="218">
        <v>45883.06</v>
      </c>
      <c r="ACJ33" s="218">
        <v>45883.06</v>
      </c>
      <c r="ACK33" s="218">
        <v>45883.06</v>
      </c>
      <c r="ACL33" s="218">
        <v>45883.06</v>
      </c>
      <c r="ACM33" s="218">
        <v>45883.06</v>
      </c>
      <c r="ACN33" s="218">
        <v>45883.06</v>
      </c>
      <c r="ACO33" s="218">
        <v>45883.06</v>
      </c>
      <c r="ACP33" s="218">
        <v>45883.06</v>
      </c>
      <c r="ACQ33" s="218">
        <v>45883.06</v>
      </c>
      <c r="ACR33" s="218">
        <v>45883.06</v>
      </c>
      <c r="ACS33" s="218">
        <v>45883.06</v>
      </c>
      <c r="ACT33" s="218">
        <v>45883.06</v>
      </c>
      <c r="ACU33" s="218">
        <v>45883.06</v>
      </c>
      <c r="ACV33" s="218">
        <v>45883.06</v>
      </c>
      <c r="ACW33" s="218">
        <v>45883.06</v>
      </c>
      <c r="ACX33" s="218">
        <v>45883.06</v>
      </c>
      <c r="ACY33" s="218">
        <v>45883.06</v>
      </c>
      <c r="ACZ33" s="218">
        <v>45883.06</v>
      </c>
      <c r="ADA33" s="218">
        <v>45883.06</v>
      </c>
      <c r="ADB33" s="218">
        <v>45883.06</v>
      </c>
      <c r="ADC33" s="218">
        <v>45883.06</v>
      </c>
      <c r="ADD33" s="218">
        <v>45883.06</v>
      </c>
      <c r="ADE33" s="218">
        <v>45883.06</v>
      </c>
      <c r="ADF33" s="218">
        <v>45883.06</v>
      </c>
      <c r="ADG33" s="218">
        <v>41383.06</v>
      </c>
      <c r="ADH33" s="218">
        <v>41383.06</v>
      </c>
      <c r="ADI33" s="218">
        <v>41383.06</v>
      </c>
      <c r="ADJ33" s="218">
        <v>41383.06</v>
      </c>
      <c r="ADK33" s="218">
        <v>41383.06</v>
      </c>
      <c r="ADL33" s="218">
        <v>41383.06</v>
      </c>
      <c r="ADM33" s="218">
        <v>41383.06</v>
      </c>
      <c r="ADN33" s="218">
        <v>41383.06</v>
      </c>
      <c r="ADO33" s="218">
        <v>41383.06</v>
      </c>
      <c r="ADP33" s="218">
        <v>41383.06</v>
      </c>
      <c r="ADQ33" s="218">
        <v>41383.06</v>
      </c>
      <c r="ADR33" s="218">
        <v>41383.06</v>
      </c>
      <c r="ADS33" s="218">
        <v>41383.06</v>
      </c>
      <c r="ADT33" s="218">
        <v>41383.06</v>
      </c>
      <c r="ADU33" s="218">
        <v>41383.06</v>
      </c>
      <c r="ADV33" s="218">
        <v>41383.06</v>
      </c>
      <c r="ADW33" s="218">
        <v>41383.06</v>
      </c>
      <c r="ADX33" s="218">
        <v>41383.06</v>
      </c>
      <c r="ADY33" s="218">
        <v>41383.06</v>
      </c>
      <c r="ADZ33" s="218">
        <v>41383.06</v>
      </c>
      <c r="AEA33" s="218">
        <v>41383.06</v>
      </c>
      <c r="AEB33" s="218">
        <v>41383.06</v>
      </c>
      <c r="AEC33" s="218">
        <v>41383.06</v>
      </c>
      <c r="AED33" s="218">
        <v>41383.06</v>
      </c>
      <c r="AEE33" s="218">
        <v>41383.06</v>
      </c>
      <c r="AEF33" s="218">
        <v>41383.06</v>
      </c>
      <c r="AEG33" s="218">
        <v>41383.06</v>
      </c>
      <c r="AEH33" s="218">
        <v>41383.06</v>
      </c>
      <c r="AEI33" s="218">
        <v>41383.06</v>
      </c>
      <c r="AEJ33" s="218">
        <v>41383.06</v>
      </c>
      <c r="AEK33" s="218">
        <v>35983.06</v>
      </c>
      <c r="AEL33" s="218">
        <v>35983.06</v>
      </c>
      <c r="AEM33" s="218">
        <v>35983.06</v>
      </c>
      <c r="AEN33" s="218">
        <v>35983.06</v>
      </c>
      <c r="AEO33" s="218">
        <v>35983.06</v>
      </c>
      <c r="AEP33" s="218">
        <v>35983.06</v>
      </c>
      <c r="AEQ33" s="218">
        <v>35983.06</v>
      </c>
      <c r="AER33" s="218">
        <v>35983.06</v>
      </c>
      <c r="AES33" s="218">
        <v>35983.06</v>
      </c>
      <c r="AET33" s="218">
        <v>35983.06</v>
      </c>
      <c r="AEU33" s="218">
        <v>35983.06</v>
      </c>
      <c r="AEV33" s="218">
        <v>35983.06</v>
      </c>
      <c r="AEW33" s="218">
        <v>35983.06</v>
      </c>
      <c r="AEX33" s="218">
        <v>35983.06</v>
      </c>
      <c r="AEY33" s="218">
        <v>35983.06</v>
      </c>
      <c r="AEZ33" s="218">
        <v>35983.06</v>
      </c>
      <c r="AFA33" s="218">
        <v>34483.06</v>
      </c>
      <c r="AFB33" s="218">
        <v>34483.06</v>
      </c>
      <c r="AFC33" s="218">
        <v>34483.06</v>
      </c>
      <c r="AFD33" s="218">
        <v>34483.06</v>
      </c>
      <c r="AFE33" s="218">
        <v>34483.06</v>
      </c>
      <c r="AFF33" s="218">
        <v>34483.06</v>
      </c>
      <c r="AFG33" s="218">
        <v>34483.06</v>
      </c>
      <c r="AFH33" s="218">
        <v>34483.06</v>
      </c>
      <c r="AFI33" s="218">
        <v>34483.06</v>
      </c>
      <c r="AFJ33" s="218">
        <v>34483.06</v>
      </c>
      <c r="AFK33" s="218">
        <v>34483.06</v>
      </c>
      <c r="AFL33" s="218">
        <v>34483.06</v>
      </c>
      <c r="AFM33" s="218">
        <v>34483.06</v>
      </c>
      <c r="AFN33" s="218">
        <v>34483.06</v>
      </c>
      <c r="AFO33" s="218">
        <v>34483.06</v>
      </c>
      <c r="AFP33" s="218">
        <v>34483.06</v>
      </c>
      <c r="AFQ33" s="218">
        <v>34483.06</v>
      </c>
      <c r="AFR33" s="218">
        <v>34483.06</v>
      </c>
      <c r="AFS33" s="218">
        <v>34483.06</v>
      </c>
      <c r="AFT33" s="218">
        <v>34483.06</v>
      </c>
      <c r="AFU33" s="218">
        <v>34483.06</v>
      </c>
      <c r="AFV33" s="218">
        <v>34483.06</v>
      </c>
      <c r="AFW33" s="218">
        <v>34483.06</v>
      </c>
      <c r="AFX33" s="218">
        <v>34483.06</v>
      </c>
      <c r="AFY33" s="218">
        <v>34483.06</v>
      </c>
      <c r="AFZ33" s="218">
        <v>34483.06</v>
      </c>
      <c r="AGA33" s="218">
        <v>34483.06</v>
      </c>
      <c r="AGB33" s="218">
        <v>34483.06</v>
      </c>
      <c r="AGC33" s="218">
        <v>34483.06</v>
      </c>
      <c r="AGD33" s="218">
        <v>34483.06</v>
      </c>
      <c r="AGE33" s="218">
        <v>34483.06</v>
      </c>
      <c r="AGF33" s="218">
        <v>34483.06</v>
      </c>
      <c r="AGG33" s="218">
        <v>34483.06</v>
      </c>
      <c r="AGH33" s="218">
        <v>34483.06</v>
      </c>
      <c r="AGI33" s="218">
        <v>34483.06</v>
      </c>
      <c r="AGJ33" s="218">
        <v>34483.06</v>
      </c>
      <c r="AGK33" s="218">
        <v>34483.06</v>
      </c>
      <c r="AGL33" s="218">
        <v>34483.06</v>
      </c>
      <c r="AGM33" s="218">
        <v>34483.06</v>
      </c>
      <c r="AGN33" s="218">
        <v>32983.06</v>
      </c>
      <c r="AGO33" s="218">
        <v>32983.06</v>
      </c>
      <c r="AGP33" s="218">
        <v>32983.06</v>
      </c>
      <c r="AGQ33" s="218">
        <v>32983.06</v>
      </c>
      <c r="AGR33" s="218">
        <v>32983.06</v>
      </c>
      <c r="AGS33" s="218">
        <v>32983.06</v>
      </c>
      <c r="AGT33" s="218">
        <v>32983.06</v>
      </c>
      <c r="AGU33" s="218">
        <v>32983.06</v>
      </c>
      <c r="AGV33" s="218">
        <v>32983.06</v>
      </c>
      <c r="AGW33" s="218">
        <v>32983.06</v>
      </c>
      <c r="AGX33" s="218">
        <v>32983.06</v>
      </c>
      <c r="AGY33" s="218">
        <v>32983.06</v>
      </c>
      <c r="AGZ33" s="218">
        <v>32983.06</v>
      </c>
      <c r="AHA33" s="218">
        <v>32983.06</v>
      </c>
      <c r="AHB33" s="218">
        <v>32983.06</v>
      </c>
      <c r="AHC33" s="218">
        <v>32983.06</v>
      </c>
      <c r="AHD33" s="218">
        <v>32983.06</v>
      </c>
      <c r="AHE33" s="218">
        <v>32983.06</v>
      </c>
      <c r="AHF33" s="218">
        <v>32983.06</v>
      </c>
      <c r="AHG33" s="218">
        <v>32983.06</v>
      </c>
      <c r="AHH33" s="218">
        <v>32983.06</v>
      </c>
      <c r="AHI33" s="218">
        <v>32983.06</v>
      </c>
      <c r="AHJ33" s="218">
        <v>32983.06</v>
      </c>
      <c r="AHK33" s="218">
        <v>32983.06</v>
      </c>
      <c r="AHL33" s="218">
        <v>32983.06</v>
      </c>
      <c r="AHM33" s="218">
        <v>32983.06</v>
      </c>
      <c r="AHN33" s="218">
        <v>32983.06</v>
      </c>
      <c r="AHO33" s="218">
        <v>32983.06</v>
      </c>
      <c r="AHP33" s="218">
        <v>32983.06</v>
      </c>
      <c r="AHQ33" s="218">
        <v>32983.06</v>
      </c>
      <c r="AHR33" s="218">
        <v>32983.06</v>
      </c>
      <c r="AHS33" s="218">
        <v>32983.06</v>
      </c>
      <c r="AHT33" s="218">
        <v>32983.06</v>
      </c>
      <c r="AHU33" s="218">
        <v>32983.06</v>
      </c>
      <c r="AHV33" s="218">
        <v>32983.06</v>
      </c>
      <c r="AHW33" s="218">
        <v>32983.06</v>
      </c>
      <c r="AHX33" s="218">
        <v>32983.06</v>
      </c>
      <c r="AHY33" s="218">
        <v>32983.06</v>
      </c>
      <c r="AHZ33" s="218">
        <v>32983.06</v>
      </c>
      <c r="AIA33" s="218">
        <v>32983.06</v>
      </c>
      <c r="AIB33" s="218">
        <v>32983.06</v>
      </c>
      <c r="AIC33" s="218">
        <v>21983.06</v>
      </c>
      <c r="AID33" s="218">
        <v>21983.06</v>
      </c>
      <c r="AIE33" s="218">
        <v>21983.06</v>
      </c>
      <c r="AIF33" s="218">
        <v>21983.06</v>
      </c>
      <c r="AIG33" s="218">
        <v>21983.06</v>
      </c>
      <c r="AIH33" s="218">
        <v>21983.06</v>
      </c>
      <c r="AII33" s="218">
        <v>21983.06</v>
      </c>
      <c r="AIJ33" s="218">
        <v>21983.06</v>
      </c>
      <c r="AIK33" s="218">
        <v>21983.06</v>
      </c>
      <c r="AIL33" s="218">
        <v>21983.06</v>
      </c>
      <c r="AIM33" s="218">
        <v>21983.06</v>
      </c>
      <c r="AIN33" s="218">
        <v>21983.06</v>
      </c>
      <c r="AIO33" s="218">
        <v>21983.06</v>
      </c>
      <c r="AIP33" s="218">
        <v>21983.06</v>
      </c>
      <c r="AIQ33" s="218">
        <v>21983.06</v>
      </c>
      <c r="AIR33" s="218">
        <v>21983.06</v>
      </c>
      <c r="AIS33" s="218">
        <v>21983.06</v>
      </c>
      <c r="AIT33" s="218">
        <v>21983.06</v>
      </c>
      <c r="AIU33" s="218">
        <v>21983.06</v>
      </c>
      <c r="AIV33" s="218">
        <v>21983.06</v>
      </c>
      <c r="AIW33" s="218">
        <v>21983.06</v>
      </c>
      <c r="AIX33" s="218">
        <v>21983.06</v>
      </c>
      <c r="AIY33" s="218">
        <v>21983.06</v>
      </c>
      <c r="AIZ33" s="218">
        <v>21983.06</v>
      </c>
      <c r="AJA33" s="218">
        <v>21983.06</v>
      </c>
      <c r="AJB33" s="218">
        <v>21983.06</v>
      </c>
      <c r="AJC33" s="218">
        <v>21983.06</v>
      </c>
      <c r="AJD33" s="218">
        <v>21983.06</v>
      </c>
      <c r="AJE33" s="218">
        <v>21983.06</v>
      </c>
      <c r="AJF33" s="218">
        <v>21983.06</v>
      </c>
      <c r="AJG33" s="218">
        <v>21983.06</v>
      </c>
      <c r="AJH33" s="218">
        <v>21983.06</v>
      </c>
      <c r="AJI33" s="218">
        <v>21983.06</v>
      </c>
      <c r="AJJ33" s="218">
        <v>21983.06</v>
      </c>
      <c r="AJK33" s="218">
        <v>21983.06</v>
      </c>
      <c r="AJL33" s="218">
        <v>21983.06</v>
      </c>
      <c r="AJM33" s="218">
        <v>21983.06</v>
      </c>
      <c r="AJN33" s="218">
        <v>21983.06</v>
      </c>
      <c r="AJO33" s="218">
        <v>21983.06</v>
      </c>
      <c r="AJP33" s="218">
        <v>21983.06</v>
      </c>
      <c r="AJQ33" s="218">
        <v>21983.06</v>
      </c>
      <c r="AJR33" s="218">
        <v>21983.06</v>
      </c>
      <c r="AJS33" s="218">
        <v>21983.06</v>
      </c>
      <c r="AJT33" s="218">
        <v>21983.06</v>
      </c>
      <c r="AJU33" s="218">
        <v>21983.06</v>
      </c>
      <c r="AJV33" s="218">
        <v>21983.06</v>
      </c>
      <c r="AJW33" s="218">
        <v>21983.06</v>
      </c>
      <c r="AJX33" s="218">
        <v>21983.06</v>
      </c>
      <c r="AJY33" s="218">
        <v>21983.06</v>
      </c>
      <c r="AJZ33" s="218">
        <v>21983.06</v>
      </c>
      <c r="AKA33" s="218">
        <v>21983.06</v>
      </c>
      <c r="AKB33" s="218">
        <v>21983.06</v>
      </c>
      <c r="AKC33" s="218">
        <v>21983.06</v>
      </c>
      <c r="AKD33" s="218">
        <v>21983.06</v>
      </c>
      <c r="AKE33" s="218">
        <v>21983.06</v>
      </c>
      <c r="AKF33" s="218">
        <v>21983.06</v>
      </c>
      <c r="AKG33" s="218">
        <v>21983.06</v>
      </c>
      <c r="AKH33" s="218">
        <v>21983.06</v>
      </c>
      <c r="AKI33" s="218">
        <v>21983.06</v>
      </c>
      <c r="AKJ33" s="218">
        <v>21983.06</v>
      </c>
      <c r="AKK33" s="218">
        <v>21983.06</v>
      </c>
      <c r="AKL33" s="218">
        <v>21983.06</v>
      </c>
      <c r="AKM33" s="218">
        <v>21983.06</v>
      </c>
      <c r="AKN33" s="218">
        <v>21983.06</v>
      </c>
      <c r="AKO33" s="218">
        <v>21983.06</v>
      </c>
      <c r="AKP33" s="218">
        <v>21983.06</v>
      </c>
      <c r="AKQ33" s="218">
        <v>21983.06</v>
      </c>
      <c r="AKR33" s="218">
        <v>21983.06</v>
      </c>
      <c r="AKS33" s="218">
        <v>21983.06</v>
      </c>
      <c r="AKT33" s="218">
        <v>21983.06</v>
      </c>
      <c r="AKU33" s="218">
        <v>21983.06</v>
      </c>
      <c r="AKV33" s="218">
        <v>21983.06</v>
      </c>
      <c r="AKW33" s="218">
        <v>21983.06</v>
      </c>
      <c r="AKX33" s="218">
        <v>21983.06</v>
      </c>
      <c r="AKY33" s="218">
        <v>21983.06</v>
      </c>
      <c r="AKZ33" s="218">
        <v>21983.06</v>
      </c>
      <c r="ALA33" s="218">
        <v>21983.06</v>
      </c>
      <c r="ALB33" s="218">
        <v>21983.06</v>
      </c>
      <c r="ALC33" s="218">
        <v>1121983.06</v>
      </c>
      <c r="ALD33" s="218">
        <v>214103.06</v>
      </c>
      <c r="ALE33" s="218">
        <v>214103.06</v>
      </c>
      <c r="ALF33" s="218">
        <v>214103.06</v>
      </c>
      <c r="ALG33" s="218">
        <v>214103.06</v>
      </c>
      <c r="ALH33" s="218">
        <v>214103.06</v>
      </c>
      <c r="ALI33" s="218">
        <v>171934.32</v>
      </c>
      <c r="ALJ33" s="218">
        <v>169727.06</v>
      </c>
      <c r="ALK33" s="218">
        <v>169727.06</v>
      </c>
      <c r="ALL33" s="218">
        <v>169727.06</v>
      </c>
      <c r="ALM33" s="218">
        <v>169727.06</v>
      </c>
      <c r="ALN33" s="218">
        <v>169727.06</v>
      </c>
      <c r="ALO33" s="218">
        <v>169727.06</v>
      </c>
      <c r="ALP33" s="218">
        <v>169727.06</v>
      </c>
      <c r="ALQ33" s="218">
        <v>169727.06</v>
      </c>
      <c r="ALR33" s="218">
        <v>169727.06</v>
      </c>
      <c r="ALS33" s="218">
        <v>169727.06</v>
      </c>
      <c r="ALT33" s="218">
        <v>169727.06</v>
      </c>
      <c r="ALU33" s="218">
        <v>169727.06</v>
      </c>
      <c r="ALV33" s="218">
        <v>169727.06</v>
      </c>
      <c r="ALW33" s="218">
        <v>169727.06</v>
      </c>
      <c r="ALX33" s="218">
        <v>160742.64000000001</v>
      </c>
      <c r="ALY33" s="218">
        <v>160742.64000000001</v>
      </c>
      <c r="ALZ33" s="218">
        <v>160742.64000000001</v>
      </c>
      <c r="AMA33" s="218">
        <v>160742.64000000001</v>
      </c>
      <c r="AMB33" s="218">
        <v>160742.64000000001</v>
      </c>
      <c r="AMC33" s="218">
        <v>160742.64000000001</v>
      </c>
      <c r="AMD33" s="218">
        <v>160742.64000000001</v>
      </c>
      <c r="AME33" s="218">
        <v>160742.64000000001</v>
      </c>
      <c r="AMF33" s="218">
        <v>160742.64000000001</v>
      </c>
      <c r="AMG33" s="218">
        <v>160742.64000000001</v>
      </c>
      <c r="AMH33" s="218">
        <v>160742.64000000001</v>
      </c>
      <c r="AMI33" s="218">
        <v>160742.64000000001</v>
      </c>
      <c r="AMJ33" s="218">
        <v>160742.64000000001</v>
      </c>
      <c r="AMK33" s="218">
        <v>160742.64000000001</v>
      </c>
      <c r="AML33" s="218">
        <v>160742.64000000001</v>
      </c>
      <c r="AMM33" s="218">
        <v>160742.64000000001</v>
      </c>
      <c r="AMN33" s="218">
        <v>160742.64000000001</v>
      </c>
      <c r="AMO33" s="218">
        <v>160742.64000000001</v>
      </c>
      <c r="AMP33" s="218">
        <v>160742.64000000001</v>
      </c>
      <c r="AMQ33" s="218">
        <v>160742.64000000001</v>
      </c>
      <c r="AMR33" s="218">
        <v>160742.64000000001</v>
      </c>
      <c r="AMS33" s="218">
        <v>160742.64000000001</v>
      </c>
      <c r="AMT33" s="218">
        <v>160742.64000000001</v>
      </c>
      <c r="AMU33" s="218">
        <v>160742.64000000001</v>
      </c>
      <c r="AMV33" s="218">
        <v>271121.78000000003</v>
      </c>
      <c r="AMW33" s="218">
        <v>271121.78000000003</v>
      </c>
      <c r="AMX33" s="218">
        <v>271121.78000000003</v>
      </c>
      <c r="AMY33" s="218">
        <v>271121.78000000003</v>
      </c>
      <c r="AMZ33" s="218">
        <v>271121.78000000003</v>
      </c>
      <c r="ANA33" s="218">
        <v>271121.78000000003</v>
      </c>
      <c r="ANB33" s="218">
        <v>263360.93</v>
      </c>
      <c r="ANC33" s="218">
        <v>263360.93</v>
      </c>
      <c r="AND33" s="218">
        <v>263460.93</v>
      </c>
      <c r="ANE33" s="218">
        <v>263460.93</v>
      </c>
      <c r="ANF33" s="218">
        <v>263460.93</v>
      </c>
      <c r="ANG33" s="218">
        <v>263460.93</v>
      </c>
      <c r="ANH33" s="218">
        <v>263460.93</v>
      </c>
      <c r="ANI33" s="218">
        <v>263460.93</v>
      </c>
      <c r="ANJ33" s="218">
        <v>263460.93</v>
      </c>
      <c r="ANK33" s="218">
        <v>263460.93</v>
      </c>
      <c r="ANL33" s="218">
        <v>263460.93</v>
      </c>
      <c r="ANM33" s="218">
        <v>263460.93</v>
      </c>
      <c r="ANN33" s="218">
        <v>263460.93</v>
      </c>
      <c r="ANO33" s="218">
        <v>263460.93</v>
      </c>
      <c r="ANP33" s="218">
        <v>263460.93</v>
      </c>
      <c r="ANQ33" s="218">
        <v>263460.93</v>
      </c>
      <c r="ANR33" s="218">
        <v>263460.93</v>
      </c>
      <c r="ANS33" s="218">
        <v>263460.93</v>
      </c>
      <c r="ANT33" s="218">
        <v>260460.93</v>
      </c>
      <c r="ANU33" s="218">
        <v>260460.93</v>
      </c>
      <c r="ANV33" s="218">
        <v>260460.93</v>
      </c>
      <c r="ANW33" s="218">
        <v>260460.93</v>
      </c>
      <c r="ANX33" s="218">
        <v>260460.93</v>
      </c>
      <c r="ANY33" s="218">
        <v>260460.93</v>
      </c>
      <c r="ANZ33" s="218">
        <v>260460.93</v>
      </c>
      <c r="AOA33" s="218">
        <v>260460.93</v>
      </c>
      <c r="AOB33" s="218">
        <v>260460.93</v>
      </c>
      <c r="AOC33" s="218">
        <v>260460.93</v>
      </c>
      <c r="AOD33" s="218">
        <v>260460.93</v>
      </c>
      <c r="AOE33" s="218">
        <v>260460.93</v>
      </c>
      <c r="AOF33" s="218">
        <v>260460.93</v>
      </c>
      <c r="AOG33" s="218">
        <v>260460.93</v>
      </c>
      <c r="AOH33" s="218">
        <v>260460.93</v>
      </c>
      <c r="AOI33" s="218">
        <v>260460.93</v>
      </c>
      <c r="AOJ33" s="278">
        <v>260460.93</v>
      </c>
      <c r="AOK33" s="278">
        <v>260460.93</v>
      </c>
      <c r="AOL33" s="278">
        <v>260460.93</v>
      </c>
      <c r="AOM33" s="218">
        <v>254760.93</v>
      </c>
      <c r="AON33" s="218">
        <v>254760.93</v>
      </c>
      <c r="AOO33" s="218">
        <v>254760.93</v>
      </c>
      <c r="AOP33" s="218">
        <v>254760.93</v>
      </c>
      <c r="AOQ33" s="218">
        <v>254760.93</v>
      </c>
      <c r="AOR33" s="218">
        <v>254760.93</v>
      </c>
      <c r="AOS33" s="218">
        <v>254760.93</v>
      </c>
      <c r="AOT33" s="218">
        <v>254760.93</v>
      </c>
      <c r="AOU33" s="218">
        <v>254760.93</v>
      </c>
      <c r="AOV33" s="218">
        <v>254760.93</v>
      </c>
      <c r="AOW33" s="218">
        <v>254760.93</v>
      </c>
      <c r="AOX33" s="218">
        <v>254760.93</v>
      </c>
      <c r="AOY33" s="218">
        <v>254760.93</v>
      </c>
      <c r="AOZ33" s="218">
        <v>254760.93</v>
      </c>
      <c r="APA33" s="218">
        <v>254760.93</v>
      </c>
      <c r="APB33" s="218">
        <v>254760.93</v>
      </c>
      <c r="APC33" s="218">
        <v>254760.93</v>
      </c>
      <c r="APD33" s="218">
        <v>254760.93</v>
      </c>
      <c r="APE33" s="218">
        <v>254760.93</v>
      </c>
      <c r="APF33" s="218">
        <v>254760.93</v>
      </c>
      <c r="APG33" s="218">
        <v>254760.93</v>
      </c>
      <c r="APH33" s="218">
        <v>254760.93</v>
      </c>
      <c r="API33" s="218">
        <v>254760.93</v>
      </c>
      <c r="APJ33" s="218">
        <v>254760.93</v>
      </c>
      <c r="APK33" s="218">
        <v>254760.93</v>
      </c>
      <c r="APL33" s="218">
        <v>254760.93</v>
      </c>
      <c r="APM33" s="218">
        <v>254760.93</v>
      </c>
      <c r="APN33" s="218">
        <v>254760.93</v>
      </c>
      <c r="APO33" s="218">
        <v>254760.93</v>
      </c>
      <c r="APP33" s="218">
        <v>254760.93</v>
      </c>
      <c r="APQ33" s="218">
        <v>254760.93</v>
      </c>
      <c r="APR33" s="218">
        <v>254760.93</v>
      </c>
      <c r="APS33" s="218">
        <v>254760.93</v>
      </c>
      <c r="APT33" s="218">
        <v>254760.93</v>
      </c>
      <c r="APU33" s="218">
        <v>254760.93</v>
      </c>
      <c r="APV33" s="218">
        <v>254760.93</v>
      </c>
      <c r="APW33" s="218">
        <v>248760.93</v>
      </c>
      <c r="APX33" s="218">
        <v>248760.93</v>
      </c>
      <c r="APY33" s="218">
        <v>248760.93</v>
      </c>
      <c r="APZ33" s="218">
        <v>248760.93</v>
      </c>
      <c r="AQA33" s="218">
        <v>248760.93</v>
      </c>
      <c r="AQB33" s="218">
        <v>248760.93</v>
      </c>
      <c r="AQC33" s="218">
        <v>248760.93</v>
      </c>
      <c r="AQD33" s="218">
        <v>248760.93</v>
      </c>
      <c r="AQE33" s="218">
        <v>248760.93</v>
      </c>
      <c r="AQF33" s="218">
        <v>248760.93</v>
      </c>
      <c r="AQG33" s="218">
        <v>248760.93</v>
      </c>
      <c r="AQH33" s="218">
        <v>248760.93</v>
      </c>
      <c r="AQI33" s="218">
        <v>248760.93</v>
      </c>
      <c r="AQJ33" s="218">
        <v>248760.93</v>
      </c>
      <c r="AQK33" s="218">
        <v>248760.93</v>
      </c>
      <c r="AQL33" s="218">
        <v>248760.93</v>
      </c>
      <c r="AQM33" s="218">
        <v>248760.93</v>
      </c>
      <c r="AQN33" s="218">
        <v>248760.93</v>
      </c>
      <c r="AQO33" s="218">
        <v>248760.93</v>
      </c>
      <c r="AQP33" s="218">
        <v>248760.93</v>
      </c>
      <c r="AQQ33" s="218">
        <v>248760.93</v>
      </c>
      <c r="AQR33" s="218">
        <v>248760.93</v>
      </c>
      <c r="AQS33" s="218">
        <v>248760.93</v>
      </c>
      <c r="AQT33" s="218">
        <v>248760.93</v>
      </c>
      <c r="AQU33" s="218">
        <v>248760.93</v>
      </c>
      <c r="AQV33" s="218">
        <v>248760.93</v>
      </c>
      <c r="AQW33" s="218">
        <v>248760.93</v>
      </c>
      <c r="AQX33" s="218">
        <v>248760.93</v>
      </c>
      <c r="AQY33" s="218">
        <v>248760.93</v>
      </c>
      <c r="AQZ33" s="218">
        <v>248760.93</v>
      </c>
      <c r="ARA33" s="218">
        <v>248760.93</v>
      </c>
      <c r="ARB33" s="218">
        <v>248760.93</v>
      </c>
      <c r="ARC33" s="218">
        <v>248760.93</v>
      </c>
      <c r="ARD33" s="218">
        <v>248760.93</v>
      </c>
      <c r="ARE33" s="218">
        <v>248760.93</v>
      </c>
      <c r="ARF33" s="218">
        <v>248760.93</v>
      </c>
      <c r="ARG33" s="218">
        <v>248760.93</v>
      </c>
      <c r="ARH33" s="218">
        <v>248760.93</v>
      </c>
      <c r="ARI33" s="218">
        <v>248760.93</v>
      </c>
      <c r="ARJ33" s="218">
        <v>248760.93</v>
      </c>
      <c r="ARK33" s="218">
        <v>248760.93</v>
      </c>
      <c r="ARL33" s="218">
        <v>248760.93</v>
      </c>
      <c r="ARM33" s="218">
        <v>248760.93</v>
      </c>
      <c r="ARN33" s="218">
        <v>248760.93</v>
      </c>
      <c r="ARO33" s="218">
        <v>248760.93</v>
      </c>
      <c r="ARP33" s="218">
        <v>248760.93</v>
      </c>
      <c r="ARQ33" s="218">
        <v>248760.93</v>
      </c>
      <c r="ARR33" s="218">
        <v>248760.93</v>
      </c>
      <c r="ARS33" s="218">
        <v>248760.93</v>
      </c>
      <c r="ART33" s="218">
        <v>248760.93</v>
      </c>
      <c r="ARU33" s="218">
        <v>248760.93</v>
      </c>
      <c r="ARV33" s="218">
        <v>248760.93</v>
      </c>
      <c r="ARW33" s="218">
        <v>248760.93</v>
      </c>
      <c r="ARX33" s="218">
        <v>248760.93</v>
      </c>
      <c r="ARY33" s="218">
        <v>248760.93</v>
      </c>
      <c r="ARZ33" s="218">
        <v>248760.93</v>
      </c>
      <c r="ASA33" s="218">
        <v>248760.93</v>
      </c>
      <c r="ASB33" s="218">
        <v>248760.93</v>
      </c>
      <c r="ASC33" s="218">
        <v>248760.93</v>
      </c>
      <c r="ASD33" s="218">
        <v>248760.93</v>
      </c>
      <c r="ASE33" s="218">
        <v>248760.93</v>
      </c>
      <c r="ASF33" s="218">
        <v>248760.93</v>
      </c>
      <c r="ASG33" s="218">
        <v>248760.93</v>
      </c>
      <c r="ASH33" s="218">
        <v>248760.93</v>
      </c>
      <c r="ASI33" s="218">
        <v>248760.93</v>
      </c>
      <c r="ASJ33" s="218">
        <v>248760.93</v>
      </c>
      <c r="ASK33" s="218">
        <v>248760.93</v>
      </c>
      <c r="ASL33" s="218">
        <v>248760.93</v>
      </c>
      <c r="ASM33" s="218">
        <v>248760.93</v>
      </c>
      <c r="ASN33" s="218">
        <v>248760.93</v>
      </c>
      <c r="ASO33" s="218">
        <v>248760.93</v>
      </c>
      <c r="ASP33" s="218">
        <v>228660.93</v>
      </c>
      <c r="ASQ33" s="218">
        <v>228660.93</v>
      </c>
      <c r="ASR33" s="218">
        <v>228660.93</v>
      </c>
      <c r="ASS33" s="218">
        <v>228660.93</v>
      </c>
      <c r="AST33" s="218">
        <v>228660.93</v>
      </c>
      <c r="ASU33" s="218">
        <v>228660.93</v>
      </c>
      <c r="ASV33" s="218">
        <v>228660.93</v>
      </c>
      <c r="ASW33" s="218">
        <v>228660.93</v>
      </c>
      <c r="ASX33" s="218">
        <v>228660.93</v>
      </c>
      <c r="ASY33" s="218">
        <v>228660.93</v>
      </c>
      <c r="ASZ33" s="218">
        <v>228660.93</v>
      </c>
      <c r="ATA33" s="218">
        <v>228660.93</v>
      </c>
      <c r="ATB33" s="218">
        <v>228660.93</v>
      </c>
      <c r="ATC33" s="218">
        <v>228660.93</v>
      </c>
      <c r="ATD33" s="218">
        <v>228660.93</v>
      </c>
      <c r="ATE33" s="218">
        <v>228660.93</v>
      </c>
      <c r="ATF33" s="218">
        <v>228660.93</v>
      </c>
      <c r="ATG33" s="218">
        <v>228660.93</v>
      </c>
      <c r="ATH33" s="218">
        <v>228660.93</v>
      </c>
      <c r="ATI33" s="218">
        <v>228660.93</v>
      </c>
      <c r="ATJ33" s="218">
        <v>228660.93</v>
      </c>
      <c r="ATK33" s="218">
        <v>228660.93</v>
      </c>
      <c r="ATL33" s="218">
        <v>228660.93</v>
      </c>
      <c r="ATM33" s="218">
        <v>228660.93</v>
      </c>
      <c r="ATN33" s="218">
        <v>228660.93</v>
      </c>
      <c r="ATO33" s="218">
        <v>228660.93</v>
      </c>
      <c r="ATP33" s="218">
        <v>228660.93</v>
      </c>
      <c r="ATQ33" s="218">
        <v>228660.93</v>
      </c>
      <c r="ATR33" s="218">
        <v>228660.93</v>
      </c>
      <c r="ATS33" s="218">
        <v>228660.93</v>
      </c>
      <c r="ATT33" s="218">
        <v>228660.93</v>
      </c>
      <c r="ATU33" s="218">
        <v>228660.93</v>
      </c>
      <c r="ATV33" s="218">
        <v>228660.93</v>
      </c>
      <c r="ATW33" s="218">
        <v>228660.93</v>
      </c>
      <c r="ATX33" s="218">
        <v>228660.93</v>
      </c>
      <c r="ATY33" s="218">
        <v>228660.93</v>
      </c>
      <c r="ATZ33" s="218">
        <v>228660.93</v>
      </c>
      <c r="AUA33" s="218">
        <v>228660.93</v>
      </c>
      <c r="AUB33" s="218">
        <v>228660.93</v>
      </c>
      <c r="AUC33" s="218">
        <v>228660.93</v>
      </c>
      <c r="AUD33" s="218">
        <v>228660.93</v>
      </c>
      <c r="AUE33" s="218">
        <v>228660.93</v>
      </c>
      <c r="AUF33" s="218">
        <v>228660.93</v>
      </c>
      <c r="AUG33" s="218">
        <v>228660.93</v>
      </c>
      <c r="AUH33" s="218">
        <v>228660.93</v>
      </c>
      <c r="AUI33" s="218">
        <v>228660.93</v>
      </c>
      <c r="AUJ33" s="218">
        <v>228660.93</v>
      </c>
      <c r="AUK33" s="218">
        <v>228660.93</v>
      </c>
      <c r="AUL33" s="218">
        <v>228660.93</v>
      </c>
      <c r="AUM33" s="218">
        <v>228660.93</v>
      </c>
      <c r="AUN33" s="218">
        <v>228660.93</v>
      </c>
      <c r="AUO33" s="218">
        <v>228660.93</v>
      </c>
      <c r="AUP33" s="218">
        <v>228660.93</v>
      </c>
      <c r="AUQ33" s="218">
        <v>228660.93</v>
      </c>
      <c r="AUR33" s="218">
        <v>228660.93</v>
      </c>
      <c r="AUS33" s="218">
        <v>228660.93</v>
      </c>
      <c r="AUT33" s="218">
        <v>228660.93</v>
      </c>
      <c r="AUU33" s="218">
        <v>228660.93</v>
      </c>
      <c r="AUV33" s="218">
        <v>228660.93</v>
      </c>
      <c r="AUW33" s="218">
        <v>228660.93</v>
      </c>
      <c r="AUX33" s="218">
        <v>228660.93</v>
      </c>
      <c r="AUY33" s="218">
        <v>228660.93</v>
      </c>
      <c r="AUZ33" s="218">
        <v>222660.93</v>
      </c>
      <c r="AVA33" s="218">
        <v>222660.93</v>
      </c>
      <c r="AVB33" s="218">
        <v>273865.71999999997</v>
      </c>
      <c r="AVC33" s="218">
        <v>219660.93</v>
      </c>
      <c r="AVD33" s="218">
        <v>219660.93</v>
      </c>
      <c r="AVE33" s="218">
        <v>219660.93</v>
      </c>
      <c r="AVF33" s="218">
        <v>219660.93</v>
      </c>
      <c r="AVG33" s="218">
        <v>219660.93</v>
      </c>
      <c r="AVH33" s="218">
        <v>219660.93</v>
      </c>
      <c r="AVI33" s="218">
        <v>219660.93</v>
      </c>
      <c r="AVJ33" s="218">
        <v>219660.93</v>
      </c>
      <c r="AVK33" s="218">
        <v>219660.93</v>
      </c>
      <c r="AVL33" s="218">
        <v>219660.93</v>
      </c>
      <c r="AVM33" s="218">
        <v>219660.93</v>
      </c>
      <c r="AVN33" s="218">
        <v>219660.93</v>
      </c>
      <c r="AVO33" s="218">
        <v>219660.93</v>
      </c>
      <c r="AVP33" s="218">
        <v>219660.93</v>
      </c>
      <c r="AVQ33" s="218">
        <v>219660.93</v>
      </c>
      <c r="AVR33" s="218">
        <v>219660.93</v>
      </c>
      <c r="AVS33" s="218">
        <v>219660.93</v>
      </c>
      <c r="AVT33" s="218">
        <v>219660.93</v>
      </c>
      <c r="AVU33" s="218">
        <v>219660.93</v>
      </c>
      <c r="AVV33" s="218">
        <v>219660.93</v>
      </c>
      <c r="AVW33" s="218">
        <v>219660.93</v>
      </c>
      <c r="AVX33" s="218">
        <v>219660.93</v>
      </c>
      <c r="AVY33" s="218">
        <v>219660.93</v>
      </c>
      <c r="AVZ33" s="218">
        <v>219660.93</v>
      </c>
      <c r="AWA33" s="218">
        <v>219660.93</v>
      </c>
      <c r="AWB33" s="218">
        <v>219660.93</v>
      </c>
      <c r="AWC33" s="218">
        <v>219660.93</v>
      </c>
      <c r="AWD33" s="218">
        <v>219660.93</v>
      </c>
      <c r="AWE33" s="218">
        <v>219660.93</v>
      </c>
      <c r="AWF33" s="218">
        <v>219660.93</v>
      </c>
      <c r="AWG33" s="218">
        <v>219660.93</v>
      </c>
      <c r="AWH33" s="218">
        <v>219660.93</v>
      </c>
      <c r="AWI33" s="218">
        <v>219660.93</v>
      </c>
      <c r="AWJ33" s="218">
        <v>219660.93</v>
      </c>
      <c r="AWK33" s="218">
        <v>219660.93</v>
      </c>
      <c r="AWL33" s="218">
        <v>219660.93</v>
      </c>
      <c r="AWM33" s="218">
        <v>219660.93</v>
      </c>
      <c r="AWN33" s="218">
        <v>219660.93</v>
      </c>
      <c r="AWO33" s="218">
        <v>219660.93</v>
      </c>
      <c r="AWP33" s="218">
        <v>219660.93</v>
      </c>
      <c r="AWQ33" s="218">
        <v>219660.93</v>
      </c>
      <c r="AWR33" s="218">
        <v>219660.93</v>
      </c>
      <c r="AWS33" s="218">
        <v>219660.93</v>
      </c>
      <c r="AWT33" s="218">
        <v>219660.93</v>
      </c>
      <c r="AWU33" s="218">
        <v>219660.93</v>
      </c>
      <c r="AWV33" s="218">
        <v>219660.93</v>
      </c>
      <c r="AWW33" s="218">
        <v>219660.93</v>
      </c>
      <c r="AWX33" s="218">
        <v>219660.93</v>
      </c>
      <c r="AWY33" s="218">
        <v>219660.93</v>
      </c>
      <c r="AWZ33" s="218">
        <v>219660.93</v>
      </c>
      <c r="AXA33" s="218">
        <v>219660.93</v>
      </c>
      <c r="AXB33" s="218">
        <v>219660.93</v>
      </c>
      <c r="AXC33" s="218">
        <v>219660.93</v>
      </c>
      <c r="AXD33" s="218">
        <v>219660.93</v>
      </c>
      <c r="AXE33" s="218">
        <v>219660.93</v>
      </c>
      <c r="AXF33" s="218">
        <v>210660.93</v>
      </c>
      <c r="AXG33" s="218">
        <v>210660.93</v>
      </c>
      <c r="AXH33" s="218">
        <v>210660.93</v>
      </c>
      <c r="AXI33" s="218">
        <v>210660.93</v>
      </c>
      <c r="AXJ33" s="218">
        <v>210660.93</v>
      </c>
      <c r="AXK33" s="218">
        <v>207660.93</v>
      </c>
      <c r="AXL33" s="218">
        <v>203760.93</v>
      </c>
      <c r="AXM33" s="218">
        <v>203760.93</v>
      </c>
      <c r="AXN33" s="218">
        <v>203760.93</v>
      </c>
      <c r="AXO33" s="218">
        <v>203760.93</v>
      </c>
      <c r="AXP33" s="218">
        <v>203760.93</v>
      </c>
      <c r="AXQ33" s="218">
        <v>203760.93</v>
      </c>
      <c r="AXR33" s="218">
        <v>203760.93</v>
      </c>
      <c r="AXS33" s="218">
        <v>203760.93</v>
      </c>
      <c r="AXT33" s="218">
        <v>203760.93</v>
      </c>
      <c r="AXU33" s="218">
        <v>203760.93</v>
      </c>
      <c r="AXV33" s="218">
        <v>203760.93</v>
      </c>
      <c r="AXW33" s="218">
        <v>203760.93</v>
      </c>
      <c r="AXX33" s="218">
        <v>203760.93</v>
      </c>
      <c r="AXY33" s="218">
        <v>203760.93</v>
      </c>
      <c r="AXZ33" s="218">
        <v>203760.93</v>
      </c>
      <c r="AYA33" s="218">
        <v>203760.93</v>
      </c>
      <c r="AYB33" s="218">
        <v>203760.93</v>
      </c>
      <c r="AYC33" s="218">
        <v>203760.93</v>
      </c>
      <c r="AYD33" s="218">
        <v>203760.93</v>
      </c>
      <c r="AYE33" s="218">
        <v>203760.93</v>
      </c>
      <c r="AYF33" s="218">
        <v>203760.93</v>
      </c>
      <c r="AYG33" s="218">
        <v>203760.93</v>
      </c>
      <c r="AYH33" s="218">
        <v>203760.93</v>
      </c>
      <c r="AYI33" s="218">
        <v>203760.93</v>
      </c>
      <c r="AYJ33" s="218">
        <v>203760.93</v>
      </c>
      <c r="AYK33" s="218">
        <v>203760.93</v>
      </c>
      <c r="AYL33" s="218">
        <v>203760.93</v>
      </c>
      <c r="AYM33" s="218">
        <v>203760.93</v>
      </c>
      <c r="AYN33" s="218">
        <v>203760.93</v>
      </c>
      <c r="AYO33" s="218">
        <v>203760.93</v>
      </c>
      <c r="AYP33" s="218">
        <v>203760.93</v>
      </c>
      <c r="AYQ33" s="218">
        <v>203760.93</v>
      </c>
      <c r="AYR33" s="218">
        <v>203760.93</v>
      </c>
      <c r="AYS33" s="218">
        <v>203760.93</v>
      </c>
      <c r="AYT33" s="218">
        <v>203760.93</v>
      </c>
      <c r="AYU33" s="218">
        <v>200760.93</v>
      </c>
      <c r="AYV33" s="218">
        <v>200760.93</v>
      </c>
      <c r="AYW33" s="218">
        <v>200760.93</v>
      </c>
      <c r="AYX33" s="218">
        <v>200760.93</v>
      </c>
      <c r="AYY33" s="218">
        <v>200760.93</v>
      </c>
      <c r="AYZ33" s="218">
        <v>200760.93</v>
      </c>
      <c r="AZA33" s="218">
        <v>200760.93</v>
      </c>
      <c r="AZB33" s="218">
        <v>200760.93</v>
      </c>
      <c r="AZC33" s="218">
        <v>200760.93</v>
      </c>
      <c r="AZD33" s="218">
        <v>200760.93</v>
      </c>
      <c r="AZE33" s="218">
        <v>200760.93</v>
      </c>
      <c r="AZF33" s="218">
        <v>200760.93</v>
      </c>
      <c r="AZG33" s="218">
        <v>200760.93</v>
      </c>
      <c r="AZH33" s="218">
        <v>200760.93</v>
      </c>
      <c r="AZI33" s="218">
        <v>200760.93</v>
      </c>
      <c r="AZJ33" s="218">
        <v>200760.93</v>
      </c>
      <c r="AZK33" s="218">
        <v>200760.93</v>
      </c>
      <c r="AZL33" s="218">
        <v>200760.93</v>
      </c>
      <c r="AZM33" s="218">
        <v>200760.93</v>
      </c>
      <c r="AZN33" s="218">
        <v>200760.93</v>
      </c>
      <c r="AZO33" s="218">
        <v>200760.93</v>
      </c>
      <c r="AZP33" s="218">
        <v>200760.93</v>
      </c>
      <c r="AZQ33" s="218">
        <v>200760.93</v>
      </c>
      <c r="AZR33" s="218">
        <v>200760.93</v>
      </c>
      <c r="AZS33" s="218">
        <v>200760.93</v>
      </c>
      <c r="AZT33" s="218">
        <v>200760.93</v>
      </c>
      <c r="AZU33" s="218">
        <v>200760.93</v>
      </c>
      <c r="AZV33" s="218">
        <v>200760.93</v>
      </c>
      <c r="AZW33" s="218">
        <v>200760.93</v>
      </c>
      <c r="AZX33" s="218">
        <v>200760.93</v>
      </c>
      <c r="AZY33" s="218">
        <v>200760.93</v>
      </c>
      <c r="AZZ33" s="218">
        <v>200760.93</v>
      </c>
      <c r="BAA33" s="218">
        <v>200760.93</v>
      </c>
      <c r="BAB33" s="218">
        <v>200760.93</v>
      </c>
      <c r="BAC33" s="218">
        <v>200760.93</v>
      </c>
      <c r="BAD33" s="218">
        <v>200760.93</v>
      </c>
      <c r="BAE33" s="218">
        <v>200760.93</v>
      </c>
      <c r="BAF33" s="218">
        <v>200760.93</v>
      </c>
      <c r="BAG33" s="218">
        <v>200760.93</v>
      </c>
      <c r="BAH33" s="218">
        <v>200760.93</v>
      </c>
      <c r="BAI33" s="218">
        <v>200760.93</v>
      </c>
      <c r="BAJ33" s="218">
        <v>200760.93</v>
      </c>
      <c r="BAK33" s="218">
        <v>193860.93</v>
      </c>
      <c r="BAL33" s="218">
        <v>193860.93</v>
      </c>
      <c r="BAM33" s="218">
        <v>193860.93</v>
      </c>
      <c r="BAN33" s="218">
        <v>187860.93</v>
      </c>
      <c r="BAO33" s="218">
        <v>187860.93</v>
      </c>
      <c r="BAP33" s="218">
        <v>187860.93</v>
      </c>
      <c r="BAQ33" s="218">
        <v>187860.93</v>
      </c>
    </row>
    <row r="34" spans="1:1395" s="218" customFormat="1" ht="13.15" customHeight="1" x14ac:dyDescent="0.2">
      <c r="A34" s="483"/>
      <c r="B34" s="217" t="s">
        <v>189</v>
      </c>
      <c r="RE34" s="300"/>
      <c r="RF34" s="300"/>
      <c r="RG34" s="300"/>
      <c r="RH34" s="300"/>
      <c r="RI34" s="300"/>
      <c r="RJ34" s="300"/>
      <c r="RR34" s="300"/>
      <c r="RS34" s="300"/>
      <c r="RT34" s="300"/>
      <c r="UC34" s="218">
        <v>50000</v>
      </c>
      <c r="UD34" s="218">
        <v>21396.6</v>
      </c>
      <c r="UE34" s="218">
        <v>5748.1</v>
      </c>
      <c r="UF34" s="218">
        <v>22830.83</v>
      </c>
      <c r="UG34" s="218">
        <v>322830.83</v>
      </c>
      <c r="UH34" s="218">
        <v>57079.86</v>
      </c>
      <c r="UI34" s="218">
        <v>92611.520000000004</v>
      </c>
      <c r="UJ34" s="218">
        <f>99147.74+4700000</f>
        <v>4799147.74</v>
      </c>
      <c r="UK34" s="218">
        <v>1326.48</v>
      </c>
      <c r="UL34" s="218">
        <v>3551.58</v>
      </c>
      <c r="UM34" s="218">
        <v>5776.68</v>
      </c>
      <c r="UN34" s="218">
        <v>1762521.76</v>
      </c>
      <c r="UO34" s="218">
        <v>1712314.44</v>
      </c>
      <c r="UP34" s="218">
        <v>1439707.44</v>
      </c>
      <c r="UQ34" s="218">
        <v>1439707.44</v>
      </c>
      <c r="UR34" s="218">
        <v>1439707.44</v>
      </c>
      <c r="US34" s="218">
        <v>1303401.79</v>
      </c>
      <c r="UT34" s="218">
        <v>1296546.95</v>
      </c>
      <c r="UU34" s="218">
        <v>1296546.95</v>
      </c>
      <c r="UV34" s="218">
        <v>1296546.95</v>
      </c>
      <c r="UW34" s="218">
        <v>1296276.95</v>
      </c>
      <c r="UX34" s="218">
        <v>1296276.95</v>
      </c>
      <c r="UY34" s="218">
        <v>1296276.95</v>
      </c>
      <c r="UZ34" s="218">
        <v>1296276.95</v>
      </c>
      <c r="VA34" s="218">
        <v>360491.55</v>
      </c>
      <c r="VB34" s="218">
        <v>360491.55</v>
      </c>
      <c r="VC34" s="218">
        <v>360491.55</v>
      </c>
      <c r="VD34" s="218">
        <v>360491.55</v>
      </c>
      <c r="VE34" s="218">
        <v>360491.55</v>
      </c>
      <c r="VF34" s="218">
        <v>360491.55</v>
      </c>
      <c r="VG34" s="218">
        <v>360491.55</v>
      </c>
      <c r="VH34" s="218">
        <v>360491.55</v>
      </c>
      <c r="VI34" s="218">
        <v>360491.55</v>
      </c>
      <c r="VJ34" s="218">
        <v>360491.55</v>
      </c>
      <c r="VK34" s="218">
        <v>360491.55</v>
      </c>
      <c r="VL34" s="218">
        <v>360491.55</v>
      </c>
      <c r="VM34" s="218">
        <v>360491.55</v>
      </c>
      <c r="VN34" s="218">
        <v>360491.55</v>
      </c>
      <c r="VO34" s="218">
        <v>1613743.4</v>
      </c>
      <c r="VP34" s="218">
        <v>1713793.4</v>
      </c>
      <c r="VQ34" s="218">
        <v>1713793.4</v>
      </c>
      <c r="VR34" s="218">
        <v>1713793.4</v>
      </c>
      <c r="VS34" s="218">
        <v>1713793.4</v>
      </c>
      <c r="VT34" s="218">
        <v>1713793.4</v>
      </c>
      <c r="VU34" s="218">
        <v>1713793.4</v>
      </c>
      <c r="VV34" s="218">
        <v>1713793.4</v>
      </c>
      <c r="VW34" s="218">
        <v>1713793.4</v>
      </c>
      <c r="VX34" s="218">
        <v>1088793.3999999999</v>
      </c>
      <c r="VY34" s="218">
        <v>1088793.3999999999</v>
      </c>
      <c r="VZ34" s="218">
        <v>1088793.3999999999</v>
      </c>
      <c r="WA34" s="218">
        <v>1088793.3999999999</v>
      </c>
      <c r="WB34" s="218">
        <v>1088793.3999999999</v>
      </c>
      <c r="WC34" s="218">
        <v>1088793.3999999999</v>
      </c>
      <c r="WD34" s="218">
        <v>1088793.3999999999</v>
      </c>
      <c r="WE34" s="218">
        <v>1088793.3999999999</v>
      </c>
      <c r="WF34" s="218">
        <v>1088793.3999999999</v>
      </c>
      <c r="WG34" s="218">
        <v>1080293.3999999999</v>
      </c>
      <c r="WH34" s="218">
        <v>1080293.3999999999</v>
      </c>
      <c r="WI34" s="218">
        <v>1080293.3999999999</v>
      </c>
      <c r="WJ34" s="218">
        <v>1080293.3999999999</v>
      </c>
      <c r="WK34" s="218">
        <v>1080293.3999999999</v>
      </c>
      <c r="WL34" s="218">
        <v>1080293.3999999999</v>
      </c>
      <c r="WM34" s="218">
        <v>1080293.3999999999</v>
      </c>
      <c r="WN34" s="218">
        <v>1080293.3999999999</v>
      </c>
      <c r="WO34" s="218">
        <v>1080293.3999999999</v>
      </c>
      <c r="WP34" s="218">
        <v>1080293.3999999999</v>
      </c>
      <c r="WQ34" s="218">
        <v>1080293.3999999999</v>
      </c>
      <c r="WR34" s="218">
        <v>1080293.3999999999</v>
      </c>
      <c r="WS34" s="218">
        <v>1080293.3999999999</v>
      </c>
      <c r="WT34" s="218">
        <v>1080293.3999999999</v>
      </c>
      <c r="WU34" s="218">
        <v>1080293.3999999999</v>
      </c>
      <c r="WV34" s="218">
        <v>1080293.3999999999</v>
      </c>
      <c r="WW34" s="218">
        <v>1080293.3999999999</v>
      </c>
      <c r="WX34" s="218">
        <v>1080293.3999999999</v>
      </c>
      <c r="WY34" s="218">
        <v>1080293.3999999999</v>
      </c>
      <c r="WZ34" s="218">
        <v>1080293.3999999999</v>
      </c>
      <c r="XA34" s="218">
        <v>1080293.3999999999</v>
      </c>
      <c r="XB34" s="218">
        <v>1071793.3999999999</v>
      </c>
      <c r="XC34" s="218">
        <v>1071793.3999999999</v>
      </c>
      <c r="XD34" s="218">
        <v>1071793.3999999999</v>
      </c>
      <c r="XE34" s="218">
        <v>1071793.3999999999</v>
      </c>
      <c r="XF34" s="218">
        <v>127923.92</v>
      </c>
      <c r="XG34" s="218">
        <v>127923.92</v>
      </c>
      <c r="XH34" s="218">
        <v>127923.92</v>
      </c>
      <c r="XI34" s="218">
        <v>127923.92</v>
      </c>
      <c r="XJ34" s="218">
        <v>127923.92</v>
      </c>
      <c r="XK34" s="218">
        <v>127923.92</v>
      </c>
      <c r="XL34" s="218">
        <v>127923.92</v>
      </c>
      <c r="XM34" s="218">
        <v>127923.92</v>
      </c>
      <c r="XN34" s="218">
        <v>127923.92</v>
      </c>
      <c r="XO34" s="218">
        <v>127923.92</v>
      </c>
      <c r="XP34" s="218">
        <v>127923.92</v>
      </c>
      <c r="XQ34" s="218">
        <v>127923.92</v>
      </c>
      <c r="XR34" s="218">
        <v>127563.92</v>
      </c>
      <c r="XS34" s="218">
        <v>127563.92</v>
      </c>
      <c r="XT34" s="218">
        <v>127563.92</v>
      </c>
      <c r="XU34" s="218">
        <v>127563.92</v>
      </c>
      <c r="XV34" s="218">
        <v>127563.92</v>
      </c>
      <c r="XW34" s="218">
        <v>119153.92</v>
      </c>
      <c r="XX34" s="218">
        <v>119153.92</v>
      </c>
      <c r="XY34" s="218">
        <v>119153.92</v>
      </c>
      <c r="XZ34" s="218">
        <v>119153.92</v>
      </c>
      <c r="YA34" s="218">
        <v>119153.92</v>
      </c>
      <c r="YB34" s="218">
        <v>119153.92</v>
      </c>
      <c r="YC34" s="218">
        <v>269578.74</v>
      </c>
      <c r="YD34" s="218">
        <v>269578.74</v>
      </c>
      <c r="YE34" s="218">
        <v>269578.74</v>
      </c>
      <c r="YF34" s="218">
        <v>269578.74</v>
      </c>
      <c r="YG34" s="218">
        <v>269578.74</v>
      </c>
      <c r="YH34" s="218">
        <v>269578.74</v>
      </c>
      <c r="YI34" s="218">
        <v>269578.74</v>
      </c>
      <c r="YJ34" s="218">
        <v>269578.74</v>
      </c>
      <c r="YK34" s="218">
        <v>269578.74</v>
      </c>
      <c r="YL34" s="218">
        <v>269578.74</v>
      </c>
      <c r="YM34" s="218">
        <v>269578.74</v>
      </c>
      <c r="YN34" s="218">
        <v>269578.74</v>
      </c>
      <c r="YO34" s="218">
        <v>269578.74</v>
      </c>
      <c r="YP34" s="218">
        <v>269578.74</v>
      </c>
      <c r="YQ34" s="218">
        <v>269578.74</v>
      </c>
      <c r="YR34" s="218">
        <v>269578.74</v>
      </c>
      <c r="YS34" s="218">
        <v>261078.74</v>
      </c>
      <c r="YT34" s="218">
        <v>261078.74</v>
      </c>
      <c r="YU34" s="218">
        <v>261078.74</v>
      </c>
      <c r="YV34" s="218">
        <v>261078.74</v>
      </c>
      <c r="YW34" s="218">
        <v>261078.74</v>
      </c>
      <c r="YX34" s="218">
        <v>261078.74</v>
      </c>
      <c r="YY34" s="218">
        <v>261078.74</v>
      </c>
      <c r="YZ34" s="218">
        <v>261078.74</v>
      </c>
      <c r="ZA34" s="218">
        <v>261078.74</v>
      </c>
      <c r="ZB34" s="218">
        <v>261078.74</v>
      </c>
      <c r="ZC34" s="218">
        <v>261078.74</v>
      </c>
      <c r="ZD34" s="218">
        <v>14261078.74</v>
      </c>
      <c r="ZE34" s="218">
        <v>14261078.74</v>
      </c>
      <c r="ZF34" s="218">
        <v>14260988.74</v>
      </c>
      <c r="ZG34" s="218">
        <v>637260.84</v>
      </c>
      <c r="ZH34" s="218">
        <v>360075.63</v>
      </c>
      <c r="ZI34" s="218">
        <v>360075.63</v>
      </c>
      <c r="ZJ34" s="218">
        <v>360075.63</v>
      </c>
      <c r="ZK34" s="218">
        <v>360075.63</v>
      </c>
      <c r="ZL34" s="218">
        <v>360075.63</v>
      </c>
      <c r="ZM34" s="218">
        <v>360075.63</v>
      </c>
      <c r="ZN34" s="218">
        <v>360075.63</v>
      </c>
      <c r="ZO34" s="218">
        <v>360075.63</v>
      </c>
      <c r="ZP34" s="218">
        <v>360075.63</v>
      </c>
      <c r="ZQ34" s="218">
        <v>360075.63</v>
      </c>
      <c r="ZR34" s="218">
        <v>360075.63</v>
      </c>
      <c r="ZS34" s="218">
        <v>258075.63</v>
      </c>
      <c r="ZT34" s="218">
        <v>14758075.630000001</v>
      </c>
      <c r="ZU34" s="218">
        <v>14758075.630000001</v>
      </c>
      <c r="ZV34" s="218">
        <v>709312.65</v>
      </c>
      <c r="ZW34" s="218">
        <v>709312.65</v>
      </c>
      <c r="ZX34" s="218">
        <v>709312.65</v>
      </c>
      <c r="ZY34" s="218">
        <v>709312.65</v>
      </c>
      <c r="ZZ34" s="218">
        <v>709312.65</v>
      </c>
      <c r="AAA34" s="218">
        <v>709312.65</v>
      </c>
      <c r="AAB34" s="218">
        <v>709312.65</v>
      </c>
      <c r="AAC34" s="218">
        <v>709312.65</v>
      </c>
      <c r="AAD34" s="218">
        <v>709312.65</v>
      </c>
      <c r="AAE34" s="218">
        <v>709312.65</v>
      </c>
      <c r="AAF34" s="218">
        <v>409524.54</v>
      </c>
      <c r="AAG34" s="218">
        <v>384157.45</v>
      </c>
      <c r="AAH34" s="218">
        <v>384157.45</v>
      </c>
      <c r="AAI34" s="218">
        <v>384157.45</v>
      </c>
      <c r="AAJ34" s="218">
        <v>384157.45</v>
      </c>
      <c r="AAK34" s="218">
        <v>375657.45</v>
      </c>
      <c r="AAL34" s="218">
        <v>375657.45</v>
      </c>
      <c r="AAM34" s="218">
        <v>375657.45</v>
      </c>
      <c r="AAN34" s="218">
        <v>375657.45</v>
      </c>
      <c r="AAO34" s="218">
        <v>375657.45</v>
      </c>
      <c r="AAP34" s="218">
        <v>375657.45</v>
      </c>
      <c r="AAQ34" s="218">
        <v>375657.45</v>
      </c>
      <c r="AAR34" s="218">
        <v>375657.45</v>
      </c>
      <c r="AAS34" s="218">
        <v>375657.45</v>
      </c>
      <c r="AAT34" s="218">
        <v>375657.45</v>
      </c>
      <c r="AAU34" s="218">
        <v>375657.45</v>
      </c>
      <c r="AAV34" s="218">
        <v>375657.45</v>
      </c>
      <c r="AAW34" s="218">
        <v>375657.45</v>
      </c>
      <c r="AAX34" s="218">
        <v>375657.45</v>
      </c>
      <c r="AAY34" s="218">
        <v>375657.45</v>
      </c>
      <c r="AAZ34" s="218">
        <v>375657.45</v>
      </c>
      <c r="ABA34" s="218">
        <v>375657.45</v>
      </c>
      <c r="ABB34" s="218">
        <v>375657.45</v>
      </c>
      <c r="ABC34" s="218">
        <v>375657.45</v>
      </c>
      <c r="ABD34" s="218">
        <v>375657.45</v>
      </c>
      <c r="ABE34" s="436">
        <v>367157.45</v>
      </c>
      <c r="ABF34" s="436">
        <v>367157.45</v>
      </c>
      <c r="ABG34" s="436">
        <v>367157.45</v>
      </c>
      <c r="ABH34" s="436">
        <v>367157.45</v>
      </c>
      <c r="ABI34" s="437">
        <v>367157.45</v>
      </c>
      <c r="ABJ34" s="438">
        <v>868584.04</v>
      </c>
      <c r="ABK34" s="218">
        <v>837658.06</v>
      </c>
      <c r="ABL34" s="218">
        <v>837658.06</v>
      </c>
      <c r="ABM34" s="218">
        <v>837658.06</v>
      </c>
      <c r="ABN34" s="218">
        <v>837658.06</v>
      </c>
      <c r="ABO34" s="218">
        <v>837658.06</v>
      </c>
      <c r="ABP34" s="218">
        <v>8710408.4700000007</v>
      </c>
      <c r="ABQ34" s="218">
        <v>837658.06</v>
      </c>
      <c r="ABR34" s="218">
        <v>837658.06</v>
      </c>
      <c r="ABS34" s="218">
        <v>837658.06</v>
      </c>
      <c r="ABT34" s="218">
        <v>837658.06</v>
      </c>
      <c r="ABU34" s="218">
        <v>20837658.059999999</v>
      </c>
      <c r="ABV34" s="218">
        <v>4071419.2</v>
      </c>
      <c r="ABW34" s="218">
        <v>4020073.85</v>
      </c>
      <c r="ABX34" s="218">
        <v>4020073.85</v>
      </c>
      <c r="ABY34" s="218">
        <v>4011573.85</v>
      </c>
      <c r="ABZ34" s="218">
        <v>2511573.85</v>
      </c>
      <c r="ACA34" s="218">
        <v>1467510.85</v>
      </c>
      <c r="ACB34" s="218">
        <v>1187314.71</v>
      </c>
      <c r="ACC34" s="439">
        <v>1187314.71</v>
      </c>
      <c r="ACD34" s="218">
        <v>1187314.71</v>
      </c>
      <c r="ACE34" s="278">
        <v>1187314.71</v>
      </c>
      <c r="ACF34" s="218">
        <v>952314.71</v>
      </c>
      <c r="ACG34" s="218">
        <v>952314.71</v>
      </c>
      <c r="ACH34" s="218">
        <v>952314.71</v>
      </c>
      <c r="ACI34" s="218">
        <v>952314.71</v>
      </c>
      <c r="ACJ34" s="218">
        <v>952314.71</v>
      </c>
      <c r="ACK34" s="218">
        <v>952314.71</v>
      </c>
      <c r="ACL34" s="218">
        <v>952314.71</v>
      </c>
      <c r="ACM34" s="218">
        <v>952314.71</v>
      </c>
      <c r="ACN34" s="218">
        <v>289355.89</v>
      </c>
      <c r="ACO34" s="218">
        <v>289355.89</v>
      </c>
      <c r="ACP34" s="218">
        <v>289355.89</v>
      </c>
      <c r="ACQ34" s="218">
        <v>289355.89</v>
      </c>
      <c r="ACR34" s="218">
        <v>23289355.890000001</v>
      </c>
      <c r="ACS34" s="218">
        <v>23260882.02</v>
      </c>
      <c r="ACT34" s="218">
        <v>23220988.18</v>
      </c>
      <c r="ACU34" s="218">
        <v>2174408.44</v>
      </c>
      <c r="ACV34" s="218">
        <v>2174408.44</v>
      </c>
      <c r="ACW34" s="218">
        <v>2174408.44</v>
      </c>
      <c r="ACX34" s="218">
        <v>2174408.44</v>
      </c>
      <c r="ACY34" s="218">
        <v>2174408.44</v>
      </c>
      <c r="ACZ34" s="218">
        <v>2174408.44</v>
      </c>
      <c r="ADA34" s="218">
        <v>1380391.66</v>
      </c>
      <c r="ADB34" s="218">
        <v>1380391.66</v>
      </c>
      <c r="ADC34" s="218">
        <v>1380391.66</v>
      </c>
      <c r="ADD34" s="218">
        <v>1380391.66</v>
      </c>
      <c r="ADE34" s="218">
        <v>2045384.7</v>
      </c>
      <c r="ADF34" s="218">
        <v>2045384.7</v>
      </c>
      <c r="ADG34" s="218">
        <v>1943258.55</v>
      </c>
      <c r="ADH34" s="218">
        <v>52518.14</v>
      </c>
      <c r="ADI34" s="218">
        <v>52518.14</v>
      </c>
      <c r="ADJ34" s="218">
        <v>52518.14</v>
      </c>
      <c r="ADK34" s="218">
        <v>52518.14</v>
      </c>
      <c r="ADL34" s="218">
        <v>44018.14</v>
      </c>
      <c r="ADM34" s="218">
        <v>44018.14</v>
      </c>
      <c r="ADN34" s="218">
        <v>23973471.989999998</v>
      </c>
      <c r="ADO34" s="218">
        <v>1233537.3600000001</v>
      </c>
      <c r="ADP34" s="218">
        <v>1057097.6599999999</v>
      </c>
      <c r="ADQ34" s="218">
        <v>1054623.67</v>
      </c>
      <c r="ADR34" s="218">
        <v>1054623.67</v>
      </c>
      <c r="ADS34" s="218">
        <v>1054623.67</v>
      </c>
      <c r="ADT34" s="218">
        <v>2416623.64</v>
      </c>
      <c r="ADU34" s="218">
        <v>2416623.64</v>
      </c>
      <c r="ADV34" s="218">
        <v>2416623.64</v>
      </c>
      <c r="ADW34" s="218">
        <v>1106991.97</v>
      </c>
      <c r="ADX34" s="218">
        <v>1106991.97</v>
      </c>
      <c r="ADY34" s="218">
        <v>7106991.9699999997</v>
      </c>
      <c r="ADZ34" s="218">
        <v>510616.28</v>
      </c>
      <c r="AEA34" s="218">
        <v>510616.28</v>
      </c>
      <c r="AEB34" s="218">
        <v>510616.28</v>
      </c>
      <c r="AEC34" s="218">
        <v>496056.28</v>
      </c>
      <c r="AED34" s="218">
        <v>496056.28</v>
      </c>
      <c r="AEE34" s="218">
        <v>496056.28</v>
      </c>
      <c r="AEF34" s="218">
        <v>495206.28</v>
      </c>
      <c r="AEG34" s="218">
        <v>24128042.280000001</v>
      </c>
      <c r="AEH34" s="218">
        <v>23967743.719999999</v>
      </c>
      <c r="AEI34" s="218">
        <v>334757.71999999997</v>
      </c>
      <c r="AEJ34" s="218">
        <v>334757.71999999997</v>
      </c>
      <c r="AEK34" s="218">
        <v>334757.71999999997</v>
      </c>
      <c r="AEL34" s="218">
        <v>334757.71999999997</v>
      </c>
      <c r="AEM34" s="218">
        <v>334757.71999999997</v>
      </c>
      <c r="AEN34" s="218">
        <v>334757.71999999997</v>
      </c>
      <c r="AEO34" s="218">
        <v>206314.39</v>
      </c>
      <c r="AEP34" s="218">
        <v>135984.39000000001</v>
      </c>
      <c r="AEQ34" s="218">
        <v>135984.39000000001</v>
      </c>
      <c r="AER34" s="218">
        <v>135984.39000000001</v>
      </c>
      <c r="AES34" s="218">
        <v>135984.39000000001</v>
      </c>
      <c r="AET34" s="218">
        <v>135984.39000000001</v>
      </c>
      <c r="AEU34" s="218">
        <v>135984.39000000001</v>
      </c>
      <c r="AEV34" s="218">
        <v>50135984.390000001</v>
      </c>
      <c r="AEW34" s="218">
        <v>800906.84</v>
      </c>
      <c r="AEX34" s="218">
        <v>800906.84</v>
      </c>
      <c r="AEY34" s="218">
        <v>724060.89</v>
      </c>
      <c r="AEZ34" s="218">
        <v>724060.89</v>
      </c>
      <c r="AFA34" s="218">
        <v>724060.89</v>
      </c>
      <c r="AFB34" s="218">
        <v>724060.89</v>
      </c>
      <c r="AFC34" s="218">
        <v>724060.89</v>
      </c>
      <c r="AFD34" s="218">
        <v>717292.17</v>
      </c>
      <c r="AFE34" s="218">
        <v>717292.17</v>
      </c>
      <c r="AFF34" s="218">
        <v>717292.17</v>
      </c>
      <c r="AFG34" s="218">
        <v>717292.17</v>
      </c>
      <c r="AFH34" s="218">
        <v>717292.17</v>
      </c>
      <c r="AFI34" s="218">
        <v>717292.17</v>
      </c>
      <c r="AFJ34" s="218">
        <v>717292.17</v>
      </c>
      <c r="AFK34" s="218">
        <v>717292.17</v>
      </c>
      <c r="AFL34" s="218">
        <v>717292.17</v>
      </c>
      <c r="AFM34" s="218">
        <v>717292.17</v>
      </c>
      <c r="AFN34" s="218">
        <v>27717292.170000002</v>
      </c>
      <c r="AFO34" s="218">
        <v>1692767.66</v>
      </c>
      <c r="AFP34" s="218">
        <v>1692767.66</v>
      </c>
      <c r="AFQ34" s="218">
        <v>1692767.66</v>
      </c>
      <c r="AFR34" s="218">
        <v>1692767.66</v>
      </c>
      <c r="AFS34" s="218">
        <v>1692767.66</v>
      </c>
      <c r="AFT34" s="218">
        <v>1692767.66</v>
      </c>
      <c r="AFU34" s="218">
        <v>1692767.66</v>
      </c>
      <c r="AFV34" s="218">
        <v>1692767.66</v>
      </c>
      <c r="AFW34" s="218">
        <v>1692767.66</v>
      </c>
      <c r="AFX34" s="218">
        <v>1692767.66</v>
      </c>
      <c r="AFY34" s="218">
        <v>1692767.66</v>
      </c>
      <c r="AFZ34" s="218">
        <v>1692767.66</v>
      </c>
      <c r="AGA34" s="218">
        <v>1692767.66</v>
      </c>
      <c r="AGB34" s="218">
        <v>1675767.66</v>
      </c>
      <c r="AGC34" s="218">
        <v>1675767.66</v>
      </c>
      <c r="AGD34" s="218">
        <v>1675767.66</v>
      </c>
      <c r="AGE34" s="218">
        <v>6499076.46</v>
      </c>
      <c r="AGF34" s="218">
        <v>6499076.46</v>
      </c>
      <c r="AGG34" s="218">
        <v>6499076.46</v>
      </c>
      <c r="AGH34" s="218">
        <v>6499076.46</v>
      </c>
      <c r="AGI34" s="218">
        <v>6499076.46</v>
      </c>
      <c r="AGJ34" s="218">
        <v>3999076.46</v>
      </c>
      <c r="AGK34" s="218">
        <v>3999076.46</v>
      </c>
      <c r="AGL34" s="218">
        <v>3999076.46</v>
      </c>
      <c r="AGM34" s="218">
        <v>3999076.46</v>
      </c>
      <c r="AGN34" s="218">
        <v>3951076.46</v>
      </c>
      <c r="AGO34" s="218">
        <v>3951076.46</v>
      </c>
      <c r="AGP34" s="218">
        <v>3951076.46</v>
      </c>
      <c r="AGQ34" s="218">
        <v>3951076.46</v>
      </c>
      <c r="AGR34" s="218">
        <v>3942306.46</v>
      </c>
      <c r="AGS34" s="218">
        <v>3942306.46</v>
      </c>
      <c r="AGT34" s="218">
        <v>3942306.46</v>
      </c>
      <c r="AGU34" s="218">
        <v>3942306.46</v>
      </c>
      <c r="AGV34" s="218">
        <v>3942306.46</v>
      </c>
      <c r="AGW34" s="218">
        <v>3942306.46</v>
      </c>
      <c r="AGX34" s="218">
        <v>3942306.46</v>
      </c>
      <c r="AGY34" s="218">
        <v>3942306.46</v>
      </c>
      <c r="AGZ34" s="218">
        <v>58942306.460000001</v>
      </c>
      <c r="AHA34" s="218">
        <v>58942306.460000001</v>
      </c>
      <c r="AHB34" s="218">
        <v>6150155.1900000004</v>
      </c>
      <c r="AHC34" s="218">
        <v>6061421.9900000002</v>
      </c>
      <c r="AHD34" s="218">
        <v>3567534.99</v>
      </c>
      <c r="AHE34" s="218">
        <v>3567534.99</v>
      </c>
      <c r="AHF34" s="218">
        <v>3567534.99</v>
      </c>
      <c r="AHG34" s="218">
        <v>3567534.99</v>
      </c>
      <c r="AHH34" s="218">
        <v>3567534.99</v>
      </c>
      <c r="AHI34" s="218">
        <v>2838032.91</v>
      </c>
      <c r="AHJ34" s="218">
        <v>2838032.91</v>
      </c>
      <c r="AHK34" s="218">
        <v>1037312.91</v>
      </c>
      <c r="AHL34" s="218">
        <v>1037312.91</v>
      </c>
      <c r="AHM34" s="218">
        <v>1037312.91</v>
      </c>
      <c r="AHN34" s="218">
        <v>549337.71</v>
      </c>
      <c r="AHO34" s="218">
        <v>588437.71</v>
      </c>
      <c r="AHP34" s="218">
        <v>588437.71</v>
      </c>
      <c r="AHQ34" s="218">
        <v>588437.71</v>
      </c>
      <c r="AHR34" s="218">
        <v>588437.71</v>
      </c>
      <c r="AHS34" s="218">
        <v>588437.71</v>
      </c>
      <c r="AHT34" s="218">
        <v>588437.71</v>
      </c>
      <c r="AHU34" s="218">
        <v>588437.71</v>
      </c>
      <c r="AHV34" s="218">
        <v>588437.71</v>
      </c>
      <c r="AHW34" s="218">
        <v>588437.71</v>
      </c>
      <c r="AHX34" s="218">
        <v>588437.71</v>
      </c>
      <c r="AHY34" s="218">
        <v>588437.71</v>
      </c>
      <c r="AHZ34" s="218">
        <v>88437.71</v>
      </c>
      <c r="AIA34" s="218">
        <v>79937.710000000006</v>
      </c>
      <c r="AIB34" s="218">
        <v>79937.710000000006</v>
      </c>
      <c r="AIC34" s="218">
        <v>79937.710000000006</v>
      </c>
      <c r="AID34" s="218">
        <v>79937.710000000006</v>
      </c>
      <c r="AIE34" s="218">
        <v>79937.710000000006</v>
      </c>
      <c r="AIF34" s="218">
        <v>348410.46</v>
      </c>
      <c r="AIG34" s="218">
        <v>26514101.210000001</v>
      </c>
      <c r="AIH34" s="218">
        <v>513008.41</v>
      </c>
      <c r="AII34" s="218">
        <v>513008.41</v>
      </c>
      <c r="AIJ34" s="218">
        <v>513008.41</v>
      </c>
      <c r="AIK34" s="218">
        <v>513008.41</v>
      </c>
      <c r="AIL34" s="218">
        <v>513008.41</v>
      </c>
      <c r="AIM34" s="218">
        <v>513008.41</v>
      </c>
      <c r="AIN34" s="218">
        <v>513008.41</v>
      </c>
      <c r="AIO34" s="218">
        <v>513008.41</v>
      </c>
      <c r="AIP34" s="218">
        <v>2373117.48</v>
      </c>
      <c r="AIQ34" s="218">
        <v>2373117.48</v>
      </c>
      <c r="AIR34" s="218">
        <v>2373117.48</v>
      </c>
      <c r="AIS34" s="218">
        <v>2373117.48</v>
      </c>
      <c r="AIT34" s="218">
        <v>2373117.48</v>
      </c>
      <c r="AIU34" s="218">
        <v>2373117.48</v>
      </c>
      <c r="AIV34" s="218">
        <v>2373117.48</v>
      </c>
      <c r="AIW34" s="218">
        <v>2373117.48</v>
      </c>
      <c r="AIX34" s="218">
        <v>2373117.48</v>
      </c>
      <c r="AIY34" s="218">
        <v>2373117.48</v>
      </c>
      <c r="AIZ34" s="218">
        <v>2202377.08</v>
      </c>
      <c r="AJA34" s="218">
        <v>5202377.08</v>
      </c>
      <c r="AJB34" s="218">
        <v>2198611.48</v>
      </c>
      <c r="AJC34" s="218">
        <v>2198611.48</v>
      </c>
      <c r="AJD34" s="218">
        <v>2198611.48</v>
      </c>
      <c r="AJE34" s="218">
        <v>2198611.48</v>
      </c>
      <c r="AJF34" s="218">
        <v>2198611.48</v>
      </c>
      <c r="AJG34" s="218">
        <v>2198611.48</v>
      </c>
      <c r="AJH34" s="218">
        <v>2198611.48</v>
      </c>
      <c r="AJI34" s="218">
        <v>2198611.48</v>
      </c>
      <c r="AJJ34" s="218">
        <v>2198611.48</v>
      </c>
      <c r="AJK34" s="218">
        <v>2198611.48</v>
      </c>
      <c r="AJL34" s="218">
        <v>2198611.48</v>
      </c>
      <c r="AJM34" s="218">
        <v>2198611.48</v>
      </c>
      <c r="AJN34" s="218">
        <v>2198611.48</v>
      </c>
      <c r="AJO34" s="218">
        <v>2198611.48</v>
      </c>
      <c r="AJP34" s="218">
        <v>2198611.48</v>
      </c>
      <c r="AJQ34" s="218">
        <v>2198611.48</v>
      </c>
      <c r="AJR34" s="218">
        <v>2198611.48</v>
      </c>
      <c r="AJS34" s="218">
        <v>36384896.479999997</v>
      </c>
      <c r="AJT34" s="218">
        <v>36384896.479999997</v>
      </c>
      <c r="AJU34" s="218">
        <v>36384896.479999997</v>
      </c>
      <c r="AJV34" s="218">
        <v>76126.48</v>
      </c>
      <c r="AJW34" s="218">
        <v>76126.48</v>
      </c>
      <c r="AJX34" s="218">
        <v>67626.48</v>
      </c>
      <c r="AJY34" s="218">
        <v>67626.48</v>
      </c>
      <c r="AJZ34" s="218">
        <v>27067626.48</v>
      </c>
      <c r="AKA34" s="218">
        <v>12087567</v>
      </c>
      <c r="AKB34" s="218">
        <v>12087567</v>
      </c>
      <c r="AKC34" s="218">
        <v>87567</v>
      </c>
      <c r="AKD34" s="218">
        <v>87567</v>
      </c>
      <c r="AKE34" s="218">
        <v>87567</v>
      </c>
      <c r="AKF34" s="218">
        <v>87567</v>
      </c>
      <c r="AKG34" s="218">
        <v>87567</v>
      </c>
      <c r="AKH34" s="218">
        <v>87567</v>
      </c>
      <c r="AKI34" s="218">
        <v>87567</v>
      </c>
      <c r="AKJ34" s="218">
        <v>87567</v>
      </c>
      <c r="AKK34" s="218">
        <v>87567</v>
      </c>
      <c r="AKL34" s="218">
        <v>87567</v>
      </c>
      <c r="AKM34" s="218">
        <v>87567</v>
      </c>
      <c r="AKN34" s="218">
        <v>87567</v>
      </c>
      <c r="AKO34" s="218">
        <v>87567</v>
      </c>
      <c r="AKP34" s="218">
        <v>87567</v>
      </c>
      <c r="AKQ34" s="218">
        <v>87567</v>
      </c>
      <c r="AKR34" s="218">
        <v>87567</v>
      </c>
      <c r="AKS34" s="218">
        <v>87567</v>
      </c>
      <c r="AKT34" s="218">
        <v>87567</v>
      </c>
      <c r="AKU34" s="218">
        <v>87567</v>
      </c>
      <c r="AKV34" s="218">
        <v>87567</v>
      </c>
      <c r="AKW34" s="218">
        <v>87567</v>
      </c>
      <c r="AKX34" s="218">
        <v>87567</v>
      </c>
      <c r="AKY34" s="218">
        <v>87567</v>
      </c>
      <c r="AKZ34" s="218">
        <v>87567</v>
      </c>
      <c r="ALA34" s="218">
        <v>87567</v>
      </c>
      <c r="ALB34" s="218">
        <v>87567</v>
      </c>
      <c r="ALC34" s="218">
        <v>56087567</v>
      </c>
      <c r="ALD34" s="218">
        <v>56087567</v>
      </c>
      <c r="ALE34" s="218">
        <v>56087567</v>
      </c>
      <c r="ALF34" s="218">
        <v>732432.2</v>
      </c>
      <c r="ALG34" s="218">
        <v>732432.2</v>
      </c>
      <c r="ALH34" s="218">
        <v>684432.2</v>
      </c>
      <c r="ALI34" s="218">
        <v>684432.2</v>
      </c>
      <c r="ALJ34" s="218">
        <v>338887.2</v>
      </c>
      <c r="ALK34" s="218">
        <v>338887.2</v>
      </c>
      <c r="ALL34" s="218">
        <v>338887.2</v>
      </c>
      <c r="ALM34" s="218">
        <v>330387.20000000001</v>
      </c>
      <c r="ALN34" s="218">
        <v>330387.20000000001</v>
      </c>
      <c r="ALO34" s="218">
        <v>330387.20000000001</v>
      </c>
      <c r="ALP34" s="218">
        <v>330387.20000000001</v>
      </c>
      <c r="ALQ34" s="218">
        <v>330387.20000000001</v>
      </c>
      <c r="ALR34" s="218">
        <v>330387.20000000001</v>
      </c>
      <c r="ALS34" s="218">
        <v>330387.20000000001</v>
      </c>
      <c r="ALT34" s="218">
        <v>330387.20000000001</v>
      </c>
      <c r="ALU34" s="218">
        <v>330387.20000000001</v>
      </c>
      <c r="ALV34" s="218">
        <v>330387.20000000001</v>
      </c>
      <c r="ALW34" s="218">
        <v>62926.879999999997</v>
      </c>
      <c r="ALX34" s="218">
        <v>62926.879999999997</v>
      </c>
      <c r="ALY34" s="218">
        <v>62926.879999999997</v>
      </c>
      <c r="ALZ34" s="218">
        <v>62926.879999999997</v>
      </c>
      <c r="AMA34" s="218">
        <v>47926.879999999997</v>
      </c>
      <c r="AMB34" s="218">
        <v>47926.879999999997</v>
      </c>
      <c r="AMC34" s="218">
        <v>47926.879999999997</v>
      </c>
      <c r="AMD34" s="218">
        <v>45426.879999999997</v>
      </c>
      <c r="AME34" s="218">
        <v>45426.879999999997</v>
      </c>
      <c r="AMF34" s="218">
        <v>45426.879999999997</v>
      </c>
      <c r="AMG34" s="218">
        <v>45426.879999999997</v>
      </c>
      <c r="AMH34" s="218">
        <v>6318506.0199999996</v>
      </c>
      <c r="AMI34" s="218">
        <v>527047.76</v>
      </c>
      <c r="AMJ34" s="218">
        <v>527047.76</v>
      </c>
      <c r="AMK34" s="218">
        <v>428810.32</v>
      </c>
      <c r="AML34" s="218">
        <v>428810.32</v>
      </c>
      <c r="AMM34" s="218">
        <v>428810.32</v>
      </c>
      <c r="AMN34" s="218">
        <v>428810.32</v>
      </c>
      <c r="AMO34" s="218">
        <v>428810.32</v>
      </c>
      <c r="AMP34" s="218">
        <v>428810.32</v>
      </c>
      <c r="AMQ34" s="218">
        <v>428810.32</v>
      </c>
      <c r="AMR34" s="218">
        <v>428810.32</v>
      </c>
      <c r="AMS34" s="218">
        <v>428810.32</v>
      </c>
      <c r="AMT34" s="218">
        <v>428810.32</v>
      </c>
      <c r="AMU34" s="218">
        <v>428810.32</v>
      </c>
      <c r="AMV34" s="218">
        <v>428810.32</v>
      </c>
      <c r="AMW34" s="218">
        <v>428810.32</v>
      </c>
      <c r="AMX34" s="218">
        <v>428810.32</v>
      </c>
      <c r="AMY34" s="218">
        <v>428810.32</v>
      </c>
      <c r="AMZ34" s="218">
        <v>428810.32</v>
      </c>
      <c r="ANA34" s="218">
        <v>2408972.88</v>
      </c>
      <c r="ANB34" s="218">
        <v>2408972.88</v>
      </c>
      <c r="ANC34" s="218">
        <v>2408972.88</v>
      </c>
      <c r="AND34" s="218">
        <v>2408972.88</v>
      </c>
      <c r="ANE34" s="218">
        <v>2408972.88</v>
      </c>
      <c r="ANF34" s="218">
        <v>2408972.88</v>
      </c>
      <c r="ANG34" s="218">
        <v>2408972.88</v>
      </c>
      <c r="ANH34" s="218">
        <v>2408972.88</v>
      </c>
      <c r="ANI34" s="218">
        <v>2408972.88</v>
      </c>
      <c r="ANJ34" s="218">
        <v>2408972.88</v>
      </c>
      <c r="ANK34" s="218">
        <v>2408972.88</v>
      </c>
      <c r="ANL34" s="218">
        <v>2400472.89</v>
      </c>
      <c r="ANM34" s="218">
        <v>2400472.89</v>
      </c>
      <c r="ANN34" s="218">
        <v>2400472.89</v>
      </c>
      <c r="ANO34" s="218">
        <v>2400472.89</v>
      </c>
      <c r="ANP34" s="218">
        <v>2400472.89</v>
      </c>
      <c r="ANQ34" s="218">
        <v>2400472.89</v>
      </c>
      <c r="ANR34" s="218">
        <v>33400472.890000001</v>
      </c>
      <c r="ANS34" s="218">
        <v>1210309.2</v>
      </c>
      <c r="ANT34" s="218">
        <v>1210309.2</v>
      </c>
      <c r="ANU34" s="218">
        <v>1210309.2</v>
      </c>
      <c r="ANV34" s="218">
        <v>1210309.2</v>
      </c>
      <c r="ANW34" s="218">
        <v>1210309.2</v>
      </c>
      <c r="ANX34" s="218">
        <v>1131501.72</v>
      </c>
      <c r="ANY34" s="218">
        <v>1131501.72</v>
      </c>
      <c r="ANZ34" s="218">
        <v>1131501.72</v>
      </c>
      <c r="AOA34" s="218">
        <v>1131501.72</v>
      </c>
      <c r="AOB34" s="218">
        <v>1131501.72</v>
      </c>
      <c r="AOC34" s="218">
        <v>1131501.72</v>
      </c>
      <c r="AOD34" s="218">
        <v>1131501.72</v>
      </c>
      <c r="AOE34" s="218">
        <v>1131501.72</v>
      </c>
      <c r="AOF34" s="218">
        <v>1131501.72</v>
      </c>
      <c r="AOG34" s="218">
        <v>1131501.72</v>
      </c>
      <c r="AOH34" s="218">
        <v>1131501.72</v>
      </c>
      <c r="AOI34" s="218">
        <v>1131501.72</v>
      </c>
      <c r="AOJ34" s="452">
        <v>1131501.72</v>
      </c>
      <c r="AOK34" s="452">
        <v>1131501.72</v>
      </c>
      <c r="AOL34" s="452">
        <v>1131501.72</v>
      </c>
      <c r="AOM34" s="218">
        <v>1131321.72</v>
      </c>
      <c r="AON34" s="218">
        <v>1131321.72</v>
      </c>
      <c r="AOO34" s="218">
        <v>1131321.72</v>
      </c>
      <c r="AOP34" s="218">
        <v>1131321.72</v>
      </c>
      <c r="AOQ34" s="218">
        <v>1122821.72</v>
      </c>
      <c r="AOR34" s="218">
        <v>1122821.72</v>
      </c>
      <c r="AOS34" s="218">
        <v>3183586.74</v>
      </c>
      <c r="AOT34" s="218">
        <v>3183586.74</v>
      </c>
      <c r="AOU34" s="218">
        <v>3183586.74</v>
      </c>
      <c r="AOV34" s="218">
        <v>3183586.74</v>
      </c>
      <c r="AOW34" s="218">
        <v>3135586.74</v>
      </c>
      <c r="AOX34" s="218">
        <v>3135586.74</v>
      </c>
      <c r="AOY34" s="218">
        <v>3135586.74</v>
      </c>
      <c r="AOZ34" s="218">
        <v>3135586.74</v>
      </c>
      <c r="APA34" s="218">
        <v>2568478.56</v>
      </c>
      <c r="APB34" s="218">
        <v>2568478.56</v>
      </c>
      <c r="APC34" s="218">
        <v>2568478.56</v>
      </c>
      <c r="APD34" s="218">
        <v>2568478.56</v>
      </c>
      <c r="APE34" s="218">
        <v>2568478.56</v>
      </c>
      <c r="APF34" s="218">
        <v>2568478.56</v>
      </c>
      <c r="APG34" s="218">
        <v>2568478.56</v>
      </c>
      <c r="APH34" s="218">
        <v>2568478.56</v>
      </c>
      <c r="API34" s="218">
        <v>2568478.56</v>
      </c>
      <c r="APJ34" s="218">
        <v>2568478.56</v>
      </c>
      <c r="APK34" s="218">
        <v>2568478.56</v>
      </c>
      <c r="APL34" s="218">
        <v>2568478.56</v>
      </c>
      <c r="APM34" s="218">
        <v>2568478.56</v>
      </c>
      <c r="APN34" s="218">
        <v>2568478.56</v>
      </c>
      <c r="APO34" s="218">
        <v>2568478.56</v>
      </c>
      <c r="APP34" s="218">
        <v>2568478.56</v>
      </c>
      <c r="APQ34" s="218">
        <v>2732879.76</v>
      </c>
      <c r="APR34" s="218">
        <v>2684879.76</v>
      </c>
      <c r="APS34" s="218">
        <v>2242068.5099999998</v>
      </c>
      <c r="APT34" s="218">
        <v>2242068.5099999998</v>
      </c>
      <c r="APU34" s="218">
        <v>2242068.5099999998</v>
      </c>
      <c r="APV34" s="218">
        <v>2242068.5099999998</v>
      </c>
      <c r="APW34" s="218">
        <v>2242069.27</v>
      </c>
      <c r="APX34" s="218">
        <v>4690473.2699999996</v>
      </c>
      <c r="APY34" s="218">
        <v>4620810.97</v>
      </c>
      <c r="APZ34" s="218">
        <v>4620810.97</v>
      </c>
      <c r="AQA34" s="218">
        <v>4620810.97</v>
      </c>
      <c r="AQB34" s="218">
        <v>4620810.97</v>
      </c>
      <c r="AQC34" s="218">
        <v>4620810.97</v>
      </c>
      <c r="AQD34" s="218">
        <v>4620810.97</v>
      </c>
      <c r="AQE34" s="218">
        <v>4620810.97</v>
      </c>
      <c r="AQF34" s="218">
        <v>4238195.4400000004</v>
      </c>
      <c r="AQG34" s="218">
        <v>4238195.4400000004</v>
      </c>
      <c r="AQH34" s="218">
        <v>4238195.4400000004</v>
      </c>
      <c r="AQI34" s="218">
        <v>4238195.4400000004</v>
      </c>
      <c r="AQJ34" s="218">
        <v>4238195.4400000004</v>
      </c>
      <c r="AQK34" s="218">
        <v>4238195.4400000004</v>
      </c>
      <c r="AQL34" s="218">
        <v>4238195.4400000004</v>
      </c>
      <c r="AQM34" s="218">
        <v>4238195.4400000004</v>
      </c>
      <c r="AQN34" s="218">
        <v>4238195.4400000004</v>
      </c>
      <c r="AQO34" s="218">
        <v>4238195.4400000004</v>
      </c>
      <c r="AQP34" s="218">
        <v>4238195.4400000004</v>
      </c>
      <c r="AQQ34" s="218">
        <v>4238195.4400000004</v>
      </c>
      <c r="AQR34" s="218">
        <f>4238195.44-24005.18</f>
        <v>4214190.2600000007</v>
      </c>
      <c r="AQS34" s="218">
        <f>3658483.9</f>
        <v>3658483.9</v>
      </c>
      <c r="AQT34" s="218">
        <v>38909673.899999999</v>
      </c>
      <c r="AQU34" s="218">
        <v>38909673.899999999</v>
      </c>
      <c r="AQV34" s="218">
        <v>9611424.2400000002</v>
      </c>
      <c r="AQW34" s="218">
        <v>9611424.2400000002</v>
      </c>
      <c r="AQX34" s="218">
        <v>9611424.2400000002</v>
      </c>
      <c r="AQY34" s="218">
        <v>9567658.8699999992</v>
      </c>
      <c r="AQZ34" s="218">
        <v>9567658.8699999992</v>
      </c>
      <c r="ARA34" s="218">
        <v>9567658.8699999992</v>
      </c>
      <c r="ARB34" s="218">
        <v>9567658.8699999992</v>
      </c>
      <c r="ARC34" s="218">
        <v>9567658.8699999992</v>
      </c>
      <c r="ARD34" s="218">
        <v>9567658.8699999992</v>
      </c>
      <c r="ARE34" s="218">
        <v>9567658.8699999992</v>
      </c>
      <c r="ARF34" s="218">
        <v>9567658.8699999992</v>
      </c>
      <c r="ARG34" s="218">
        <v>9567658.8699999992</v>
      </c>
      <c r="ARH34" s="218">
        <v>9567658.8699999992</v>
      </c>
      <c r="ARI34" s="218">
        <v>9567658.8699999992</v>
      </c>
      <c r="ARJ34" s="218">
        <v>43567658.869999997</v>
      </c>
      <c r="ARK34" s="218">
        <v>8852688.4199999999</v>
      </c>
      <c r="ARL34" s="218">
        <v>446223.2</v>
      </c>
      <c r="ARM34" s="218">
        <v>446223.2</v>
      </c>
      <c r="ARN34" s="218">
        <v>8855173.6400000006</v>
      </c>
      <c r="ARO34" s="218">
        <v>8407103.8000000007</v>
      </c>
      <c r="ARP34" s="218">
        <v>8407103.8000000007</v>
      </c>
      <c r="ARQ34" s="218">
        <v>8407103.8000000007</v>
      </c>
      <c r="ARR34" s="218">
        <v>8407103.8000000007</v>
      </c>
      <c r="ARS34" s="218">
        <v>8407103.8000000007</v>
      </c>
      <c r="ART34" s="218">
        <v>8407103.8000000007</v>
      </c>
      <c r="ARU34" s="218">
        <v>8407103.8000000007</v>
      </c>
      <c r="ARV34" s="218">
        <v>8407103.8000000007</v>
      </c>
      <c r="ARW34" s="218">
        <v>8407103.8000000007</v>
      </c>
      <c r="ARX34" s="218">
        <v>8407103.8000000007</v>
      </c>
      <c r="ARY34" s="218">
        <v>8407103.8000000007</v>
      </c>
      <c r="ARZ34" s="218">
        <v>8407103.8000000007</v>
      </c>
      <c r="ASA34" s="218">
        <v>8407103.8000000007</v>
      </c>
      <c r="ASB34" s="218">
        <v>8407103.8000000007</v>
      </c>
      <c r="ASC34" s="218">
        <v>8407103.8000000007</v>
      </c>
      <c r="ASD34" s="218">
        <v>8407103.8000000007</v>
      </c>
      <c r="ASE34" s="218">
        <v>8407103.8000000007</v>
      </c>
      <c r="ASF34" s="218">
        <v>8407103.8000000007</v>
      </c>
      <c r="ASG34" s="218">
        <f t="shared" ref="ASG34:ASN34" si="1">8407103.8-226200-128082.6</f>
        <v>8052821.2000000011</v>
      </c>
      <c r="ASH34" s="218">
        <f t="shared" si="1"/>
        <v>8052821.2000000011</v>
      </c>
      <c r="ASI34" s="218">
        <f t="shared" si="1"/>
        <v>8052821.2000000011</v>
      </c>
      <c r="ASJ34" s="218">
        <f t="shared" si="1"/>
        <v>8052821.2000000011</v>
      </c>
      <c r="ASK34" s="218">
        <f t="shared" si="1"/>
        <v>8052821.2000000011</v>
      </c>
      <c r="ASL34" s="218">
        <f t="shared" si="1"/>
        <v>8052821.2000000011</v>
      </c>
      <c r="ASM34" s="218">
        <f t="shared" si="1"/>
        <v>8052821.2000000011</v>
      </c>
      <c r="ASN34" s="218">
        <f t="shared" si="1"/>
        <v>8052821.2000000011</v>
      </c>
      <c r="ASO34" s="218">
        <v>3242403.2</v>
      </c>
      <c r="ASP34" s="218">
        <v>2735886.63</v>
      </c>
      <c r="ASQ34" s="218">
        <v>2735886.63</v>
      </c>
      <c r="ASR34" s="218">
        <v>2735886.63</v>
      </c>
      <c r="ASS34" s="218">
        <v>2342244.04</v>
      </c>
      <c r="AST34" s="218">
        <v>2342244.04</v>
      </c>
      <c r="ASU34" s="218">
        <v>2342244.04</v>
      </c>
      <c r="ASV34" s="218">
        <v>2342244.04</v>
      </c>
      <c r="ASW34" s="218">
        <v>2342244.04</v>
      </c>
      <c r="ASX34" s="218">
        <v>2342244.04</v>
      </c>
      <c r="ASY34" s="218">
        <v>2342244.04</v>
      </c>
      <c r="ASZ34" s="218">
        <v>2342244.04</v>
      </c>
      <c r="ATA34" s="218">
        <v>2342244.04</v>
      </c>
      <c r="ATB34" s="218">
        <v>2342244.04</v>
      </c>
      <c r="ATC34" s="218">
        <v>2342244.04</v>
      </c>
      <c r="ATD34" s="218">
        <v>2342244.04</v>
      </c>
      <c r="ATE34" s="218">
        <v>2342244.04</v>
      </c>
      <c r="ATF34" s="218">
        <v>1930372.9</v>
      </c>
      <c r="ATG34" s="218">
        <v>1930372.9</v>
      </c>
      <c r="ATH34" s="218">
        <v>1930372.9</v>
      </c>
      <c r="ATI34" s="218">
        <v>1930372.9</v>
      </c>
      <c r="ATJ34" s="218">
        <v>1930372.9</v>
      </c>
      <c r="ATK34" s="218">
        <v>1930372.9</v>
      </c>
      <c r="ATL34" s="218">
        <v>1930372.9</v>
      </c>
      <c r="ATM34" s="218">
        <v>1930372.9</v>
      </c>
      <c r="ATN34" s="218">
        <v>1921872.9</v>
      </c>
      <c r="ATO34" s="218">
        <v>1921872.9</v>
      </c>
      <c r="ATP34" s="218">
        <v>1921872.9</v>
      </c>
      <c r="ATQ34" s="218">
        <v>1921872.9</v>
      </c>
      <c r="ATR34" s="218">
        <v>1921872.9</v>
      </c>
      <c r="ATS34" s="218">
        <v>1921872.9</v>
      </c>
      <c r="ATT34" s="218">
        <v>1921872.9</v>
      </c>
      <c r="ATU34" s="218">
        <v>1921872.9</v>
      </c>
      <c r="ATV34" s="218">
        <v>1921872.9</v>
      </c>
      <c r="ATW34" s="218">
        <v>1921872.9</v>
      </c>
      <c r="ATX34" s="218">
        <v>1921872.9</v>
      </c>
      <c r="ATY34" s="218">
        <v>1921872.9</v>
      </c>
      <c r="ATZ34" s="218">
        <v>1921872.9</v>
      </c>
      <c r="AUA34" s="218">
        <v>1921872.9</v>
      </c>
      <c r="AUB34" s="218">
        <v>486146.74</v>
      </c>
      <c r="AUC34" s="218">
        <v>486146.74</v>
      </c>
      <c r="AUD34" s="218">
        <v>486146.74</v>
      </c>
      <c r="AUE34" s="218">
        <v>486146.74</v>
      </c>
      <c r="AUF34" s="218">
        <v>486146.74</v>
      </c>
      <c r="AUG34" s="218">
        <v>486146.74</v>
      </c>
      <c r="AUH34" s="218">
        <v>486146.74</v>
      </c>
      <c r="AUI34" s="218">
        <f>1486146.74-436477</f>
        <v>1049669.74</v>
      </c>
      <c r="AUJ34" s="218">
        <v>1041168.89</v>
      </c>
      <c r="AUK34" s="218">
        <v>1041168.89</v>
      </c>
      <c r="AUL34" s="218">
        <v>1041168.89</v>
      </c>
      <c r="AUM34" s="218">
        <v>1041168.89</v>
      </c>
      <c r="AUN34" s="218">
        <v>1041168.89</v>
      </c>
      <c r="AUO34" s="218">
        <v>1041168.89</v>
      </c>
      <c r="AUP34" s="218">
        <v>996768.89</v>
      </c>
      <c r="AUQ34" s="218">
        <f>996768.89+60000000-36800000</f>
        <v>24196768.890000001</v>
      </c>
      <c r="AUR34" s="218">
        <v>24152608.890000001</v>
      </c>
      <c r="AUS34" s="218">
        <v>24152608.890000001</v>
      </c>
      <c r="AUT34" s="218">
        <v>1554149.85</v>
      </c>
      <c r="AUU34" s="218">
        <v>1509449.85</v>
      </c>
      <c r="AUV34" s="218">
        <v>108509449.84999999</v>
      </c>
      <c r="AUW34" s="218">
        <v>393361.85</v>
      </c>
      <c r="AUX34" s="218">
        <v>393361.85</v>
      </c>
      <c r="AUY34" s="218">
        <v>393361.85</v>
      </c>
      <c r="AUZ34" s="218">
        <v>364861.85</v>
      </c>
      <c r="AVA34" s="218">
        <v>364861.85</v>
      </c>
      <c r="AVB34" s="218">
        <v>167610.01999999999</v>
      </c>
      <c r="AVC34" s="218">
        <v>167610.01999999999</v>
      </c>
      <c r="AVD34" s="218">
        <v>167610.01999999999</v>
      </c>
      <c r="AVE34" s="218">
        <v>167610.01999999999</v>
      </c>
      <c r="AVF34" s="218">
        <v>167610.01999999999</v>
      </c>
      <c r="AVG34" s="218">
        <v>167610.01999999999</v>
      </c>
      <c r="AVH34" s="218">
        <f>167610.02+38974862</f>
        <v>39142472.020000003</v>
      </c>
      <c r="AVI34" s="218">
        <v>593772.02</v>
      </c>
      <c r="AVJ34" s="218">
        <v>593772.02</v>
      </c>
      <c r="AVK34" s="218">
        <f>593772.02+63000000</f>
        <v>63593772.020000003</v>
      </c>
      <c r="AVL34" s="218">
        <v>285939.42</v>
      </c>
      <c r="AVM34" s="218">
        <v>259839.42</v>
      </c>
      <c r="AVN34" s="218">
        <v>211814.42</v>
      </c>
      <c r="AVO34" s="218">
        <v>211814.42</v>
      </c>
      <c r="AVP34" s="218">
        <v>211814.42</v>
      </c>
      <c r="AVQ34" s="218">
        <v>211814.42</v>
      </c>
      <c r="AVR34" s="218">
        <v>211814.42</v>
      </c>
      <c r="AVS34" s="218">
        <v>211814.42</v>
      </c>
      <c r="AVT34" s="218">
        <v>203314.42</v>
      </c>
      <c r="AVU34" s="218">
        <v>203314.42</v>
      </c>
      <c r="AVV34" s="218">
        <v>203314.42</v>
      </c>
      <c r="AVW34" s="218">
        <v>152691.07</v>
      </c>
      <c r="AVX34" s="218">
        <v>152691.07</v>
      </c>
      <c r="AVY34" s="218">
        <v>152691.07</v>
      </c>
      <c r="AVZ34" s="218">
        <v>152691.07</v>
      </c>
      <c r="AWA34" s="218">
        <v>152691.07</v>
      </c>
      <c r="AWB34" s="218">
        <v>152691.07</v>
      </c>
      <c r="AWC34" s="218">
        <v>152691.07</v>
      </c>
      <c r="AWD34" s="218">
        <v>152691.07</v>
      </c>
      <c r="AWE34" s="218">
        <f>152691.07+250000-350000</f>
        <v>52691.070000000007</v>
      </c>
      <c r="AWF34" s="218">
        <f>152691.07+250000-350000+1100000</f>
        <v>1152691.07</v>
      </c>
      <c r="AWG34" s="218">
        <v>152691.07</v>
      </c>
      <c r="AWH34" s="218">
        <v>158553.64000000001</v>
      </c>
      <c r="AWI34" s="218">
        <v>158553.64000000001</v>
      </c>
      <c r="AWJ34" s="218">
        <v>158553.64000000001</v>
      </c>
      <c r="AWK34" s="218">
        <v>158553.64000000001</v>
      </c>
      <c r="AWL34" s="218">
        <v>158553.64000000001</v>
      </c>
      <c r="AWM34" s="218">
        <v>144053.64000000001</v>
      </c>
      <c r="AWN34" s="218">
        <v>144053.64000000001</v>
      </c>
      <c r="AWO34" s="218">
        <f>144053.64+400000</f>
        <v>544053.64</v>
      </c>
      <c r="AWP34" s="218">
        <v>144053.64000000001</v>
      </c>
      <c r="AWQ34" s="218">
        <v>152611.96</v>
      </c>
      <c r="AWR34" s="218">
        <v>116611.96</v>
      </c>
      <c r="AWS34" s="218">
        <v>116611.96</v>
      </c>
      <c r="AWT34" s="218">
        <v>116611.96</v>
      </c>
      <c r="AWU34" s="218">
        <v>116611.96</v>
      </c>
      <c r="AWV34" s="218">
        <v>116611.96</v>
      </c>
      <c r="AWW34" s="218">
        <v>116611.96</v>
      </c>
      <c r="AWX34" s="218">
        <v>116611.96</v>
      </c>
      <c r="AWY34" s="218">
        <v>116611.96</v>
      </c>
      <c r="AWZ34" s="218">
        <v>116611.96</v>
      </c>
      <c r="AXA34" s="218">
        <v>187616.36</v>
      </c>
      <c r="AXB34" s="218">
        <v>187616.36</v>
      </c>
      <c r="AXC34" s="218">
        <v>187616.36</v>
      </c>
      <c r="AXD34" s="218">
        <v>187616.36</v>
      </c>
      <c r="AXE34" s="218">
        <v>187616.36</v>
      </c>
      <c r="AXF34" s="218">
        <v>187616.36</v>
      </c>
      <c r="AXG34" s="218">
        <v>187616.36</v>
      </c>
      <c r="AXH34" s="218">
        <v>168954.18</v>
      </c>
      <c r="AXI34" s="218">
        <v>168954.18</v>
      </c>
      <c r="AXJ34" s="218">
        <f>168954.18+500000</f>
        <v>668954.17999999993</v>
      </c>
      <c r="AXK34" s="218">
        <v>296876.78000000003</v>
      </c>
      <c r="AXL34" s="218">
        <v>296876.78000000003</v>
      </c>
      <c r="AXM34" s="218">
        <v>296876.78000000003</v>
      </c>
      <c r="AXN34" s="218">
        <v>296876.78000000003</v>
      </c>
      <c r="AXO34" s="218">
        <v>296876.78000000003</v>
      </c>
      <c r="AXP34" s="218">
        <v>296876.78000000003</v>
      </c>
      <c r="AXQ34" s="218">
        <v>94190.34</v>
      </c>
      <c r="AXR34" s="218">
        <v>94190.34</v>
      </c>
      <c r="AXS34" s="218">
        <v>94190.34</v>
      </c>
      <c r="AXT34" s="218">
        <v>94190.34</v>
      </c>
      <c r="AXU34" s="218">
        <v>94190.34</v>
      </c>
      <c r="AXV34" s="218">
        <v>209312.06</v>
      </c>
      <c r="AXW34" s="218">
        <v>209312.06</v>
      </c>
      <c r="AXX34" s="218">
        <v>209312.06</v>
      </c>
      <c r="AXY34" s="218">
        <v>209312.06</v>
      </c>
      <c r="AXZ34" s="218">
        <v>209312.06</v>
      </c>
      <c r="AYA34" s="218">
        <v>209312.06</v>
      </c>
      <c r="AYB34" s="218">
        <v>209312.06</v>
      </c>
      <c r="AYC34" s="218">
        <v>209312.06</v>
      </c>
      <c r="AYD34" s="218">
        <v>209312.06</v>
      </c>
      <c r="AYE34" s="218">
        <v>209312.06</v>
      </c>
      <c r="AYF34" s="218">
        <v>209312.06</v>
      </c>
      <c r="AYG34" s="218">
        <v>209312.06</v>
      </c>
      <c r="AYH34" s="218">
        <v>209312.06</v>
      </c>
      <c r="AYI34" s="218">
        <v>209312.06</v>
      </c>
      <c r="AYJ34" s="218">
        <v>209312.06</v>
      </c>
      <c r="AYK34" s="218">
        <v>209312.06</v>
      </c>
      <c r="AYL34" s="218">
        <v>209312.06</v>
      </c>
      <c r="AYM34" s="278">
        <v>209312.06</v>
      </c>
      <c r="AYN34" s="278">
        <v>209312.06</v>
      </c>
      <c r="AYO34" s="218">
        <v>278276.42</v>
      </c>
      <c r="AYP34" s="218">
        <v>373241.92</v>
      </c>
      <c r="AYQ34" s="218">
        <v>373241.92</v>
      </c>
      <c r="AYR34" s="218">
        <v>373241.92</v>
      </c>
      <c r="AYS34" s="218">
        <v>373241.92</v>
      </c>
      <c r="AYT34" s="218">
        <v>373241.92</v>
      </c>
      <c r="AYU34" s="218">
        <v>373241.92</v>
      </c>
      <c r="AYV34" s="218">
        <v>364741.92</v>
      </c>
      <c r="AYW34" s="218">
        <v>364741.92</v>
      </c>
      <c r="AYX34" s="218">
        <v>364741.92</v>
      </c>
      <c r="AYY34" s="218">
        <v>364741.92</v>
      </c>
      <c r="AYZ34" s="218">
        <v>364741.92</v>
      </c>
      <c r="AZA34" s="218">
        <v>364741.92</v>
      </c>
      <c r="AZB34" s="218">
        <v>320358.59000000003</v>
      </c>
      <c r="AZC34" s="218">
        <v>320358.59000000003</v>
      </c>
      <c r="AZD34" s="218">
        <v>154075.82</v>
      </c>
      <c r="AZE34" s="218">
        <v>154075.82</v>
      </c>
      <c r="AZF34" s="218">
        <v>154075.82</v>
      </c>
      <c r="AZG34" s="218">
        <v>154075.82</v>
      </c>
      <c r="AZH34" s="218">
        <v>154075.82</v>
      </c>
      <c r="AZI34" s="218">
        <v>347867.66</v>
      </c>
      <c r="AZJ34" s="218">
        <v>347867.66</v>
      </c>
      <c r="AZK34" s="218">
        <v>347867.66</v>
      </c>
      <c r="AZL34" s="218">
        <v>347867.66</v>
      </c>
      <c r="AZM34" s="218">
        <v>347867.66</v>
      </c>
      <c r="AZN34" s="218">
        <v>347867.66</v>
      </c>
      <c r="AZO34" s="218">
        <v>198243.82</v>
      </c>
      <c r="AZP34" s="218">
        <v>198243.82</v>
      </c>
      <c r="AZQ34" s="218">
        <v>198243.82</v>
      </c>
      <c r="AZR34" s="218">
        <v>197973.82</v>
      </c>
      <c r="AZS34" s="218">
        <v>197973.82</v>
      </c>
      <c r="AZT34" s="218">
        <v>197973.82</v>
      </c>
      <c r="AZU34" s="218">
        <f t="shared" ref="AZU34:BAD34" si="2">197973.82+500000</f>
        <v>697973.82000000007</v>
      </c>
      <c r="AZV34" s="218">
        <f t="shared" si="2"/>
        <v>697973.82000000007</v>
      </c>
      <c r="AZW34" s="218">
        <f t="shared" si="2"/>
        <v>697973.82000000007</v>
      </c>
      <c r="AZX34" s="218">
        <f t="shared" si="2"/>
        <v>697973.82000000007</v>
      </c>
      <c r="AZY34" s="218">
        <f t="shared" si="2"/>
        <v>697973.82000000007</v>
      </c>
      <c r="AZZ34" s="218">
        <f t="shared" si="2"/>
        <v>697973.82000000007</v>
      </c>
      <c r="BAA34" s="218">
        <f t="shared" si="2"/>
        <v>697973.82000000007</v>
      </c>
      <c r="BAB34" s="218">
        <f t="shared" si="2"/>
        <v>697973.82000000007</v>
      </c>
      <c r="BAC34" s="218">
        <f t="shared" si="2"/>
        <v>697973.82000000007</v>
      </c>
      <c r="BAD34" s="218">
        <f t="shared" si="2"/>
        <v>697973.82000000007</v>
      </c>
      <c r="BAE34" s="218">
        <f>197973.82+500000</f>
        <v>697973.82000000007</v>
      </c>
      <c r="BAF34" s="218">
        <v>208466.34</v>
      </c>
      <c r="BAG34" s="218">
        <v>208466.34</v>
      </c>
      <c r="BAH34" s="218">
        <v>208466.34</v>
      </c>
      <c r="BAI34" s="218">
        <v>208466.34</v>
      </c>
      <c r="BAJ34" s="218">
        <v>208466.34</v>
      </c>
      <c r="BAK34" s="218">
        <v>170885.46</v>
      </c>
      <c r="BAL34" s="218">
        <v>73878.740000000005</v>
      </c>
      <c r="BAM34" s="218">
        <v>73878.740000000005</v>
      </c>
      <c r="BAN34" s="218">
        <v>73878.740000000005</v>
      </c>
      <c r="BAO34" s="218">
        <v>73878.740000000005</v>
      </c>
      <c r="BAP34" s="218">
        <v>104045.68</v>
      </c>
      <c r="BAQ34" s="218">
        <v>104045.68</v>
      </c>
    </row>
    <row r="35" spans="1:1395" s="218" customFormat="1" x14ac:dyDescent="0.2">
      <c r="A35" s="483"/>
      <c r="B35" s="217" t="s">
        <v>75</v>
      </c>
      <c r="C35" s="218">
        <v>56761.58</v>
      </c>
      <c r="D35" s="218">
        <v>56761.58</v>
      </c>
      <c r="E35" s="218">
        <v>56761.58</v>
      </c>
      <c r="F35" s="218">
        <v>395335.38</v>
      </c>
      <c r="G35" s="218">
        <v>402966.81</v>
      </c>
      <c r="H35" s="218">
        <v>402967.81</v>
      </c>
      <c r="I35" s="218">
        <v>402966.81</v>
      </c>
      <c r="J35" s="218">
        <v>375996.07</v>
      </c>
      <c r="K35" s="218">
        <v>375996.07</v>
      </c>
      <c r="L35" s="218">
        <v>375996.07</v>
      </c>
      <c r="M35" s="218">
        <v>375996.07</v>
      </c>
      <c r="N35" s="218">
        <f>351078.57</f>
        <v>351078.57</v>
      </c>
      <c r="O35" s="218">
        <f>351078.57</f>
        <v>351078.57</v>
      </c>
      <c r="P35" s="218">
        <f>351078.57</f>
        <v>351078.57</v>
      </c>
      <c r="Q35" s="218">
        <f>351078.57</f>
        <v>351078.57</v>
      </c>
      <c r="R35" s="218">
        <v>2051078.57</v>
      </c>
      <c r="S35" s="218">
        <v>1008103.3</v>
      </c>
      <c r="T35" s="218">
        <v>973955.6</v>
      </c>
      <c r="U35" s="218">
        <v>973955.6</v>
      </c>
      <c r="V35" s="218">
        <v>3939161.52</v>
      </c>
      <c r="W35" s="218">
        <v>434761.52</v>
      </c>
      <c r="X35" s="218">
        <v>417062.72</v>
      </c>
      <c r="Y35" s="218">
        <v>373060.46</v>
      </c>
      <c r="Z35" s="218">
        <v>373060.46</v>
      </c>
      <c r="AA35" s="218">
        <v>373060.46</v>
      </c>
      <c r="AB35" s="218">
        <v>3885339.19</v>
      </c>
      <c r="AC35" s="218">
        <v>879662.15</v>
      </c>
      <c r="AD35" s="218">
        <v>838500.32</v>
      </c>
      <c r="AE35" s="218">
        <v>838500.32</v>
      </c>
      <c r="AF35" s="218">
        <v>804308.8</v>
      </c>
      <c r="AG35" s="218">
        <v>789522.8</v>
      </c>
      <c r="AH35" s="218">
        <v>789522.8</v>
      </c>
      <c r="AI35" s="218">
        <v>789522.8</v>
      </c>
      <c r="AJ35" s="218">
        <v>776547.48</v>
      </c>
      <c r="AK35" s="218">
        <v>765626.48</v>
      </c>
      <c r="AL35" s="218">
        <v>788220.48</v>
      </c>
      <c r="AM35" s="218">
        <v>788220.48</v>
      </c>
      <c r="AN35" s="218">
        <v>788220.48</v>
      </c>
      <c r="AO35" s="218">
        <v>788220.48</v>
      </c>
      <c r="AP35" s="218">
        <v>772078.38</v>
      </c>
      <c r="AQ35" s="218">
        <v>766703.98</v>
      </c>
      <c r="AR35" s="218">
        <v>669911.42000000004</v>
      </c>
      <c r="AS35" s="218">
        <v>586857.32999999996</v>
      </c>
      <c r="AT35" s="218">
        <v>681528.31</v>
      </c>
      <c r="AU35" s="218">
        <v>628951.05000000005</v>
      </c>
      <c r="AV35" s="218">
        <v>628951.05000000005</v>
      </c>
      <c r="AW35" s="218">
        <v>628951.05000000005</v>
      </c>
      <c r="AX35" s="218">
        <v>628951.05000000005</v>
      </c>
      <c r="AY35" s="218">
        <v>635331.98</v>
      </c>
      <c r="AZ35" s="218">
        <v>635331.98</v>
      </c>
      <c r="BA35" s="218">
        <v>593331.98</v>
      </c>
      <c r="BB35" s="218">
        <f>586881.98</f>
        <v>586881.98</v>
      </c>
      <c r="BC35" s="218">
        <v>531397.93000000005</v>
      </c>
      <c r="BD35" s="218">
        <f>264170.99</f>
        <v>264170.99</v>
      </c>
      <c r="BE35" s="218">
        <v>229170.99</v>
      </c>
      <c r="BF35" s="218">
        <v>190610.25</v>
      </c>
      <c r="BG35" s="218">
        <v>190610.25</v>
      </c>
      <c r="BH35" s="218">
        <v>533279.85</v>
      </c>
      <c r="BI35" s="218">
        <v>525248.41</v>
      </c>
      <c r="BJ35" s="218">
        <f>447343.59</f>
        <v>447343.59</v>
      </c>
      <c r="BK35" s="218">
        <f>447343.59</f>
        <v>447343.59</v>
      </c>
      <c r="BL35" s="218">
        <f>447343.59</f>
        <v>447343.59</v>
      </c>
      <c r="BM35" s="218">
        <v>280373.15999999997</v>
      </c>
      <c r="BN35" s="218">
        <v>579568.93000000005</v>
      </c>
      <c r="BO35" s="218">
        <v>505557.46</v>
      </c>
      <c r="BP35" s="218">
        <v>505557.46</v>
      </c>
      <c r="BQ35" s="218">
        <v>466404.87</v>
      </c>
      <c r="BR35" s="218">
        <v>461356.37</v>
      </c>
      <c r="BS35" s="218">
        <v>417610.03</v>
      </c>
      <c r="BT35" s="218">
        <v>417610.03</v>
      </c>
      <c r="BU35" s="218">
        <v>417610.03</v>
      </c>
      <c r="BV35" s="218">
        <v>412121.03</v>
      </c>
      <c r="BW35" s="218">
        <v>387819.67</v>
      </c>
      <c r="BX35" s="218">
        <v>410554.21</v>
      </c>
      <c r="BY35" s="218">
        <v>410554.21</v>
      </c>
      <c r="BZ35" s="218">
        <v>410554.21</v>
      </c>
      <c r="CA35" s="218">
        <v>419536.37</v>
      </c>
      <c r="CB35" s="218">
        <v>419536.37</v>
      </c>
      <c r="CC35" s="218">
        <v>419536.37</v>
      </c>
      <c r="CD35" s="218">
        <v>364117.86</v>
      </c>
      <c r="CE35" s="218">
        <v>3559717.86</v>
      </c>
      <c r="CF35" s="218">
        <v>658629.21</v>
      </c>
      <c r="CG35" s="218">
        <v>658629.21</v>
      </c>
      <c r="CH35" s="218">
        <v>576389.65</v>
      </c>
      <c r="CI35" s="218">
        <v>576389.65</v>
      </c>
      <c r="CJ35" s="218">
        <v>415984.81</v>
      </c>
      <c r="CK35" s="218">
        <v>415984.81</v>
      </c>
      <c r="CL35" s="218">
        <v>415984.81</v>
      </c>
      <c r="CM35" s="218">
        <v>415984.81</v>
      </c>
      <c r="CN35" s="218">
        <v>366626.97</v>
      </c>
      <c r="CO35" s="218">
        <v>689212.33</v>
      </c>
      <c r="CP35" s="218">
        <v>689212.33</v>
      </c>
      <c r="CQ35" s="218">
        <v>639793.85</v>
      </c>
      <c r="CR35" s="218">
        <v>633373.94999999995</v>
      </c>
      <c r="CS35" s="218">
        <v>601802.77</v>
      </c>
      <c r="CT35" s="218">
        <v>571765.77</v>
      </c>
      <c r="CU35" s="218">
        <v>544807.03</v>
      </c>
      <c r="CV35" s="218">
        <v>544807.03</v>
      </c>
      <c r="CW35" s="218">
        <v>544807.03</v>
      </c>
      <c r="CX35" s="218">
        <v>470994.14</v>
      </c>
      <c r="CY35" s="218">
        <f>340266.01</f>
        <v>340266.01</v>
      </c>
      <c r="CZ35" s="218">
        <f>340266.01</f>
        <v>340266.01</v>
      </c>
      <c r="DA35" s="218">
        <v>267444.93</v>
      </c>
      <c r="DB35" s="218">
        <v>255425.59</v>
      </c>
      <c r="DC35" s="218">
        <v>255425.59</v>
      </c>
      <c r="DD35" s="218">
        <f>657309.18</f>
        <v>657309.18000000005</v>
      </c>
      <c r="DE35" s="218">
        <f>657309.18</f>
        <v>657309.18000000005</v>
      </c>
      <c r="DF35" s="218">
        <f>657309.18</f>
        <v>657309.18000000005</v>
      </c>
      <c r="DG35" s="218">
        <f>657309.18</f>
        <v>657309.18000000005</v>
      </c>
      <c r="DH35" s="218">
        <f>488074.15</f>
        <v>488074.15</v>
      </c>
      <c r="DI35" s="218">
        <v>1988074.15</v>
      </c>
      <c r="DJ35" s="218">
        <v>1988074.15</v>
      </c>
      <c r="DK35" s="218">
        <v>1988074.15</v>
      </c>
      <c r="DL35" s="218">
        <v>1988074.15</v>
      </c>
      <c r="DM35" s="218">
        <v>646648.15</v>
      </c>
      <c r="DN35" s="218">
        <v>646648.15</v>
      </c>
      <c r="DO35" s="218">
        <v>646648.15</v>
      </c>
      <c r="DP35" s="218">
        <v>646648.15</v>
      </c>
      <c r="DQ35" s="218">
        <v>646648.15</v>
      </c>
      <c r="DR35" s="218">
        <v>646648.15</v>
      </c>
      <c r="DS35" s="218">
        <v>642248.15</v>
      </c>
      <c r="DT35" s="218">
        <v>589611.69999999995</v>
      </c>
      <c r="DU35" s="218">
        <v>535236.88</v>
      </c>
      <c r="DV35" s="218">
        <v>4035236.88</v>
      </c>
      <c r="DW35" s="218">
        <v>1177557.1599999999</v>
      </c>
      <c r="DX35" s="218">
        <v>1177557.1599999999</v>
      </c>
      <c r="DY35" s="218">
        <v>1177557.1599999999</v>
      </c>
      <c r="DZ35" s="218">
        <f>1112245.12</f>
        <v>1112245.1200000001</v>
      </c>
      <c r="EA35" s="218">
        <v>1112245.1200000001</v>
      </c>
      <c r="EB35" s="218">
        <v>1112245.1200000001</v>
      </c>
      <c r="EC35" s="218">
        <v>103507.76</v>
      </c>
      <c r="ED35" s="218">
        <v>103507.76</v>
      </c>
      <c r="EE35" s="218">
        <v>364091.16</v>
      </c>
      <c r="EF35" s="218">
        <v>364091.16</v>
      </c>
      <c r="EG35" s="218">
        <v>302565.06</v>
      </c>
      <c r="EH35" s="218">
        <v>302565.06</v>
      </c>
      <c r="EI35" s="218">
        <v>302565.06</v>
      </c>
      <c r="EJ35" s="218">
        <v>1812824.55</v>
      </c>
      <c r="EK35" s="218">
        <v>1812824.55</v>
      </c>
      <c r="EL35" s="218">
        <v>291018.63</v>
      </c>
      <c r="EM35" s="218">
        <v>291018.63</v>
      </c>
      <c r="EN35" s="218">
        <v>291018.63</v>
      </c>
      <c r="EO35" s="218">
        <f>286618.63</f>
        <v>286618.63</v>
      </c>
      <c r="EP35" s="218">
        <v>239618.63</v>
      </c>
      <c r="EQ35" s="218">
        <v>6442.65</v>
      </c>
      <c r="ER35" s="218">
        <v>370745.15</v>
      </c>
      <c r="ES35" s="218">
        <v>3389113.15</v>
      </c>
      <c r="ET35" s="218">
        <v>3369073</v>
      </c>
      <c r="EU35" s="218">
        <v>399088.85</v>
      </c>
      <c r="EV35" s="218">
        <v>99088.85</v>
      </c>
      <c r="EW35" s="218">
        <v>99088.85</v>
      </c>
      <c r="EX35" s="218">
        <v>99088.85</v>
      </c>
      <c r="EY35" s="218">
        <v>599088.85</v>
      </c>
      <c r="EZ35" s="218">
        <v>599088.85</v>
      </c>
      <c r="FA35" s="218">
        <v>599088.85</v>
      </c>
      <c r="FB35" s="218">
        <v>583307.65</v>
      </c>
      <c r="FC35" s="218">
        <v>552637.01</v>
      </c>
      <c r="FD35" s="218">
        <v>552637.01</v>
      </c>
      <c r="FE35" s="218">
        <v>552637.01</v>
      </c>
      <c r="FF35" s="218">
        <v>623770.01</v>
      </c>
      <c r="FG35" s="218">
        <v>563278.37</v>
      </c>
      <c r="FH35" s="218">
        <v>563278.37</v>
      </c>
      <c r="FI35" s="218">
        <v>514794.53</v>
      </c>
      <c r="FJ35" s="218">
        <v>514794.53</v>
      </c>
      <c r="FK35" s="218">
        <v>303385.64</v>
      </c>
      <c r="FL35" s="218">
        <v>233545.42</v>
      </c>
      <c r="FM35" s="218">
        <v>233545.42</v>
      </c>
      <c r="FN35" s="218">
        <v>175726.54</v>
      </c>
      <c r="FO35" s="218">
        <v>1054378</v>
      </c>
      <c r="FP35" s="218">
        <v>976170.42</v>
      </c>
      <c r="FQ35" s="218">
        <v>976170.42</v>
      </c>
      <c r="FR35" s="218">
        <v>3731267.01</v>
      </c>
      <c r="FS35" s="218">
        <v>2860152.01</v>
      </c>
      <c r="FT35" s="218">
        <v>10398959.01</v>
      </c>
      <c r="FU35" s="218">
        <v>2550498.31</v>
      </c>
      <c r="FV35" s="218">
        <v>595487.36</v>
      </c>
      <c r="FW35" s="218">
        <v>4095487.36</v>
      </c>
      <c r="FX35" s="218">
        <v>4034193.28</v>
      </c>
      <c r="FY35" s="218">
        <v>2439417.44</v>
      </c>
      <c r="FZ35" s="218">
        <f>2363015.24</f>
        <v>2363015.2400000002</v>
      </c>
      <c r="GA35" s="218">
        <v>2363004.2400000002</v>
      </c>
      <c r="GB35" s="218">
        <v>2365776.2000000002</v>
      </c>
      <c r="GC35" s="218">
        <v>2365765.2000000002</v>
      </c>
      <c r="GD35" s="218">
        <v>2312686.98</v>
      </c>
      <c r="GE35" s="218">
        <v>13729482.359999999</v>
      </c>
      <c r="GF35" s="218">
        <v>4922650.5599999996</v>
      </c>
      <c r="GG35" s="218">
        <v>4858550.24</v>
      </c>
      <c r="GH35" s="218">
        <v>4840862.37</v>
      </c>
      <c r="GI35" s="218">
        <v>1800069.92</v>
      </c>
      <c r="GJ35" s="218">
        <v>1800069.92</v>
      </c>
      <c r="GK35" s="218">
        <v>1738441.54</v>
      </c>
      <c r="GL35" s="218">
        <v>1738441.54</v>
      </c>
      <c r="GM35" s="218">
        <v>1718488.08</v>
      </c>
      <c r="GN35" s="218">
        <v>4421270.97</v>
      </c>
      <c r="GO35" s="218">
        <v>40421235.969999999</v>
      </c>
      <c r="GP35" s="218">
        <v>418200.97</v>
      </c>
      <c r="GQ35" s="218">
        <v>418200.97</v>
      </c>
      <c r="GR35" s="218">
        <v>418200.97</v>
      </c>
      <c r="GS35" s="218">
        <v>373700.97</v>
      </c>
      <c r="GT35" s="218">
        <v>438537.38</v>
      </c>
      <c r="GU35" s="218">
        <v>438537.38</v>
      </c>
      <c r="GV35" s="218">
        <v>438537.38</v>
      </c>
      <c r="GW35" s="218">
        <v>438537.38</v>
      </c>
      <c r="GX35" s="218">
        <v>910680.3</v>
      </c>
      <c r="GY35" s="218">
        <v>918339.3</v>
      </c>
      <c r="GZ35" s="218">
        <v>874463.24</v>
      </c>
      <c r="HA35" s="218">
        <v>874463.24</v>
      </c>
      <c r="HB35" s="218">
        <v>809867.11</v>
      </c>
      <c r="HC35" s="218">
        <v>511387.11</v>
      </c>
      <c r="HD35" s="218">
        <v>500206.91</v>
      </c>
      <c r="HE35" s="218">
        <v>444067.04</v>
      </c>
      <c r="HF35" s="218">
        <v>444067.04</v>
      </c>
      <c r="HG35" s="218">
        <v>764787.88</v>
      </c>
      <c r="HH35" s="218">
        <v>727821.09</v>
      </c>
      <c r="HI35" s="218">
        <v>76711501.25</v>
      </c>
      <c r="HJ35" s="218">
        <v>711501.25</v>
      </c>
      <c r="HK35" s="218">
        <v>711501.25</v>
      </c>
      <c r="HL35" s="218">
        <v>1206091.25</v>
      </c>
      <c r="HM35" s="218">
        <v>1206091.25</v>
      </c>
      <c r="HN35" s="218">
        <v>675140.69</v>
      </c>
      <c r="HO35" s="218">
        <v>675140.69</v>
      </c>
      <c r="HP35" s="218">
        <v>2675140.69</v>
      </c>
      <c r="HQ35" s="218">
        <v>1029806.4</v>
      </c>
      <c r="HR35" s="218">
        <v>1022465.31</v>
      </c>
      <c r="HS35" s="218">
        <v>1022465.31</v>
      </c>
      <c r="HT35" s="218">
        <v>997928.95</v>
      </c>
      <c r="HU35" s="218">
        <f>909608.95</f>
        <v>909608.95</v>
      </c>
      <c r="HV35" s="218">
        <v>909608.95</v>
      </c>
      <c r="HW35" s="218">
        <v>843706.25</v>
      </c>
      <c r="HX35" s="218">
        <v>799390.11</v>
      </c>
      <c r="HY35" s="218">
        <v>4299390.1100000003</v>
      </c>
      <c r="HZ35" s="218">
        <v>765489.63</v>
      </c>
      <c r="IA35" s="218">
        <v>765489.63</v>
      </c>
      <c r="IB35" s="218">
        <v>765489.63</v>
      </c>
      <c r="IC35" s="218">
        <v>765489.63</v>
      </c>
      <c r="ID35" s="218">
        <v>1186993.57</v>
      </c>
      <c r="IE35" s="218">
        <v>1162192.1299999999</v>
      </c>
      <c r="IF35" s="218">
        <v>1155191.736</v>
      </c>
      <c r="IG35" s="218">
        <v>2888536.72</v>
      </c>
      <c r="IH35" s="218">
        <v>2888536.372</v>
      </c>
      <c r="II35" s="218">
        <v>2888536.372</v>
      </c>
      <c r="IJ35" s="218">
        <f>2888536.372-493150.68</f>
        <v>2395385.6919999998</v>
      </c>
      <c r="IK35" s="218">
        <v>679526.04</v>
      </c>
      <c r="IL35" s="218">
        <v>669514.22</v>
      </c>
      <c r="IM35" s="218">
        <v>1530012.22</v>
      </c>
      <c r="IN35" s="218">
        <v>892371.22</v>
      </c>
      <c r="IO35" s="218">
        <v>873443.22</v>
      </c>
      <c r="IP35" s="218">
        <v>789352.3</v>
      </c>
      <c r="IQ35" s="218">
        <v>789352.3</v>
      </c>
      <c r="IR35" s="218">
        <v>4372522.6100000003</v>
      </c>
      <c r="IS35" s="218">
        <v>4325930.87</v>
      </c>
      <c r="IT35" s="218">
        <v>1676785.83</v>
      </c>
      <c r="IU35" s="218">
        <v>1651621.07</v>
      </c>
      <c r="IV35" s="218">
        <v>1641712.65</v>
      </c>
      <c r="IW35" s="218">
        <v>1641712.65</v>
      </c>
      <c r="IX35" s="218">
        <v>1641712.65</v>
      </c>
      <c r="IY35" s="218">
        <v>1641712.65</v>
      </c>
      <c r="IZ35" s="218">
        <f>1074059.72</f>
        <v>1074059.72</v>
      </c>
      <c r="JA35" s="218">
        <v>1052559.72</v>
      </c>
      <c r="JB35" s="218">
        <v>1052559.72</v>
      </c>
      <c r="JC35" s="218">
        <v>2542847.02</v>
      </c>
      <c r="JD35" s="218">
        <v>866318.93</v>
      </c>
      <c r="JE35" s="218">
        <v>866318.93</v>
      </c>
      <c r="JF35" s="218">
        <v>866318.93</v>
      </c>
      <c r="JG35" s="218">
        <v>839516.79</v>
      </c>
      <c r="JH35" s="218">
        <v>789739.68</v>
      </c>
      <c r="JI35" s="218">
        <v>789739.68</v>
      </c>
      <c r="JJ35" s="218">
        <v>160738739.68000001</v>
      </c>
      <c r="JK35" s="218">
        <v>738739.68</v>
      </c>
      <c r="JL35" s="218">
        <v>4238739.68</v>
      </c>
      <c r="JM35" s="218">
        <v>4163431.99</v>
      </c>
      <c r="JN35" s="218">
        <v>316144.78999999998</v>
      </c>
      <c r="JO35" s="218">
        <v>252368.43</v>
      </c>
      <c r="JP35" s="218">
        <v>252368.43</v>
      </c>
      <c r="JQ35" s="218">
        <v>252368.43</v>
      </c>
      <c r="JR35" s="218">
        <v>727155.43</v>
      </c>
      <c r="JS35" s="218">
        <v>727155.43</v>
      </c>
      <c r="JT35" s="218">
        <v>727155.43</v>
      </c>
      <c r="JU35" s="218">
        <v>657062.99</v>
      </c>
      <c r="JV35" s="218">
        <v>2155454.66</v>
      </c>
      <c r="JW35" s="218">
        <v>499236.66</v>
      </c>
      <c r="JX35" s="218">
        <v>499236.66</v>
      </c>
      <c r="JY35" s="218">
        <v>499236.66</v>
      </c>
      <c r="JZ35" s="218">
        <v>499236.66</v>
      </c>
      <c r="KA35" s="218">
        <v>462260.18</v>
      </c>
      <c r="KB35" s="218">
        <v>429949.46</v>
      </c>
      <c r="KC35" s="218">
        <v>429949.46</v>
      </c>
      <c r="KD35" s="218">
        <v>363217.46</v>
      </c>
      <c r="KE35" s="218">
        <v>354415.19</v>
      </c>
      <c r="KF35" s="218">
        <v>4354415.1900000004</v>
      </c>
      <c r="KG35" s="218">
        <v>934006.91</v>
      </c>
      <c r="KH35" s="218">
        <f>1699426.61</f>
        <v>1699426.61</v>
      </c>
      <c r="KI35" s="218">
        <v>22215679.609999999</v>
      </c>
      <c r="KJ35" s="218">
        <v>1693599.61</v>
      </c>
      <c r="KK35" s="218">
        <v>1697019.61</v>
      </c>
      <c r="KL35" s="218">
        <v>1610740.01</v>
      </c>
      <c r="KM35" s="218">
        <v>1555740.01</v>
      </c>
      <c r="KN35" s="218">
        <v>1555740.01</v>
      </c>
      <c r="KO35" s="218">
        <v>1078510.6499999999</v>
      </c>
      <c r="KP35" s="218">
        <v>1078510.6499999999</v>
      </c>
      <c r="KQ35" s="218">
        <v>330104.52</v>
      </c>
      <c r="KR35" s="218">
        <v>330104.52</v>
      </c>
      <c r="KS35" s="218">
        <v>330104.52</v>
      </c>
      <c r="KT35" s="218">
        <v>330104.52</v>
      </c>
      <c r="KU35" s="218">
        <v>232275.5</v>
      </c>
      <c r="KV35" s="218">
        <v>227875.5</v>
      </c>
      <c r="KW35" s="218">
        <v>235884.47</v>
      </c>
      <c r="KX35" s="218">
        <v>235884.47</v>
      </c>
      <c r="KY35" s="218">
        <v>4235884.47</v>
      </c>
      <c r="KZ35" s="218">
        <v>406775.57</v>
      </c>
      <c r="LA35" s="218">
        <v>341840.21</v>
      </c>
      <c r="LB35" s="218">
        <v>331247.40000000002</v>
      </c>
      <c r="LC35" s="218">
        <v>323573.7</v>
      </c>
      <c r="LD35" s="218">
        <v>323573.7</v>
      </c>
      <c r="LE35" s="218">
        <v>252018.04</v>
      </c>
      <c r="LF35" s="218">
        <v>252018.04</v>
      </c>
      <c r="LG35" s="218">
        <v>252018.04</v>
      </c>
      <c r="LH35" s="218">
        <v>252018.04</v>
      </c>
      <c r="LI35" s="218">
        <v>173532.52</v>
      </c>
      <c r="LJ35" s="218">
        <v>173532.52</v>
      </c>
      <c r="LK35" s="218">
        <v>320926.32</v>
      </c>
      <c r="LL35" s="218">
        <v>240097.59</v>
      </c>
      <c r="LM35" s="218">
        <v>223134.99</v>
      </c>
      <c r="LN35" s="218">
        <v>223134.99</v>
      </c>
      <c r="LO35" s="218">
        <v>223134.99</v>
      </c>
      <c r="LP35" s="218">
        <v>223134.99</v>
      </c>
      <c r="LQ35" s="218">
        <v>106926.62</v>
      </c>
      <c r="LR35" s="218">
        <v>63530.68</v>
      </c>
      <c r="LS35" s="218">
        <v>4240560.49</v>
      </c>
      <c r="LT35" s="218">
        <v>730427.9</v>
      </c>
      <c r="LU35" s="218">
        <v>594734.24</v>
      </c>
      <c r="LV35" s="218">
        <v>582189.89</v>
      </c>
      <c r="LW35" s="218">
        <v>582189.89</v>
      </c>
      <c r="LX35" s="218">
        <v>582189.89</v>
      </c>
      <c r="LY35" s="218">
        <v>391489.82</v>
      </c>
      <c r="LZ35" s="218">
        <v>863416.02</v>
      </c>
      <c r="MA35" s="218">
        <v>343177.62</v>
      </c>
      <c r="MB35" s="218">
        <v>343177.62</v>
      </c>
      <c r="MC35" s="218">
        <v>2343177.62</v>
      </c>
      <c r="MD35" s="218">
        <v>623504.59</v>
      </c>
      <c r="ME35" s="218">
        <v>613412.75</v>
      </c>
      <c r="MF35" s="218">
        <v>613412.75</v>
      </c>
      <c r="MG35" s="218">
        <v>567084.57999999996</v>
      </c>
      <c r="MH35" s="218">
        <v>567084.57999999996</v>
      </c>
      <c r="MI35" s="218">
        <v>402680.2</v>
      </c>
      <c r="MJ35" s="218">
        <v>375347.48</v>
      </c>
      <c r="MK35" s="218">
        <v>375347.48</v>
      </c>
      <c r="ML35" s="218">
        <v>308660.73</v>
      </c>
      <c r="MM35" s="218">
        <v>246382.9</v>
      </c>
      <c r="MN35" s="218">
        <v>4246382.9000000004</v>
      </c>
      <c r="MO35" s="218">
        <v>331541.27</v>
      </c>
      <c r="MP35" s="218">
        <v>255840.22</v>
      </c>
      <c r="MQ35" s="218">
        <v>242240.22</v>
      </c>
      <c r="MR35" s="218">
        <v>150492.31</v>
      </c>
      <c r="MS35" s="218">
        <v>150492.31</v>
      </c>
      <c r="MT35" s="218">
        <v>150492.31</v>
      </c>
      <c r="MU35" s="218">
        <v>13469241.24</v>
      </c>
      <c r="MV35" s="218">
        <v>13427834.539999999</v>
      </c>
      <c r="MW35" s="218">
        <v>15061.98</v>
      </c>
      <c r="MX35" s="218">
        <v>3057703.98</v>
      </c>
      <c r="MY35" s="218">
        <v>3057703.98</v>
      </c>
      <c r="MZ35" s="218">
        <v>3057703.98</v>
      </c>
      <c r="NA35" s="218">
        <v>3057703.98</v>
      </c>
      <c r="NB35" s="218">
        <v>2930583.5</v>
      </c>
      <c r="NC35" s="218">
        <v>2926183.5</v>
      </c>
      <c r="ND35" s="218">
        <v>1157841.47</v>
      </c>
      <c r="NE35" s="218">
        <v>4657841.47</v>
      </c>
      <c r="NF35" s="218">
        <v>4657841.47</v>
      </c>
      <c r="NG35" s="218">
        <v>4657841.47</v>
      </c>
      <c r="NH35" s="218">
        <v>808937.8</v>
      </c>
      <c r="NI35" s="218">
        <v>791974.8</v>
      </c>
      <c r="NJ35" s="218">
        <v>791974.8</v>
      </c>
      <c r="NK35" s="218">
        <v>791974.8</v>
      </c>
      <c r="NL35" s="218">
        <v>563536.56999999995</v>
      </c>
      <c r="NM35" s="218">
        <v>505099.83</v>
      </c>
      <c r="NN35" s="218">
        <v>505099.83</v>
      </c>
      <c r="NO35" s="218">
        <v>17556162.829999998</v>
      </c>
      <c r="NP35" s="218">
        <v>965409.83</v>
      </c>
      <c r="NQ35" s="218">
        <v>965409.83</v>
      </c>
      <c r="NR35" s="218">
        <v>965409.83</v>
      </c>
      <c r="NS35" s="218">
        <v>469759.15</v>
      </c>
      <c r="NT35" s="218">
        <v>420068.39</v>
      </c>
      <c r="NU35" s="218">
        <v>2420068.39</v>
      </c>
      <c r="NV35" s="218">
        <v>2420068.39</v>
      </c>
      <c r="NW35" s="218">
        <v>630951.39</v>
      </c>
      <c r="NX35" s="218">
        <v>630951.39</v>
      </c>
      <c r="NY35" s="218">
        <v>630951.39</v>
      </c>
      <c r="NZ35" s="218">
        <v>2468011.34</v>
      </c>
      <c r="OA35" s="218">
        <v>326661.34000000003</v>
      </c>
      <c r="OB35" s="218">
        <v>294356.26</v>
      </c>
      <c r="OC35" s="218">
        <v>294356.26</v>
      </c>
      <c r="OD35" s="218">
        <v>294356.26</v>
      </c>
      <c r="OE35" s="218">
        <v>12276920.26</v>
      </c>
      <c r="OF35" s="218">
        <v>12276920.26</v>
      </c>
      <c r="OG35" s="218">
        <v>1079322.96</v>
      </c>
      <c r="OH35" s="218">
        <v>1055111.82</v>
      </c>
      <c r="OI35" s="218">
        <v>11861219.82</v>
      </c>
      <c r="OJ35" s="218">
        <v>1023424.56</v>
      </c>
      <c r="OK35" s="218">
        <v>1023424.56</v>
      </c>
      <c r="OL35" s="218">
        <v>912413.1</v>
      </c>
      <c r="OM35" s="218">
        <v>898694.02</v>
      </c>
      <c r="ON35" s="218">
        <v>389104.98</v>
      </c>
      <c r="OO35" s="218">
        <v>2248186.0499999998</v>
      </c>
      <c r="OP35" s="218">
        <v>475500.21</v>
      </c>
      <c r="OQ35" s="278">
        <v>448289.53</v>
      </c>
      <c r="OR35" s="278">
        <v>448289.53</v>
      </c>
      <c r="OS35" s="278">
        <v>448289.53</v>
      </c>
      <c r="OT35" s="278">
        <v>448289.53</v>
      </c>
      <c r="OU35" s="278">
        <v>448289.53</v>
      </c>
      <c r="OV35" s="218">
        <v>297787.65000000002</v>
      </c>
      <c r="OW35" s="218">
        <v>600497017.36000001</v>
      </c>
      <c r="OX35" s="218">
        <v>266880.37</v>
      </c>
      <c r="OY35" s="218">
        <v>556361.05000000005</v>
      </c>
      <c r="OZ35" s="218">
        <v>408929.27</v>
      </c>
      <c r="PA35" s="218">
        <v>330373.99</v>
      </c>
      <c r="PB35" s="218">
        <v>472364.73</v>
      </c>
      <c r="PC35" s="218">
        <v>385299.52</v>
      </c>
      <c r="PD35" s="218">
        <v>1281633.3400000001</v>
      </c>
      <c r="PE35" s="218">
        <v>2701698.79</v>
      </c>
      <c r="PF35" s="218">
        <v>508625.83</v>
      </c>
      <c r="PG35" s="218">
        <v>330299.89</v>
      </c>
      <c r="PH35" s="218">
        <v>158874.75</v>
      </c>
      <c r="PI35" s="218">
        <v>307179.87</v>
      </c>
      <c r="PJ35" s="218">
        <v>293466.57</v>
      </c>
      <c r="PK35" s="218">
        <v>1470798.62</v>
      </c>
      <c r="PL35" s="218">
        <v>1375899.94</v>
      </c>
      <c r="PM35" s="218">
        <v>470660.5</v>
      </c>
      <c r="PN35" s="218">
        <v>356817.69</v>
      </c>
      <c r="PO35" s="218">
        <v>1431310.69</v>
      </c>
      <c r="PP35" s="218">
        <v>1316116.31</v>
      </c>
      <c r="PQ35" s="218">
        <v>817564.96</v>
      </c>
      <c r="PR35" s="218">
        <v>2404327.98</v>
      </c>
      <c r="PS35" s="218">
        <v>352553.29</v>
      </c>
      <c r="PT35" s="218">
        <v>234819.93</v>
      </c>
      <c r="PU35" s="218">
        <v>522785.7</v>
      </c>
      <c r="PV35" s="218">
        <v>383468.42</v>
      </c>
      <c r="PW35" s="218">
        <v>747764.73</v>
      </c>
      <c r="PX35" s="218">
        <v>710868.92</v>
      </c>
      <c r="PY35" s="218">
        <v>502220.72</v>
      </c>
      <c r="PZ35" s="218">
        <v>434763.42</v>
      </c>
      <c r="QA35" s="218">
        <v>174708.4</v>
      </c>
      <c r="QB35" s="218">
        <v>112328.59</v>
      </c>
      <c r="QC35" s="218">
        <v>67099.02</v>
      </c>
      <c r="QD35" s="218">
        <v>394717.71</v>
      </c>
      <c r="QE35" s="218">
        <v>1381664.67</v>
      </c>
      <c r="QF35" s="218">
        <v>830799.18</v>
      </c>
      <c r="QG35" s="218">
        <v>818041.27</v>
      </c>
      <c r="QH35" s="218">
        <v>328730.67</v>
      </c>
      <c r="QI35" s="218">
        <v>51166808.960000001</v>
      </c>
      <c r="QJ35" s="218">
        <v>1410902.05</v>
      </c>
      <c r="QK35" s="218">
        <v>927467.1</v>
      </c>
      <c r="QL35" s="218">
        <v>1579454.12</v>
      </c>
      <c r="QM35" s="218">
        <v>1014332.77</v>
      </c>
      <c r="QN35" s="218">
        <v>1794332.77</v>
      </c>
      <c r="QO35" s="218">
        <v>580444.06000000006</v>
      </c>
      <c r="QP35" s="218">
        <v>376701.95</v>
      </c>
      <c r="QQ35" s="218">
        <v>1356607.64</v>
      </c>
      <c r="QR35" s="218">
        <v>2255917.7000000002</v>
      </c>
      <c r="QS35" s="218">
        <v>465358.39</v>
      </c>
      <c r="QT35" s="218">
        <v>844477</v>
      </c>
      <c r="QU35" s="218">
        <v>1507215.7</v>
      </c>
      <c r="QV35" s="218">
        <v>1319874.3700000001</v>
      </c>
      <c r="QW35" s="218">
        <v>1338074.6100000001</v>
      </c>
      <c r="QX35" s="218">
        <v>1210179.1000000001</v>
      </c>
      <c r="QY35" s="218">
        <v>1104291.83</v>
      </c>
      <c r="QZ35" s="218">
        <v>658803.38</v>
      </c>
      <c r="RA35" s="218">
        <v>1958803.38</v>
      </c>
      <c r="RB35" s="218">
        <v>711192.69</v>
      </c>
      <c r="RC35" s="218">
        <v>610931.66</v>
      </c>
      <c r="RD35" s="218">
        <v>527079.27</v>
      </c>
      <c r="RE35" s="300">
        <v>586876.24</v>
      </c>
      <c r="RF35" s="300">
        <v>1005956.79</v>
      </c>
      <c r="RG35" s="300">
        <v>414984.97</v>
      </c>
      <c r="RH35" s="300">
        <v>5999409.8899999997</v>
      </c>
      <c r="RI35" s="300">
        <v>1543059.88</v>
      </c>
      <c r="RJ35" s="300">
        <v>7799575.0999999996</v>
      </c>
      <c r="RK35" s="218">
        <v>1055620.6299999999</v>
      </c>
      <c r="RL35" s="218">
        <v>5646494.9900000002</v>
      </c>
      <c r="RM35" s="218">
        <v>3577326.08</v>
      </c>
      <c r="RN35" s="218">
        <v>16001970.130000001</v>
      </c>
      <c r="RO35" s="218">
        <v>10100260.369999999</v>
      </c>
      <c r="RP35" s="218">
        <v>7062237.3700000001</v>
      </c>
      <c r="RQ35" s="218">
        <v>7023013.3499999996</v>
      </c>
      <c r="RR35" s="300">
        <v>6836210.3399999999</v>
      </c>
      <c r="RS35" s="300">
        <v>6759218.4400000004</v>
      </c>
      <c r="RT35" s="300">
        <v>84654475.010000005</v>
      </c>
      <c r="RU35" s="218">
        <v>33009689.800000001</v>
      </c>
      <c r="RV35" s="218">
        <v>2141588.7000000002</v>
      </c>
      <c r="RW35" s="218">
        <v>24975914.09</v>
      </c>
      <c r="RX35" s="218">
        <v>3318210.01</v>
      </c>
      <c r="RY35" s="218">
        <v>8297129.1399999997</v>
      </c>
      <c r="RZ35" s="218">
        <v>1064428.6200000001</v>
      </c>
      <c r="SA35" s="218">
        <v>939904.25</v>
      </c>
      <c r="SB35" s="218">
        <v>1417655.15</v>
      </c>
      <c r="SC35" s="218">
        <v>1189444.43</v>
      </c>
      <c r="SD35" s="218">
        <v>725261.99</v>
      </c>
      <c r="SE35" s="218">
        <v>2512868.92</v>
      </c>
      <c r="SF35" s="218">
        <v>18415053.620000001</v>
      </c>
      <c r="SG35" s="218">
        <v>20739616.649999999</v>
      </c>
      <c r="SH35" s="218">
        <v>103546511.45999999</v>
      </c>
      <c r="SI35" s="218">
        <v>3668377.46</v>
      </c>
      <c r="SJ35" s="218">
        <v>1246562.56</v>
      </c>
      <c r="SK35" s="218">
        <v>995766.31</v>
      </c>
      <c r="SL35" s="218">
        <v>558270.12</v>
      </c>
      <c r="SM35" s="218">
        <v>259385.9</v>
      </c>
      <c r="SN35" s="218">
        <v>6916308.3600000003</v>
      </c>
      <c r="SO35" s="218">
        <v>4466813.1500000004</v>
      </c>
      <c r="SP35" s="218">
        <v>6307812.79</v>
      </c>
      <c r="SQ35" s="218">
        <v>20977908.52</v>
      </c>
      <c r="SR35" s="218">
        <v>2670739.35</v>
      </c>
      <c r="SS35" s="218">
        <v>1337055.03</v>
      </c>
      <c r="ST35" s="218">
        <v>1369087.19</v>
      </c>
      <c r="SU35" s="218">
        <v>542969.59999999998</v>
      </c>
      <c r="SV35" s="218">
        <v>1375848.08</v>
      </c>
      <c r="SW35" s="218">
        <v>137469120.75</v>
      </c>
      <c r="SX35" s="218">
        <v>5197876.07</v>
      </c>
      <c r="SY35" s="218">
        <v>5053555.1900000004</v>
      </c>
      <c r="SZ35" s="218">
        <v>16402901.43</v>
      </c>
      <c r="TA35" s="218">
        <v>2591337.02</v>
      </c>
      <c r="TB35" s="218">
        <v>5182258.17</v>
      </c>
      <c r="TC35" s="218">
        <v>25144544.77</v>
      </c>
      <c r="TD35" s="218">
        <v>2954493.77</v>
      </c>
      <c r="TE35" s="218">
        <v>2812392.27</v>
      </c>
      <c r="TF35" s="218">
        <v>411920.66</v>
      </c>
      <c r="TG35" s="218">
        <v>114917.97</v>
      </c>
      <c r="TH35" s="218">
        <v>887822.95</v>
      </c>
      <c r="TI35" s="218">
        <v>934070.66</v>
      </c>
      <c r="TJ35" s="218">
        <v>3368501.7</v>
      </c>
      <c r="TK35" s="218">
        <v>3421299.57</v>
      </c>
      <c r="TL35" s="218">
        <v>6293082.7400000002</v>
      </c>
      <c r="TM35" s="218">
        <v>617582.1</v>
      </c>
      <c r="TN35" s="218">
        <v>326984.78999999998</v>
      </c>
      <c r="TO35" s="218">
        <v>867505.15</v>
      </c>
      <c r="TP35" s="218">
        <v>2163471.8199999998</v>
      </c>
      <c r="TQ35" s="218">
        <v>7020756.3099999996</v>
      </c>
      <c r="TR35" s="218">
        <v>4879554.32</v>
      </c>
      <c r="TS35" s="218">
        <v>4895976.09</v>
      </c>
      <c r="TT35" s="218">
        <v>696516.14</v>
      </c>
      <c r="TU35" s="218">
        <v>895394.14</v>
      </c>
      <c r="TV35" s="218">
        <v>2022077.06</v>
      </c>
      <c r="TW35" s="218">
        <f>789870.09-60000</f>
        <v>729870.09</v>
      </c>
      <c r="TX35" s="218">
        <f>727870.09-200000</f>
        <v>527870.09</v>
      </c>
      <c r="TY35" s="218">
        <v>6834390.4299999997</v>
      </c>
      <c r="TZ35" s="218">
        <v>8051683.6799999997</v>
      </c>
      <c r="UA35" s="218">
        <v>1746989.89</v>
      </c>
      <c r="UB35" s="218">
        <v>932663.63</v>
      </c>
      <c r="UC35" s="218">
        <v>279483.74</v>
      </c>
      <c r="UD35" s="218">
        <v>279483.74</v>
      </c>
      <c r="UE35" s="218">
        <v>81198.91</v>
      </c>
      <c r="UF35" s="218">
        <v>68053.97</v>
      </c>
      <c r="UG35" s="218">
        <v>68053.97</v>
      </c>
      <c r="UH35" s="218">
        <v>68053.97</v>
      </c>
      <c r="UI35" s="218">
        <v>310104.62</v>
      </c>
      <c r="UJ35" s="218">
        <v>309204.62</v>
      </c>
      <c r="UK35" s="218">
        <v>314204.62</v>
      </c>
      <c r="UL35" s="218">
        <v>300060.64</v>
      </c>
      <c r="UM35" s="218">
        <v>299401.51</v>
      </c>
      <c r="UN35" s="218">
        <v>299401.51</v>
      </c>
      <c r="UO35" s="218">
        <v>264792.15000000002</v>
      </c>
      <c r="UP35" s="218">
        <v>264792.15000000002</v>
      </c>
      <c r="UQ35" s="218">
        <v>170803.51</v>
      </c>
      <c r="UR35" s="218">
        <f>306813.51+213800-64000</f>
        <v>456613.51</v>
      </c>
      <c r="US35" s="218">
        <v>456613.51</v>
      </c>
      <c r="UT35" s="218">
        <v>297610.19</v>
      </c>
      <c r="UU35" s="218">
        <v>302627.76</v>
      </c>
      <c r="UV35" s="218">
        <v>30392203.760000002</v>
      </c>
      <c r="UW35" s="218">
        <v>11974191.98</v>
      </c>
      <c r="UX35" s="218">
        <v>11974191.98</v>
      </c>
      <c r="UY35" s="218">
        <v>4265122.4400000004</v>
      </c>
      <c r="UZ35" s="218">
        <v>1201624.71</v>
      </c>
      <c r="VA35" s="218">
        <v>803440.97</v>
      </c>
      <c r="VB35" s="218">
        <v>793661.82</v>
      </c>
      <c r="VC35" s="218">
        <v>780871.86</v>
      </c>
      <c r="VD35" s="218">
        <v>780571.86</v>
      </c>
      <c r="VE35" s="218">
        <v>736551.86</v>
      </c>
      <c r="VF35" s="218">
        <v>6454749.7800000003</v>
      </c>
      <c r="VG35" s="218">
        <v>1119428.94</v>
      </c>
      <c r="VH35" s="218">
        <v>1046158.94</v>
      </c>
      <c r="VI35" s="218">
        <v>424321.06</v>
      </c>
      <c r="VJ35" s="218">
        <v>19152359.210000001</v>
      </c>
      <c r="VK35" s="218">
        <v>90336.67</v>
      </c>
      <c r="VL35" s="218">
        <v>26623.67</v>
      </c>
      <c r="VM35" s="218">
        <v>147672.98000000001</v>
      </c>
      <c r="VN35" s="218">
        <v>97154.77</v>
      </c>
      <c r="VO35" s="218">
        <v>9302682.2400000002</v>
      </c>
      <c r="VP35" s="218">
        <v>8329452.1100000003</v>
      </c>
      <c r="VQ35" s="218">
        <v>8329452.1100000003</v>
      </c>
      <c r="VR35" s="218">
        <v>7232821.04</v>
      </c>
      <c r="VS35" s="218">
        <v>7170043.1699999999</v>
      </c>
      <c r="VT35" s="218">
        <v>7137720.3200000003</v>
      </c>
      <c r="VU35" s="218">
        <v>19944559.32</v>
      </c>
      <c r="VV35" s="218">
        <v>19935778.300000001</v>
      </c>
      <c r="VW35" s="218">
        <v>2381410.61</v>
      </c>
      <c r="VX35" s="218">
        <v>2369907.92</v>
      </c>
      <c r="VY35" s="218">
        <v>1963582.42</v>
      </c>
      <c r="VZ35" s="218">
        <v>13427061.85</v>
      </c>
      <c r="WA35" s="218">
        <v>16736063.17</v>
      </c>
      <c r="WB35" s="218">
        <v>28545400.539999999</v>
      </c>
      <c r="WC35" s="218">
        <v>17710135.23</v>
      </c>
      <c r="WD35" s="218">
        <v>18099222.739999998</v>
      </c>
      <c r="WE35" s="218">
        <v>18046032.739999998</v>
      </c>
      <c r="WF35" s="218">
        <v>3951929.1</v>
      </c>
      <c r="WG35" s="218">
        <v>3742730.86</v>
      </c>
      <c r="WH35" s="218">
        <v>3747599.46</v>
      </c>
      <c r="WI35" s="218">
        <v>2656779.48</v>
      </c>
      <c r="WJ35" s="218">
        <v>1848568.45</v>
      </c>
      <c r="WK35" s="218">
        <v>8305617.4100000001</v>
      </c>
      <c r="WL35" s="218">
        <v>1344907.83</v>
      </c>
      <c r="WM35" s="218">
        <v>1344749.94</v>
      </c>
      <c r="WN35" s="218">
        <v>89517666.040000007</v>
      </c>
      <c r="WO35" s="218">
        <v>63480547.770000003</v>
      </c>
      <c r="WP35" s="218">
        <v>119675247.59999999</v>
      </c>
      <c r="WQ35" s="218">
        <v>101818484</v>
      </c>
      <c r="WR35" s="218">
        <f>90974349.87+200000000</f>
        <v>290974349.87</v>
      </c>
      <c r="WS35" s="218">
        <v>3974349.87</v>
      </c>
      <c r="WT35" s="218">
        <v>3950802.48</v>
      </c>
      <c r="WU35" s="218">
        <v>1564867.91</v>
      </c>
      <c r="WV35" s="218">
        <v>1550016.99</v>
      </c>
      <c r="WW35" s="218">
        <v>1331549.8600000001</v>
      </c>
      <c r="WX35" s="218">
        <v>1267549.8600000001</v>
      </c>
      <c r="WY35" s="218">
        <v>1158979.1000000001</v>
      </c>
      <c r="WZ35" s="218">
        <v>1501159.77</v>
      </c>
      <c r="XA35" s="218">
        <v>1513064.77</v>
      </c>
      <c r="XB35" s="218">
        <v>1354436.33</v>
      </c>
      <c r="XC35" s="218">
        <v>1237792.8899999999</v>
      </c>
      <c r="XD35" s="218">
        <v>1237792.8899999999</v>
      </c>
      <c r="XE35" s="218">
        <v>1264755.52</v>
      </c>
      <c r="XF35" s="218">
        <v>1073761.46</v>
      </c>
      <c r="XG35" s="218">
        <v>858489.52</v>
      </c>
      <c r="XH35" s="218">
        <v>863489.52</v>
      </c>
      <c r="XI35" s="218">
        <v>1870606.35</v>
      </c>
      <c r="XJ35" s="218">
        <v>124146446.63</v>
      </c>
      <c r="XK35" s="218">
        <v>78936900.579999998</v>
      </c>
      <c r="XL35" s="218">
        <v>49499524.380000003</v>
      </c>
      <c r="XM35" s="218">
        <v>45743638.859999999</v>
      </c>
      <c r="XN35" s="218">
        <v>20956236.539999999</v>
      </c>
      <c r="XO35" s="218">
        <v>17574481.609999999</v>
      </c>
      <c r="XP35" s="218">
        <v>16863661.420000002</v>
      </c>
      <c r="XQ35" s="218">
        <v>12197728.560000001</v>
      </c>
      <c r="XR35" s="218">
        <v>11621017.710000001</v>
      </c>
      <c r="XS35" s="218">
        <v>38653900.520000003</v>
      </c>
      <c r="XT35" s="218">
        <v>38327141.130000003</v>
      </c>
      <c r="XU35" s="218">
        <v>33869750.219999999</v>
      </c>
      <c r="XV35" s="218">
        <v>11242389.279999999</v>
      </c>
      <c r="XW35" s="218">
        <v>11209642</v>
      </c>
      <c r="XX35" s="218">
        <v>8696228.620000001</v>
      </c>
      <c r="XY35" s="218">
        <v>19278988.460000001</v>
      </c>
      <c r="XZ35" s="218">
        <v>5302308.91</v>
      </c>
      <c r="YA35" s="218">
        <v>4219250.43</v>
      </c>
      <c r="YB35" s="218">
        <v>2508532.11</v>
      </c>
      <c r="YC35" s="218">
        <v>27529652.109999999</v>
      </c>
      <c r="YD35" s="218">
        <v>1419983.35</v>
      </c>
      <c r="YE35" s="218">
        <v>1398833.4</v>
      </c>
      <c r="YF35" s="218">
        <v>3318833.4</v>
      </c>
      <c r="YG35" s="218">
        <v>24646713.879999999</v>
      </c>
      <c r="YH35" s="218">
        <v>22521863.620000001</v>
      </c>
      <c r="YI35" s="218">
        <v>19627165.850000001</v>
      </c>
      <c r="YJ35" s="218">
        <v>1337443.58</v>
      </c>
      <c r="YK35" s="218">
        <v>2432181.5299999998</v>
      </c>
      <c r="YL35" s="218">
        <v>2351417.73</v>
      </c>
      <c r="YM35" s="218">
        <v>1539417.43</v>
      </c>
      <c r="YN35" s="218">
        <v>3529269.2</v>
      </c>
      <c r="YO35" s="218">
        <v>3293169.14</v>
      </c>
      <c r="YP35" s="218">
        <v>4451367.9400000004</v>
      </c>
      <c r="YQ35" s="218">
        <v>3333524.57</v>
      </c>
      <c r="YR35" s="218">
        <v>2743380.91</v>
      </c>
      <c r="YS35" s="218">
        <v>1975345.29</v>
      </c>
      <c r="YT35" s="218">
        <v>1964845.33</v>
      </c>
      <c r="YU35" s="218">
        <v>625759.05000000005</v>
      </c>
      <c r="YV35" s="218">
        <v>625009.05000000005</v>
      </c>
      <c r="YW35" s="218">
        <v>2684062.73</v>
      </c>
      <c r="YX35" s="218">
        <v>2608762.59</v>
      </c>
      <c r="YY35" s="218">
        <v>2384085.5099999998</v>
      </c>
      <c r="YZ35" s="218">
        <v>8329094.6799999997</v>
      </c>
      <c r="ZA35" s="218">
        <v>8329094.6799999997</v>
      </c>
      <c r="ZB35" s="218">
        <v>8293094.6799999997</v>
      </c>
      <c r="ZC35" s="218">
        <v>8293094.6799999997</v>
      </c>
      <c r="ZD35" s="218">
        <v>8476224.3900000006</v>
      </c>
      <c r="ZE35" s="218">
        <v>3986642.21</v>
      </c>
      <c r="ZF35" s="218">
        <v>3954695.87</v>
      </c>
      <c r="ZG35" s="218">
        <v>563498.13</v>
      </c>
      <c r="ZH35" s="218">
        <v>822498.13</v>
      </c>
      <c r="ZI35" s="218">
        <v>606884.13</v>
      </c>
      <c r="ZJ35" s="218">
        <v>14038854.939999999</v>
      </c>
      <c r="ZK35" s="218">
        <v>12513914.52</v>
      </c>
      <c r="ZL35" s="218">
        <v>14186332.52</v>
      </c>
      <c r="ZM35" s="218">
        <v>13185622.619999999</v>
      </c>
      <c r="ZN35" s="218">
        <v>9214660.5099999998</v>
      </c>
      <c r="ZO35" s="218">
        <v>8995120.4800000004</v>
      </c>
      <c r="ZP35" s="218">
        <v>71773967.290000007</v>
      </c>
      <c r="ZQ35" s="218">
        <v>27785460.329999998</v>
      </c>
      <c r="ZR35" s="218">
        <v>4982809.53</v>
      </c>
      <c r="ZS35" s="218">
        <v>196889.77</v>
      </c>
      <c r="ZT35" s="218">
        <v>2350838.65</v>
      </c>
      <c r="ZU35" s="218">
        <v>2175843.2400000002</v>
      </c>
      <c r="ZV35" s="218">
        <v>1289321.05</v>
      </c>
      <c r="ZW35" s="218">
        <v>1039021.05</v>
      </c>
      <c r="ZX35" s="218">
        <v>1012896.05</v>
      </c>
      <c r="ZY35" s="218">
        <v>545678.51</v>
      </c>
      <c r="ZZ35" s="218">
        <v>485678.51</v>
      </c>
      <c r="AAA35" s="218">
        <v>1521682.53</v>
      </c>
      <c r="AAB35" s="218">
        <v>1521682.53</v>
      </c>
      <c r="AAC35" s="218">
        <v>2775450.85</v>
      </c>
      <c r="AAD35" s="218">
        <v>1261296.3500000001</v>
      </c>
      <c r="AAE35" s="218">
        <v>476135.59</v>
      </c>
      <c r="AAF35" s="218">
        <v>247702.99</v>
      </c>
      <c r="AAG35" s="218">
        <v>15622978.1</v>
      </c>
      <c r="AAH35" s="218">
        <v>15581742.74</v>
      </c>
      <c r="AAI35" s="218">
        <v>15740570.27</v>
      </c>
      <c r="AAJ35" s="218">
        <v>14758169.960000001</v>
      </c>
      <c r="AAK35" s="218">
        <v>136117.64000000001</v>
      </c>
      <c r="AAL35" s="218">
        <v>60941.31</v>
      </c>
      <c r="AAM35" s="218">
        <v>720646.8</v>
      </c>
      <c r="AAN35" s="218">
        <v>1566964.99</v>
      </c>
      <c r="AAO35" s="218">
        <v>1290947.43</v>
      </c>
      <c r="AAP35" s="218">
        <v>568611.53</v>
      </c>
      <c r="AAQ35" s="218">
        <v>568611.53</v>
      </c>
      <c r="AAR35" s="218">
        <v>1402481.9</v>
      </c>
      <c r="AAS35" s="218">
        <v>1304345.3700000001</v>
      </c>
      <c r="AAT35" s="218">
        <v>14304345.369999999</v>
      </c>
      <c r="AAU35" s="218">
        <v>14116521.050000001</v>
      </c>
      <c r="AAV35" s="218">
        <v>7165428.3300000001</v>
      </c>
      <c r="AAW35" s="218">
        <v>4980654.1100000003</v>
      </c>
      <c r="AAX35" s="218">
        <v>4980654.1100000003</v>
      </c>
      <c r="AAY35" s="218">
        <v>11049803.01</v>
      </c>
      <c r="AAZ35" s="218">
        <v>11031399.9</v>
      </c>
      <c r="ABA35" s="218">
        <v>8226732.0999999996</v>
      </c>
      <c r="ABB35" s="218">
        <v>9808700.0999999996</v>
      </c>
      <c r="ABC35" s="218">
        <v>10178600.1</v>
      </c>
      <c r="ABD35" s="218">
        <v>10623518.43</v>
      </c>
      <c r="ABE35" s="436">
        <v>5678184.0800000001</v>
      </c>
      <c r="ABF35" s="436">
        <f>5301657.78</f>
        <v>5301657.78</v>
      </c>
      <c r="ABG35" s="436">
        <v>8125246.9000000004</v>
      </c>
      <c r="ABH35" s="436">
        <v>7818040.5700000003</v>
      </c>
      <c r="ABI35" s="437">
        <v>50364189.549999997</v>
      </c>
      <c r="ABJ35" s="437">
        <v>14923536.67</v>
      </c>
      <c r="ABK35" s="218">
        <v>16216603.93</v>
      </c>
      <c r="ABL35" s="218">
        <v>15136953.91</v>
      </c>
      <c r="ABM35" s="218">
        <v>15096353.91</v>
      </c>
      <c r="ABN35" s="218">
        <v>15221643.869999999</v>
      </c>
      <c r="ABO35" s="218">
        <v>15183229.66</v>
      </c>
      <c r="ABP35" s="218">
        <v>4659792.67</v>
      </c>
      <c r="ABQ35" s="218">
        <v>19014921.300000001</v>
      </c>
      <c r="ABR35" s="218">
        <v>17624718.780000001</v>
      </c>
      <c r="ABS35" s="218">
        <v>9397419</v>
      </c>
      <c r="ABT35" s="218">
        <v>47123834.649999999</v>
      </c>
      <c r="ABU35" s="218">
        <v>37687745.719999999</v>
      </c>
      <c r="ABV35" s="218">
        <v>27617363.719999999</v>
      </c>
      <c r="ABW35" s="218">
        <v>18323276</v>
      </c>
      <c r="ABX35" s="218">
        <v>12666404</v>
      </c>
      <c r="ABY35" s="218">
        <v>1359750.69</v>
      </c>
      <c r="ABZ35" s="218">
        <v>1510869.49</v>
      </c>
      <c r="ACA35" s="218">
        <v>689449.34</v>
      </c>
      <c r="ACB35" s="218">
        <v>588213.41</v>
      </c>
      <c r="ACC35" s="439">
        <v>568244.5</v>
      </c>
      <c r="ACD35" s="218">
        <v>8791880.5</v>
      </c>
      <c r="ACE35" s="312">
        <v>6795573.1900000004</v>
      </c>
      <c r="ACF35" s="218">
        <v>6771136.8700000001</v>
      </c>
      <c r="ACG35" s="218">
        <v>18796126.5</v>
      </c>
      <c r="ACH35" s="218">
        <v>12187329.32</v>
      </c>
      <c r="ACI35" s="218">
        <v>2189018.34</v>
      </c>
      <c r="ACJ35" s="218">
        <v>1514653.64</v>
      </c>
      <c r="ACK35" s="218">
        <v>1502105.22</v>
      </c>
      <c r="ACL35" s="218">
        <v>1375521.53</v>
      </c>
      <c r="ACM35" s="218">
        <v>490954.26</v>
      </c>
      <c r="ACN35" s="218">
        <v>741648.75</v>
      </c>
      <c r="ACO35" s="218">
        <v>878698.79</v>
      </c>
      <c r="ACP35" s="218">
        <v>643412.74</v>
      </c>
      <c r="ACQ35" s="218">
        <v>1991383.54</v>
      </c>
      <c r="ACR35" s="218">
        <v>23204656.620000001</v>
      </c>
      <c r="ACS35" s="218">
        <v>18051197.629999999</v>
      </c>
      <c r="ACT35" s="218">
        <v>17568618.440000001</v>
      </c>
      <c r="ACU35" s="218">
        <v>978534.66</v>
      </c>
      <c r="ACV35" s="218">
        <v>2373171.66</v>
      </c>
      <c r="ACW35" s="218">
        <v>1424924.84</v>
      </c>
      <c r="ACX35" s="218">
        <v>1871719.37</v>
      </c>
      <c r="ACY35" s="218">
        <v>2371801.2599999998</v>
      </c>
      <c r="ACZ35" s="218">
        <v>2376943.5499999998</v>
      </c>
      <c r="ADA35" s="218">
        <v>8823506.0899999999</v>
      </c>
      <c r="ADB35" s="218">
        <v>13739385.58</v>
      </c>
      <c r="ADC35" s="218">
        <v>16760940.859999999</v>
      </c>
      <c r="ADD35" s="218">
        <v>16744275.800000001</v>
      </c>
      <c r="ADE35" s="218">
        <v>6020608.3300000001</v>
      </c>
      <c r="ADF35" s="218">
        <v>10115523.029999999</v>
      </c>
      <c r="ADG35" s="218">
        <v>12796728.199999999</v>
      </c>
      <c r="ADH35" s="218">
        <v>12790188.199999999</v>
      </c>
      <c r="ADI35" s="218">
        <v>14901797.289999999</v>
      </c>
      <c r="ADJ35" s="218">
        <v>14735846.57</v>
      </c>
      <c r="ADK35" s="218">
        <v>14680868.93</v>
      </c>
      <c r="ADL35" s="218">
        <v>14680868.93</v>
      </c>
      <c r="ADM35" s="218">
        <v>9527954.9000000004</v>
      </c>
      <c r="ADN35" s="218">
        <v>16802606.739999998</v>
      </c>
      <c r="ADO35" s="218">
        <v>9934574.8300000001</v>
      </c>
      <c r="ADP35" s="218">
        <v>9934574.8300000001</v>
      </c>
      <c r="ADQ35" s="218">
        <v>11766324.949999999</v>
      </c>
      <c r="ADR35" s="218">
        <v>10489343.93</v>
      </c>
      <c r="ADS35" s="218">
        <v>10489343.93</v>
      </c>
      <c r="ADT35" s="218">
        <v>11283820.93</v>
      </c>
      <c r="ADU35" s="218">
        <v>15286856.16</v>
      </c>
      <c r="ADV35" s="218">
        <v>12174876.779999999</v>
      </c>
      <c r="ADW35" s="218">
        <v>12174876.779999999</v>
      </c>
      <c r="ADX35" s="218">
        <v>18812142.07</v>
      </c>
      <c r="ADY35" s="218">
        <v>12803030.58</v>
      </c>
      <c r="ADZ35" s="218">
        <v>10157299.32</v>
      </c>
      <c r="AEA35" s="218">
        <v>44127974.439999998</v>
      </c>
      <c r="AEB35" s="218">
        <v>11373605.75</v>
      </c>
      <c r="AEC35" s="218">
        <v>43095965.75</v>
      </c>
      <c r="AED35" s="218">
        <v>42814520.630000003</v>
      </c>
      <c r="AEE35" s="218">
        <v>44546376.43</v>
      </c>
      <c r="AEF35" s="218">
        <v>44486376.43</v>
      </c>
      <c r="AEG35" s="218">
        <v>32453744.32</v>
      </c>
      <c r="AEH35" s="218">
        <v>27147957.73</v>
      </c>
      <c r="AEI35" s="218">
        <v>12580839.59</v>
      </c>
      <c r="AEJ35" s="218">
        <v>16261644.810000001</v>
      </c>
      <c r="AEK35" s="218">
        <v>16256888.810000001</v>
      </c>
      <c r="AEL35" s="218">
        <v>13748801.810000001</v>
      </c>
      <c r="AEM35" s="218">
        <v>25279912.559999999</v>
      </c>
      <c r="AEN35" s="218">
        <v>24302978.629999999</v>
      </c>
      <c r="AEO35" s="218">
        <v>24302978.629999999</v>
      </c>
      <c r="AEP35" s="218">
        <v>24498879.039999999</v>
      </c>
      <c r="AEQ35" s="218">
        <v>24413355.960000001</v>
      </c>
      <c r="AER35" s="218">
        <v>10451017.49</v>
      </c>
      <c r="AES35" s="218">
        <v>10270518.09</v>
      </c>
      <c r="AET35" s="218">
        <v>11803412.68</v>
      </c>
      <c r="AEU35" s="218">
        <v>11803412.68</v>
      </c>
      <c r="AEV35" s="218">
        <v>16787840.600000001</v>
      </c>
      <c r="AEW35" s="218">
        <v>16396303.890000001</v>
      </c>
      <c r="AEX35" s="218">
        <v>16359513.09</v>
      </c>
      <c r="AEY35" s="218">
        <v>39030397.579999998</v>
      </c>
      <c r="AEZ35" s="218">
        <v>34608784.950000003</v>
      </c>
      <c r="AFA35" s="218">
        <v>34326760.240000002</v>
      </c>
      <c r="AFB35" s="218">
        <v>17697627.969999999</v>
      </c>
      <c r="AFC35" s="218">
        <v>16682908.17</v>
      </c>
      <c r="AFD35" s="218">
        <v>16416288.32</v>
      </c>
      <c r="AFE35" s="218">
        <v>5041868.3899999997</v>
      </c>
      <c r="AFF35" s="218">
        <v>26512403.75</v>
      </c>
      <c r="AFG35" s="218">
        <v>26423663.75</v>
      </c>
      <c r="AFH35" s="218">
        <v>25099896.41</v>
      </c>
      <c r="AFI35" s="218">
        <v>18171833.010000002</v>
      </c>
      <c r="AFJ35" s="218">
        <v>17565043.100000001</v>
      </c>
      <c r="AFK35" s="218">
        <v>8043509.2699999996</v>
      </c>
      <c r="AFL35" s="218">
        <v>19051725.850000001</v>
      </c>
      <c r="AFM35" s="218">
        <v>18688596.050000001</v>
      </c>
      <c r="AFN35" s="218">
        <v>18459047.41</v>
      </c>
      <c r="AFO35" s="218">
        <v>17616535.030000001</v>
      </c>
      <c r="AFP35" s="218">
        <v>17466164.09</v>
      </c>
      <c r="AFQ35" s="218">
        <v>13799858.539999999</v>
      </c>
      <c r="AFR35" s="218">
        <v>16530455.1</v>
      </c>
      <c r="AFS35" s="218">
        <v>22363778.09</v>
      </c>
      <c r="AFT35" s="218">
        <v>21663597.800000001</v>
      </c>
      <c r="AFU35" s="218">
        <v>20247047.800000001</v>
      </c>
      <c r="AFV35" s="218">
        <v>17567559.539999999</v>
      </c>
      <c r="AFW35" s="218">
        <v>16123970.25</v>
      </c>
      <c r="AFX35" s="218">
        <v>3679854.17</v>
      </c>
      <c r="AFY35" s="218">
        <v>2125878.4900000002</v>
      </c>
      <c r="AFZ35" s="218">
        <v>8853858.6799999997</v>
      </c>
      <c r="AGA35" s="218">
        <v>7877582.54</v>
      </c>
      <c r="AGB35" s="218">
        <v>7336546.0300000003</v>
      </c>
      <c r="AGC35" s="218">
        <v>5650378.46</v>
      </c>
      <c r="AGD35" s="218">
        <v>5111004.18</v>
      </c>
      <c r="AGE35" s="218">
        <v>4464071.55</v>
      </c>
      <c r="AGF35" s="218">
        <v>4296401.18</v>
      </c>
      <c r="AGG35" s="218">
        <v>12378401.189999999</v>
      </c>
      <c r="AGH35" s="218">
        <v>10281497.42</v>
      </c>
      <c r="AGI35" s="218">
        <v>10272901.43</v>
      </c>
      <c r="AGJ35" s="218">
        <v>10598726.029999999</v>
      </c>
      <c r="AGK35" s="218">
        <v>8733672.2300000004</v>
      </c>
      <c r="AGL35" s="218">
        <v>168152723.86000001</v>
      </c>
      <c r="AGM35" s="218">
        <v>13063717.869999999</v>
      </c>
      <c r="AGN35" s="218">
        <v>11286943.57</v>
      </c>
      <c r="AGO35" s="218">
        <v>35437707.25</v>
      </c>
      <c r="AGP35" s="218">
        <v>34668727.310000002</v>
      </c>
      <c r="AGQ35" s="218">
        <v>16404175.800000001</v>
      </c>
      <c r="AGR35" s="218">
        <v>6102583.3899999997</v>
      </c>
      <c r="AGS35" s="218">
        <v>8653550.8800000008</v>
      </c>
      <c r="AGT35" s="218">
        <v>5673571.5499999998</v>
      </c>
      <c r="AGU35" s="218">
        <v>3149071.55</v>
      </c>
      <c r="AGV35" s="218">
        <v>9615125.8499999996</v>
      </c>
      <c r="AGW35" s="218">
        <v>14957810.390000001</v>
      </c>
      <c r="AGX35" s="218">
        <v>10361581.35</v>
      </c>
      <c r="AGY35" s="218">
        <v>76223463.700000003</v>
      </c>
      <c r="AGZ35" s="218">
        <v>21142302.460000001</v>
      </c>
      <c r="AHA35" s="218">
        <v>4239424.04</v>
      </c>
      <c r="AHB35" s="218">
        <v>2250186.73</v>
      </c>
      <c r="AHC35" s="218">
        <v>1824368.73</v>
      </c>
      <c r="AHD35" s="218">
        <v>2422687.34</v>
      </c>
      <c r="AHE35" s="218">
        <v>1745027.97</v>
      </c>
      <c r="AHF35" s="218">
        <v>3936176.98</v>
      </c>
      <c r="AHG35" s="218">
        <v>3161411.92</v>
      </c>
      <c r="AHH35" s="218">
        <v>3158530.62</v>
      </c>
      <c r="AHI35" s="218">
        <v>2679706.73</v>
      </c>
      <c r="AHJ35" s="218">
        <v>2597318.75</v>
      </c>
      <c r="AHK35" s="218">
        <v>1945661.4399999999</v>
      </c>
      <c r="AHL35" s="218">
        <v>725160.22</v>
      </c>
      <c r="AHM35" s="218">
        <v>28737821.809999999</v>
      </c>
      <c r="AHN35" s="218">
        <v>28229835.309999999</v>
      </c>
      <c r="AHO35" s="218">
        <v>28263928.620000001</v>
      </c>
      <c r="AHP35" s="218">
        <v>9259388.8900000006</v>
      </c>
      <c r="AHQ35" s="218">
        <v>8213808.3600000003</v>
      </c>
      <c r="AHR35" s="218">
        <v>8897887.2200000007</v>
      </c>
      <c r="AHS35" s="218">
        <v>9557018.3800000008</v>
      </c>
      <c r="AHT35" s="218">
        <v>8026401.4699999997</v>
      </c>
      <c r="AHU35" s="218">
        <v>7307568.3899999997</v>
      </c>
      <c r="AHV35" s="218">
        <v>18780422.68</v>
      </c>
      <c r="AHW35" s="218">
        <v>6694254.9000000004</v>
      </c>
      <c r="AHX35" s="218">
        <v>5052475.12</v>
      </c>
      <c r="AHY35" s="218">
        <v>8119994.7400000002</v>
      </c>
      <c r="AHZ35" s="218">
        <v>388757.3</v>
      </c>
      <c r="AIA35" s="218">
        <v>110157.3</v>
      </c>
      <c r="AIB35" s="218">
        <v>7787070.9000000004</v>
      </c>
      <c r="AIC35" s="218">
        <v>6078373</v>
      </c>
      <c r="AID35" s="218">
        <v>7341300.1200000001</v>
      </c>
      <c r="AIE35" s="218">
        <v>6084582.2999999998</v>
      </c>
      <c r="AIF35" s="218">
        <v>22402777.920000002</v>
      </c>
      <c r="AIG35" s="218">
        <v>2933557.88</v>
      </c>
      <c r="AIH35" s="218">
        <v>2825502.09</v>
      </c>
      <c r="AII35" s="218">
        <v>2192478.91</v>
      </c>
      <c r="AIJ35" s="218">
        <v>1892478.91</v>
      </c>
      <c r="AIK35" s="218">
        <v>4323809.3499999996</v>
      </c>
      <c r="AIL35" s="218">
        <v>786445.29</v>
      </c>
      <c r="AIM35" s="218">
        <v>3669066.95</v>
      </c>
      <c r="AIN35" s="218">
        <v>16577361.619999999</v>
      </c>
      <c r="AIO35" s="218">
        <v>12480926.74</v>
      </c>
      <c r="AIP35" s="218">
        <v>18345903.739999998</v>
      </c>
      <c r="AIQ35" s="218">
        <v>33296517.760000002</v>
      </c>
      <c r="AIR35" s="218">
        <v>33296517.760000002</v>
      </c>
      <c r="AIS35" s="218">
        <v>18497566.629999999</v>
      </c>
      <c r="AIT35" s="218">
        <v>8210405.46</v>
      </c>
      <c r="AIU35" s="218">
        <v>3997679.72</v>
      </c>
      <c r="AIV35" s="218">
        <v>3191509.64</v>
      </c>
      <c r="AIW35" s="218">
        <v>4990404.87</v>
      </c>
      <c r="AIX35" s="218">
        <v>7422679.21</v>
      </c>
      <c r="AIY35" s="218">
        <v>14713801.529999999</v>
      </c>
      <c r="AIZ35" s="218">
        <v>15100528.23</v>
      </c>
      <c r="AJA35" s="218">
        <v>7824941.2699999996</v>
      </c>
      <c r="AJB35" s="218">
        <v>38614295.990000002</v>
      </c>
      <c r="AJC35" s="218">
        <v>31088236.859999999</v>
      </c>
      <c r="AJD35" s="218">
        <v>2466338.92</v>
      </c>
      <c r="AJE35" s="218">
        <v>7585662.4699999997</v>
      </c>
      <c r="AJF35" s="218">
        <v>2755319.26</v>
      </c>
      <c r="AJG35" s="218">
        <v>2374642.2999999998</v>
      </c>
      <c r="AJH35" s="218">
        <v>5978002.4500000002</v>
      </c>
      <c r="AJI35" s="218">
        <v>5978002.4500000002</v>
      </c>
      <c r="AJJ35" s="218">
        <v>6542253.2400000002</v>
      </c>
      <c r="AJK35" s="218">
        <v>20178599.420000002</v>
      </c>
      <c r="AJL35" s="218">
        <v>19288006.649999999</v>
      </c>
      <c r="AJM35" s="218">
        <v>32937838.59</v>
      </c>
      <c r="AJN35" s="218">
        <v>22069292.210000001</v>
      </c>
      <c r="AJO35" s="218">
        <v>11454468.109999999</v>
      </c>
      <c r="AJP35" s="218">
        <v>7015573.25</v>
      </c>
      <c r="AJQ35" s="218">
        <v>2668313.41</v>
      </c>
      <c r="AJR35" s="218">
        <v>2617111.41</v>
      </c>
      <c r="AJS35" s="218">
        <v>10915220.050000001</v>
      </c>
      <c r="AJT35" s="218">
        <v>4850153.82</v>
      </c>
      <c r="AJU35" s="218">
        <v>558731.31000000006</v>
      </c>
      <c r="AJV35" s="218">
        <v>9429844.2200000007</v>
      </c>
      <c r="AJW35" s="218">
        <v>10253050.5</v>
      </c>
      <c r="AJX35" s="218">
        <v>37772499.619999997</v>
      </c>
      <c r="AJY35" s="218">
        <v>29511141.66</v>
      </c>
      <c r="AJZ35" s="218">
        <v>8713447.8499999996</v>
      </c>
      <c r="AKA35" s="218">
        <v>38091949.43</v>
      </c>
      <c r="AKB35" s="218">
        <v>12407714.119999999</v>
      </c>
      <c r="AKC35" s="218">
        <v>20036465.98</v>
      </c>
      <c r="AKD35" s="218">
        <v>7110428.6100000003</v>
      </c>
      <c r="AKE35" s="218">
        <v>7643396.4699999997</v>
      </c>
      <c r="AKF35" s="218">
        <v>15021127.300000001</v>
      </c>
      <c r="AKG35" s="218">
        <v>15020227.300000001</v>
      </c>
      <c r="AKH35" s="218">
        <v>13217766.85</v>
      </c>
      <c r="AKI35" s="218">
        <v>12398739.02</v>
      </c>
      <c r="AKJ35" s="218">
        <v>5684525.6799999997</v>
      </c>
      <c r="AKK35" s="218">
        <v>10711816.48</v>
      </c>
      <c r="AKL35" s="218">
        <v>252149.06</v>
      </c>
      <c r="AKM35" s="218">
        <v>1927329.81</v>
      </c>
      <c r="AKN35" s="218">
        <v>2265829.38</v>
      </c>
      <c r="AKO35" s="218">
        <v>748287.11</v>
      </c>
      <c r="AKP35" s="218">
        <v>7188673.3799999999</v>
      </c>
      <c r="AKQ35" s="218">
        <v>4301716.63</v>
      </c>
      <c r="AKR35" s="218">
        <v>784002.6</v>
      </c>
      <c r="AKS35" s="218">
        <v>662880.56000000006</v>
      </c>
      <c r="AKT35" s="218">
        <v>3451113.56</v>
      </c>
      <c r="AKU35" s="218">
        <v>3435113.56</v>
      </c>
      <c r="AKV35" s="218">
        <v>3274253.24</v>
      </c>
      <c r="AKW35" s="218">
        <v>25529306.850000001</v>
      </c>
      <c r="AKX35" s="218">
        <v>16319891.09</v>
      </c>
      <c r="AKY35" s="218">
        <v>23900032.969999999</v>
      </c>
      <c r="AKZ35" s="218">
        <v>22436355.98</v>
      </c>
      <c r="ALA35" s="218">
        <v>77022125.609999999</v>
      </c>
      <c r="ALB35" s="218">
        <v>69667197.140000001</v>
      </c>
      <c r="ALC35" s="218">
        <v>25533237.449999999</v>
      </c>
      <c r="ALD35" s="218">
        <v>23512904.449999999</v>
      </c>
      <c r="ALE35" s="218">
        <v>14383198.85</v>
      </c>
      <c r="ALF35" s="218">
        <v>12225224.199999999</v>
      </c>
      <c r="ALG35" s="218">
        <v>12045873.02</v>
      </c>
      <c r="ALH35" s="218">
        <v>7459418.8700000001</v>
      </c>
      <c r="ALI35" s="218">
        <v>17322817.870000001</v>
      </c>
      <c r="ALJ35" s="218">
        <v>1750648.15</v>
      </c>
      <c r="ALK35" s="218">
        <v>45794593.509999998</v>
      </c>
      <c r="ALL35" s="218">
        <v>1139583.01</v>
      </c>
      <c r="ALM35" s="218">
        <v>19873355.82</v>
      </c>
      <c r="ALN35" s="218">
        <v>19766760.210000001</v>
      </c>
      <c r="ALO35" s="218">
        <v>14584954.939999999</v>
      </c>
      <c r="ALP35" s="218">
        <v>15613797.33</v>
      </c>
      <c r="ALQ35" s="218">
        <v>14572434</v>
      </c>
      <c r="ALR35" s="218">
        <v>48585793.409999996</v>
      </c>
      <c r="ALS35" s="218">
        <v>48161778.049999997</v>
      </c>
      <c r="ALT35" s="218">
        <v>54051063.93</v>
      </c>
      <c r="ALU35" s="218">
        <v>77654776.930000007</v>
      </c>
      <c r="ALV35" s="218">
        <v>77654776.930000007</v>
      </c>
      <c r="ALW35" s="218">
        <v>64424942.659999996</v>
      </c>
      <c r="ALX35" s="218">
        <v>61565965.530000001</v>
      </c>
      <c r="ALY35" s="218">
        <v>53943432.829999998</v>
      </c>
      <c r="ALZ35" s="218">
        <v>56980316.350000001</v>
      </c>
      <c r="AMA35" s="218">
        <v>55645600.979999997</v>
      </c>
      <c r="AMB35" s="218">
        <f>98977580.98-43981094.43+4100000</f>
        <v>59096486.550000004</v>
      </c>
      <c r="AMC35" s="218">
        <v>58836618.640000001</v>
      </c>
      <c r="AMD35" s="218">
        <v>60628763.539999999</v>
      </c>
      <c r="AME35" s="218">
        <v>8696914.5500000007</v>
      </c>
      <c r="AMF35" s="218">
        <v>8213370.54</v>
      </c>
      <c r="AMG35" s="218">
        <v>101146652.92</v>
      </c>
      <c r="AMH35" s="218">
        <v>36090245.859999999</v>
      </c>
      <c r="AMI35" s="218">
        <v>6175457.6900000004</v>
      </c>
      <c r="AMJ35" s="218">
        <v>4987675.6100000003</v>
      </c>
      <c r="AMK35" s="218">
        <v>8179413.6500000004</v>
      </c>
      <c r="AML35" s="218">
        <v>9748276.3499999996</v>
      </c>
      <c r="AMM35" s="218">
        <v>16352771.449999999</v>
      </c>
      <c r="AMN35" s="218">
        <v>25790592.73</v>
      </c>
      <c r="AMO35" s="218">
        <v>41254138.020000003</v>
      </c>
      <c r="AMP35" s="218">
        <v>41118778.020000003</v>
      </c>
      <c r="AMQ35" s="218">
        <v>38226599.909999996</v>
      </c>
      <c r="AMR35" s="218">
        <v>30548543.210000001</v>
      </c>
      <c r="AMS35" s="218">
        <v>18625727.649999999</v>
      </c>
      <c r="AMT35" s="218">
        <v>18422796.039999999</v>
      </c>
      <c r="AMU35" s="218">
        <v>17147772.530000001</v>
      </c>
      <c r="AMV35" s="218">
        <v>16625137.18</v>
      </c>
      <c r="AMW35" s="218">
        <v>15765657.810000001</v>
      </c>
      <c r="AMX35" s="218">
        <v>16080168.960000001</v>
      </c>
      <c r="AMY35" s="218">
        <v>51539221.509999998</v>
      </c>
      <c r="AMZ35" s="218">
        <v>47665974.310000002</v>
      </c>
      <c r="ANA35" s="218">
        <v>39296237.850000001</v>
      </c>
      <c r="ANB35" s="218">
        <v>13978457.76</v>
      </c>
      <c r="ANC35" s="218">
        <v>14618924.460000001</v>
      </c>
      <c r="AND35" s="218">
        <v>12850075.6</v>
      </c>
      <c r="ANE35" s="218">
        <v>12542778.029999999</v>
      </c>
      <c r="ANF35" s="218">
        <v>18249898.030000001</v>
      </c>
      <c r="ANG35" s="218">
        <v>17194233.739999998</v>
      </c>
      <c r="ANH35" s="218">
        <v>16114358.4</v>
      </c>
      <c r="ANI35" s="218">
        <v>15091317.470000001</v>
      </c>
      <c r="ANJ35" s="218">
        <v>24732991.77</v>
      </c>
      <c r="ANK35" s="218">
        <v>13806803.01</v>
      </c>
      <c r="ANL35" s="218">
        <v>13627355.800000001</v>
      </c>
      <c r="ANM35" s="218">
        <v>11116865.91</v>
      </c>
      <c r="ANN35" s="218">
        <v>11106271.93</v>
      </c>
      <c r="ANO35" s="218">
        <v>11077239.539999999</v>
      </c>
      <c r="ANP35" s="218">
        <v>39806927.539999999</v>
      </c>
      <c r="ANQ35" s="218">
        <v>40838303.780000001</v>
      </c>
      <c r="ANR35" s="218">
        <v>7041045.29</v>
      </c>
      <c r="ANS35" s="218">
        <v>4961905.7</v>
      </c>
      <c r="ANT35" s="218">
        <v>41597381.82</v>
      </c>
      <c r="ANU35" s="218">
        <v>6573249.6900000004</v>
      </c>
      <c r="ANV35" s="218">
        <v>3536673.98</v>
      </c>
      <c r="ANW35" s="218">
        <v>4212891.9000000004</v>
      </c>
      <c r="ANX35" s="218">
        <v>5949745.1399999997</v>
      </c>
      <c r="ANY35" s="218">
        <v>4023169.53</v>
      </c>
      <c r="ANZ35" s="218">
        <v>11829345.23</v>
      </c>
      <c r="AOA35" s="218">
        <v>11469502.68</v>
      </c>
      <c r="AOB35" s="218">
        <v>14198154.960000001</v>
      </c>
      <c r="AOC35" s="218">
        <v>28591542.850000001</v>
      </c>
      <c r="AOD35" s="218">
        <v>28028400.809999999</v>
      </c>
      <c r="AOE35" s="218">
        <v>11946576.91</v>
      </c>
      <c r="AOF35" s="218">
        <v>60774446.990000002</v>
      </c>
      <c r="AOG35" s="218">
        <v>10499352.310000001</v>
      </c>
      <c r="AOH35" s="218">
        <v>8094710.5800000001</v>
      </c>
      <c r="AOI35" s="218">
        <v>3605443.49</v>
      </c>
      <c r="AOJ35" s="218">
        <v>1797346.14</v>
      </c>
      <c r="AOK35" s="218">
        <v>8281135.5800000001</v>
      </c>
      <c r="AOL35" s="218">
        <v>1045139.27</v>
      </c>
      <c r="AOM35" s="218">
        <v>6228374.7199999997</v>
      </c>
      <c r="AON35" s="218">
        <v>4045140.54</v>
      </c>
      <c r="AOO35" s="218">
        <v>40990964.109999999</v>
      </c>
      <c r="AOP35" s="218">
        <v>41742170.789999999</v>
      </c>
      <c r="AOQ35" s="436">
        <v>76953378.540000007</v>
      </c>
      <c r="AOR35" s="218">
        <v>75753516.700000003</v>
      </c>
      <c r="AOS35" s="218">
        <v>15595531.220000001</v>
      </c>
      <c r="AOT35" s="218">
        <v>72049053.219999999</v>
      </c>
      <c r="AOU35" s="218">
        <v>68791813.930000007</v>
      </c>
      <c r="AOV35" s="218">
        <v>69381253.930000007</v>
      </c>
      <c r="AOW35" s="218">
        <v>12285974.41</v>
      </c>
      <c r="AOX35" s="218">
        <v>22967922.879999999</v>
      </c>
      <c r="AOY35" s="218">
        <v>24652219</v>
      </c>
      <c r="AOZ35" s="218">
        <v>14434551.24</v>
      </c>
      <c r="APA35" s="218">
        <v>127938029.59999999</v>
      </c>
      <c r="APB35" s="218">
        <v>8308767.6100000003</v>
      </c>
      <c r="APC35" s="218">
        <v>7030029.5700000003</v>
      </c>
      <c r="APD35" s="218">
        <v>4738276.2300000004</v>
      </c>
      <c r="APE35" s="218">
        <v>8147501.6600000001</v>
      </c>
      <c r="APF35" s="218">
        <v>8144069.5899999999</v>
      </c>
      <c r="APG35" s="218">
        <v>4966812.63</v>
      </c>
      <c r="APH35" s="218">
        <v>3559862.77</v>
      </c>
      <c r="API35" s="218">
        <v>37212084.640000001</v>
      </c>
      <c r="APJ35" s="218">
        <v>5236933.1399999997</v>
      </c>
      <c r="APK35" s="218">
        <v>5326276.3499999996</v>
      </c>
      <c r="APL35" s="218">
        <v>62668369.149999999</v>
      </c>
      <c r="APM35" s="218">
        <v>58142412.520000003</v>
      </c>
      <c r="APN35" s="218">
        <v>60347837.670000002</v>
      </c>
      <c r="APO35" s="218">
        <v>67841240.590000004</v>
      </c>
      <c r="APP35" s="218">
        <v>66838732.189999998</v>
      </c>
      <c r="APQ35" s="218">
        <v>10492419.51</v>
      </c>
      <c r="APR35" s="218">
        <v>77687218.900000006</v>
      </c>
      <c r="APS35" s="436">
        <v>15744968</v>
      </c>
      <c r="APT35" s="218">
        <v>7885423.1900000004</v>
      </c>
      <c r="APU35" s="218">
        <v>11429379.119999999</v>
      </c>
      <c r="APV35" s="218">
        <v>10721255.23</v>
      </c>
      <c r="APW35" s="218">
        <v>39469193.740000002</v>
      </c>
      <c r="APX35" s="218">
        <v>10475059.939999999</v>
      </c>
      <c r="APY35" s="218">
        <v>7966708.2599999998</v>
      </c>
      <c r="APZ35" s="218">
        <v>8237626.4199999999</v>
      </c>
      <c r="AQA35" s="218">
        <v>4904729.8899999997</v>
      </c>
      <c r="AQB35" s="218">
        <v>4199748.09</v>
      </c>
      <c r="AQC35" s="218">
        <v>10410170.189999999</v>
      </c>
      <c r="AQD35" s="218">
        <v>9149238.5700000003</v>
      </c>
      <c r="AQE35" s="218">
        <v>9299479.5099999998</v>
      </c>
      <c r="AQF35" s="218">
        <v>9081718.8399999999</v>
      </c>
      <c r="AQG35" s="218">
        <v>3310376</v>
      </c>
      <c r="AQH35" s="218">
        <v>3400393</v>
      </c>
      <c r="AQI35" s="218">
        <v>40221887.770000003</v>
      </c>
      <c r="AQJ35" s="218">
        <v>39714105.719999999</v>
      </c>
      <c r="AQK35" s="218">
        <v>39145761.170000002</v>
      </c>
      <c r="AQL35" s="218">
        <v>39121346.550000004</v>
      </c>
      <c r="AQM35" s="218">
        <v>37874236.530000001</v>
      </c>
      <c r="AQN35" s="218">
        <v>21419451.969999999</v>
      </c>
      <c r="AQO35" s="218">
        <v>19328595.899999999</v>
      </c>
      <c r="AQP35" s="218">
        <v>19288131.489999998</v>
      </c>
      <c r="AQQ35" s="218">
        <v>54051991.659999996</v>
      </c>
      <c r="AQR35" s="218">
        <v>44811848.329999998</v>
      </c>
      <c r="AQS35" s="218">
        <v>40704550.270000003</v>
      </c>
      <c r="AQT35" s="218">
        <v>13541679.300000001</v>
      </c>
      <c r="AQU35" s="218">
        <v>11541779.300000001</v>
      </c>
      <c r="AQV35" s="218">
        <v>37969820.600000001</v>
      </c>
      <c r="AQW35" s="218">
        <v>8266933.7999999998</v>
      </c>
      <c r="AQX35" s="218">
        <v>7788105.9500000002</v>
      </c>
      <c r="AQY35" s="218">
        <v>8687097.9800000004</v>
      </c>
      <c r="AQZ35" s="218">
        <v>41440258.509999998</v>
      </c>
      <c r="ARA35" s="218">
        <v>41987684.119999997</v>
      </c>
      <c r="ARB35" s="218">
        <v>13575796.08</v>
      </c>
      <c r="ARC35" s="218">
        <v>12868672.130000001</v>
      </c>
      <c r="ARD35" s="218">
        <v>12402421.34</v>
      </c>
      <c r="ARE35" s="218">
        <v>10407075.689999999</v>
      </c>
      <c r="ARF35" s="218">
        <v>10235910.300000001</v>
      </c>
      <c r="ARG35" s="218">
        <v>8482766.8599999994</v>
      </c>
      <c r="ARH35" s="218">
        <v>8436758.0299999993</v>
      </c>
      <c r="ARI35" s="218">
        <v>75498688.959999993</v>
      </c>
      <c r="ARJ35" s="218">
        <v>22479917.920000002</v>
      </c>
      <c r="ARK35" s="218">
        <v>63034437.060000002</v>
      </c>
      <c r="ARL35" s="218">
        <f>76387962.48+300000</f>
        <v>76687962.480000004</v>
      </c>
      <c r="ARM35" s="218">
        <v>75861767.629999995</v>
      </c>
      <c r="ARN35" s="218">
        <v>15616043.470000001</v>
      </c>
      <c r="ARO35" s="218">
        <v>17833043.16</v>
      </c>
      <c r="ARP35" s="218">
        <v>20013535.809999999</v>
      </c>
      <c r="ARQ35" s="218">
        <v>28087338.309999999</v>
      </c>
      <c r="ARR35" s="218">
        <v>26283631.66</v>
      </c>
      <c r="ARS35" s="218">
        <v>28262217.309999999</v>
      </c>
      <c r="ART35" s="218">
        <v>30868262</v>
      </c>
      <c r="ARU35" s="218">
        <v>69168142.959999993</v>
      </c>
      <c r="ARV35" s="218">
        <v>37234525.57</v>
      </c>
      <c r="ARW35" s="218">
        <v>3695027.54</v>
      </c>
      <c r="ARX35" s="218">
        <v>2928117.74</v>
      </c>
      <c r="ARY35" s="218">
        <v>2911994.05</v>
      </c>
      <c r="ARZ35" s="218">
        <v>3413515.83</v>
      </c>
      <c r="ASA35" s="218">
        <v>2603353.0099999998</v>
      </c>
      <c r="ASB35" s="218">
        <v>2469343.0099999998</v>
      </c>
      <c r="ASC35" s="218">
        <v>14450363.4</v>
      </c>
      <c r="ASD35" s="218">
        <v>24998259.199999999</v>
      </c>
      <c r="ASE35" s="218">
        <v>69095174</v>
      </c>
      <c r="ASF35" s="218">
        <v>84648947.819999993</v>
      </c>
      <c r="ASG35" s="218">
        <v>31093572.68</v>
      </c>
      <c r="ASH35" s="218">
        <v>34797180.649999999</v>
      </c>
      <c r="ASI35" s="218">
        <v>32240000.329999998</v>
      </c>
      <c r="ASJ35" s="218">
        <v>18143254.899999999</v>
      </c>
      <c r="ASK35" s="218">
        <v>1833368.16</v>
      </c>
      <c r="ASL35" s="218">
        <v>16823949.699999999</v>
      </c>
      <c r="ASM35" s="218">
        <v>17996221.739999998</v>
      </c>
      <c r="ASN35" s="218">
        <v>27231578</v>
      </c>
      <c r="ASO35" s="218">
        <v>323318.15999999997</v>
      </c>
      <c r="ASP35" s="218">
        <v>6392206.79</v>
      </c>
      <c r="ASQ35" s="218">
        <v>14885655.189999999</v>
      </c>
      <c r="ASR35" s="218">
        <v>6420256.4400000004</v>
      </c>
      <c r="ASS35" s="218">
        <v>20639863.07</v>
      </c>
      <c r="AST35" s="218">
        <v>21405028.149999999</v>
      </c>
      <c r="ASU35" s="218">
        <v>22969276.949999999</v>
      </c>
      <c r="ASV35" s="218">
        <v>25018283.079999998</v>
      </c>
      <c r="ASW35" s="218">
        <f>23729000.63-10005</f>
        <v>23718995.629999999</v>
      </c>
      <c r="ASX35" s="218">
        <v>23660850.629999999</v>
      </c>
      <c r="ASY35" s="218">
        <v>23444835.629999999</v>
      </c>
      <c r="ASZ35" s="218">
        <v>59370190.18</v>
      </c>
      <c r="ATA35" s="218">
        <v>3395164.96</v>
      </c>
      <c r="ATB35" s="218">
        <v>18067145.710000001</v>
      </c>
      <c r="ATC35" s="218">
        <v>19651761.93</v>
      </c>
      <c r="ATD35" s="218">
        <v>22672004.75</v>
      </c>
      <c r="ATE35" s="218">
        <v>11762543.859999999</v>
      </c>
      <c r="ATF35" s="218">
        <v>7341367.2999999998</v>
      </c>
      <c r="ATG35" s="218">
        <v>10850031.439999999</v>
      </c>
      <c r="ATH35" s="218">
        <v>137493212.06999999</v>
      </c>
      <c r="ATI35" s="218">
        <v>15655872.220000001</v>
      </c>
      <c r="ATJ35" s="218">
        <v>17635379.98</v>
      </c>
      <c r="ATK35" s="218">
        <v>18293523.449999999</v>
      </c>
      <c r="ATL35" s="218">
        <v>10445391.48</v>
      </c>
      <c r="ATM35" s="218">
        <v>39880156.740000002</v>
      </c>
      <c r="ATN35" s="218">
        <v>49221310.68</v>
      </c>
      <c r="ATO35" s="218">
        <v>5233108.8899999997</v>
      </c>
      <c r="ATP35" s="218">
        <v>6849844.5499999998</v>
      </c>
      <c r="ATQ35" s="218">
        <v>9993815.7599999998</v>
      </c>
      <c r="ATR35" s="218">
        <v>9686250.75</v>
      </c>
      <c r="ATS35" s="218">
        <v>6987440.2999999998</v>
      </c>
      <c r="ATT35" s="218">
        <v>16429560.699999999</v>
      </c>
      <c r="ATU35" s="218">
        <v>58442660.359999999</v>
      </c>
      <c r="ATV35" s="218">
        <v>98821693.659999996</v>
      </c>
      <c r="ATW35" s="218">
        <v>104286255.93000001</v>
      </c>
      <c r="ATX35" s="218">
        <v>40897246.990000002</v>
      </c>
      <c r="ATY35" s="218">
        <v>36258313.18</v>
      </c>
      <c r="ATZ35" s="218">
        <v>2698984.21</v>
      </c>
      <c r="AUA35" s="218">
        <v>5210296.8899999997</v>
      </c>
      <c r="AUB35" s="218">
        <v>8168024.0199999996</v>
      </c>
      <c r="AUC35" s="218">
        <v>10860962.369999999</v>
      </c>
      <c r="AUD35" s="218">
        <v>13275124.369999999</v>
      </c>
      <c r="AUE35" s="218">
        <v>11838987.439999999</v>
      </c>
      <c r="AUF35" s="218">
        <v>14382450.310000001</v>
      </c>
      <c r="AUG35" s="218">
        <v>61719959.109999999</v>
      </c>
      <c r="AUH35" s="218">
        <v>56385693.619999997</v>
      </c>
      <c r="AUI35" s="218">
        <f>34265785.01-15944047.83+321000000</f>
        <v>339321737.18000001</v>
      </c>
      <c r="AUJ35" s="218">
        <v>332558339.18000001</v>
      </c>
      <c r="AUK35" s="218">
        <v>6014377.5700000003</v>
      </c>
      <c r="AUL35" s="218">
        <v>546604627.38999999</v>
      </c>
      <c r="AUM35" s="218">
        <v>539651567.51999998</v>
      </c>
      <c r="AUN35" s="218">
        <v>548205831.99000001</v>
      </c>
      <c r="AUO35" s="218">
        <v>492413729.52999997</v>
      </c>
      <c r="AUP35" s="218">
        <v>492724945.38</v>
      </c>
      <c r="AUQ35" s="218">
        <v>421866216.52999997</v>
      </c>
      <c r="AUR35" s="218">
        <v>425593342.69</v>
      </c>
      <c r="AUS35" s="218">
        <v>420879233.37</v>
      </c>
      <c r="AUT35" s="218">
        <v>399538720.35000002</v>
      </c>
      <c r="AUU35" s="218">
        <v>349685868.55000001</v>
      </c>
      <c r="AUV35" s="218">
        <v>222647239.56999999</v>
      </c>
      <c r="AUW35" s="218">
        <v>57234999.670000002</v>
      </c>
      <c r="AUX35" s="218">
        <v>53148243.859999999</v>
      </c>
      <c r="AUY35" s="218">
        <v>54451374.759999998</v>
      </c>
      <c r="AUZ35" s="218">
        <v>468314.46</v>
      </c>
      <c r="AVA35" s="218">
        <f>52595033.46-34138366.71</f>
        <v>18456666.75</v>
      </c>
      <c r="AVB35" s="218">
        <f>4996175.42-244614.62</f>
        <v>4751560.8</v>
      </c>
      <c r="AVC35" s="218">
        <f>11576108.99-4764439.95</f>
        <v>6811669.04</v>
      </c>
      <c r="AVD35" s="218">
        <v>16653928.470000001</v>
      </c>
      <c r="AVE35" s="218">
        <f>21300106.47-566962.33</f>
        <v>20733144.140000001</v>
      </c>
      <c r="AVF35" s="218">
        <f>20730913.14-2959198.01</f>
        <v>17771715.130000003</v>
      </c>
      <c r="AVG35" s="218">
        <v>126113933.81</v>
      </c>
      <c r="AVH35" s="218">
        <f>74835778.49-10423438.65-38974862</f>
        <v>25437477.839999996</v>
      </c>
      <c r="AVI35" s="218">
        <f>40983999.98-7356843.36</f>
        <v>33627156.619999997</v>
      </c>
      <c r="AVJ35" s="218">
        <f>41957273.17-4755599.5</f>
        <v>37201673.670000002</v>
      </c>
      <c r="AVK35" s="218">
        <v>623000</v>
      </c>
      <c r="AVL35" s="218">
        <v>3220144.81</v>
      </c>
      <c r="AVM35" s="218">
        <v>176289657.40000001</v>
      </c>
      <c r="AVN35" s="218">
        <f>354233457.54-350000000-1759428.11</f>
        <v>2474029.4300000211</v>
      </c>
      <c r="AVO35" s="218">
        <f>16350871.84-5223288-2252264.85</f>
        <v>8875318.9900000002</v>
      </c>
      <c r="AVP35" s="218">
        <f>11581066.99-6043606.04</f>
        <v>5537460.9500000002</v>
      </c>
      <c r="AVQ35" s="218">
        <f>10358212.52-839300.8</f>
        <v>9518911.7199999988</v>
      </c>
      <c r="AVR35" s="218">
        <f>11177145.76-867232.29</f>
        <v>10309913.469999999</v>
      </c>
      <c r="AVS35" s="218">
        <f>14072691.65-7342598.02</f>
        <v>6730093.6300000008</v>
      </c>
      <c r="AVT35" s="218">
        <f>9942277.63-3690406.03</f>
        <v>6251871.6000000015</v>
      </c>
      <c r="AVU35" s="218">
        <v>5969333.4299999997</v>
      </c>
      <c r="AVV35" s="218">
        <f>25940490.14-9776865.72</f>
        <v>16163624.42</v>
      </c>
      <c r="AVW35" s="218">
        <f>28096467.11-11971508.74-32279-176000</f>
        <v>15916679.369999999</v>
      </c>
      <c r="AVX35" s="218">
        <f>19133658.48-1742481.68</f>
        <v>17391176.800000001</v>
      </c>
      <c r="AVY35" s="218">
        <f>20545066.09-417575</f>
        <v>20127491.09</v>
      </c>
      <c r="AVZ35" s="218">
        <f>26003159.65-1672577.56</f>
        <v>24330582.09</v>
      </c>
      <c r="AWA35" s="218">
        <v>24205680.690000001</v>
      </c>
      <c r="AWB35" s="218">
        <f>24540851.01-167458.44</f>
        <v>24373392.57</v>
      </c>
      <c r="AWC35" s="218">
        <f>24279467.55-10641521.66</f>
        <v>13637945.890000001</v>
      </c>
      <c r="AWD35" s="218">
        <f>81579880.71-1343688.49-1743241-1190253</f>
        <v>77302698.219999999</v>
      </c>
      <c r="AWE35" s="218">
        <v>20918598.75</v>
      </c>
      <c r="AWF35" s="218">
        <f>20918434.12+3219480</f>
        <v>24137914.120000001</v>
      </c>
      <c r="AWG35" s="218">
        <f>21100159.7-735765.43</f>
        <v>20364394.27</v>
      </c>
      <c r="AWH35" s="218">
        <f>20392545.78-1584241.08</f>
        <v>18808304.700000003</v>
      </c>
      <c r="AWI35" s="218">
        <f>23064358.1-1686173.35</f>
        <v>21378184.75</v>
      </c>
      <c r="AWJ35" s="218">
        <f>23064358.1-1686173.35</f>
        <v>21378184.75</v>
      </c>
      <c r="AWK35" s="218">
        <f>21012444.75-5153121.73</f>
        <v>15859323.02</v>
      </c>
      <c r="AWL35" s="218">
        <f>16084971.62-5000000</f>
        <v>11084971.619999999</v>
      </c>
      <c r="AWM35" s="218">
        <f>11063852.51+30000000-6537486.64</f>
        <v>34526365.869999997</v>
      </c>
      <c r="AWN35" s="218">
        <f>34520765.86-30000000-3883373.71</f>
        <v>637392.14999999944</v>
      </c>
      <c r="AWO35" s="218">
        <f>584276.88-86995.5+40000000-4936590.4-31000000</f>
        <v>4560690.9800000042</v>
      </c>
      <c r="AWP35" s="218">
        <f>4807222-3854958.95</f>
        <v>952263.04999999981</v>
      </c>
      <c r="AWQ35" s="218">
        <f>4807222-3854958.95</f>
        <v>952263.04999999981</v>
      </c>
      <c r="AWR35" s="218">
        <v>1026160.17</v>
      </c>
      <c r="AWS35" s="218">
        <v>966806.01</v>
      </c>
      <c r="AWT35" s="218">
        <f>966806.01-123011.46</f>
        <v>843794.55</v>
      </c>
      <c r="AWU35" s="218">
        <f>633333.15-21500-24500-24500-1495</f>
        <v>561338.15</v>
      </c>
      <c r="AWV35" s="218">
        <v>452628.37</v>
      </c>
      <c r="AWW35" s="218">
        <f>869201.35-2000</f>
        <v>867201.35</v>
      </c>
      <c r="AWX35" s="218">
        <v>699392.59</v>
      </c>
      <c r="AWY35" s="218">
        <f>16411573.67-6426887.75</f>
        <v>9984685.9199999999</v>
      </c>
      <c r="AWZ35" s="218">
        <v>3221729.48</v>
      </c>
      <c r="AXA35" s="218">
        <f>39142571.48</f>
        <v>39142571.479999997</v>
      </c>
      <c r="AXB35" s="218">
        <f>39142571.48-604870.9</f>
        <v>38537700.579999998</v>
      </c>
      <c r="AXC35" s="218">
        <f>47463087.16-935-935-5460-1396080-79280.97</f>
        <v>45980396.189999998</v>
      </c>
      <c r="AXD35" s="218">
        <f>46044403.59-943514.32</f>
        <v>45100889.270000003</v>
      </c>
      <c r="AXE35" s="218">
        <f>45149453.1-26723597.95</f>
        <v>18425855.150000002</v>
      </c>
      <c r="AXF35" s="218">
        <f>18322385.72-1600-2000</f>
        <v>18318785.719999999</v>
      </c>
      <c r="AXG35" s="218">
        <f>18318785.72-7994281.66</f>
        <v>10324504.059999999</v>
      </c>
      <c r="AXH35" s="218">
        <v>9436692.6400000006</v>
      </c>
      <c r="AXI35" s="218">
        <f>9436692.64-5831470.36</f>
        <v>3605222.2800000003</v>
      </c>
      <c r="AXJ35" s="218">
        <f>3857790.16+32000000-15688932.43-15395231</f>
        <v>4773626.7299999967</v>
      </c>
      <c r="AXK35" s="218">
        <v>3427661.13</v>
      </c>
      <c r="AXL35" s="218">
        <f>3427661.13-614410.25</f>
        <v>2813250.88</v>
      </c>
      <c r="AXM35" s="218">
        <f>2450633.97-227445.4-2000-113328-12370</f>
        <v>2095490.5700000003</v>
      </c>
      <c r="AXN35" s="218">
        <v>1736120.69</v>
      </c>
      <c r="AXO35" s="218">
        <v>1048589.5</v>
      </c>
      <c r="AXP35" s="218">
        <v>1608220.72</v>
      </c>
      <c r="AXQ35" s="218">
        <v>21733934.199999999</v>
      </c>
      <c r="AXR35" s="218">
        <v>21733934.199999999</v>
      </c>
      <c r="AXS35" s="218">
        <f>26814388.44-5424123.55</f>
        <v>21390264.890000001</v>
      </c>
      <c r="AXT35" s="218">
        <v>81821149.890000001</v>
      </c>
      <c r="AXU35" s="218">
        <v>92014669.939999998</v>
      </c>
      <c r="AXV35" s="218">
        <v>79589358.439999998</v>
      </c>
      <c r="AXW35" s="218">
        <v>43467077.450000003</v>
      </c>
      <c r="AXX35" s="218">
        <v>42665778.229999997</v>
      </c>
      <c r="AXY35" s="218">
        <v>37472881.100000001</v>
      </c>
      <c r="AXZ35" s="218">
        <v>42397872.909999996</v>
      </c>
      <c r="AYA35" s="218">
        <v>31674356.82</v>
      </c>
      <c r="AYB35" s="218">
        <v>34854537.469999999</v>
      </c>
      <c r="AYC35" s="218">
        <v>101058198</v>
      </c>
      <c r="AYD35" s="218">
        <f>111580750.62-48399713.09</f>
        <v>63181037.530000001</v>
      </c>
      <c r="AYE35" s="218">
        <f>69504756.36-26582041.75</f>
        <v>42922714.609999999</v>
      </c>
      <c r="AYF35" s="218">
        <f>33739958.49-12612462.69</f>
        <v>21127495.800000004</v>
      </c>
      <c r="AYG35" s="218">
        <v>32017446.220000003</v>
      </c>
      <c r="AYH35" s="218">
        <v>30836931.68</v>
      </c>
      <c r="AYI35" s="218">
        <v>29857170.859999999</v>
      </c>
      <c r="AYJ35" s="218">
        <v>106449344.5</v>
      </c>
      <c r="AYK35" s="218">
        <f>106448419.94-748095.1</f>
        <v>105700324.84</v>
      </c>
      <c r="AYL35" s="218">
        <f>63926857.36-16056837.04</f>
        <v>47870020.32</v>
      </c>
      <c r="AYM35" s="218">
        <v>47278392.219999999</v>
      </c>
      <c r="AYN35" s="218">
        <f>47923806.21-9379612.93</f>
        <v>38544193.280000001</v>
      </c>
      <c r="AYO35" s="218">
        <f>44871386.66-294000</f>
        <v>44577386.659999996</v>
      </c>
      <c r="AYP35" s="218">
        <f>44904328.19-17355460.01-20000000</f>
        <v>7548868.179999996</v>
      </c>
      <c r="AYQ35" s="218">
        <v>7607603.25</v>
      </c>
      <c r="AYR35" s="218">
        <f>19482178.35-15000000-385958.58</f>
        <v>4096219.7700000014</v>
      </c>
      <c r="AYS35" s="218">
        <v>6817630.54</v>
      </c>
      <c r="AYT35" s="218">
        <v>6817630.54</v>
      </c>
      <c r="AYU35" s="218">
        <v>7200187.1399999997</v>
      </c>
      <c r="AYV35" s="218">
        <f>14580587.83-4450000</f>
        <v>10130587.83</v>
      </c>
      <c r="AYW35" s="218">
        <v>93394963.829999998</v>
      </c>
      <c r="AYX35" s="218">
        <f>97320870.83-54746918.09</f>
        <v>42573952.739999995</v>
      </c>
      <c r="AYY35" s="218">
        <f>31097743.16-2512198.41</f>
        <v>28585544.75</v>
      </c>
      <c r="AYZ35" s="218">
        <f>100231021.57-6849896.75-55231681.84</f>
        <v>38149442.979999989</v>
      </c>
      <c r="AZA35" s="218">
        <f>100231021.57-6849896.75-55231681.84-1019307.7</f>
        <v>37130135.279999986</v>
      </c>
      <c r="AZB35" s="218">
        <f>44164975.07-553453.33</f>
        <v>43611521.740000002</v>
      </c>
      <c r="AZC35" s="218">
        <f>313386724.38-176511.93-1077069-7051-279-270000000</f>
        <v>42125813.449999988</v>
      </c>
      <c r="AZD35" s="218">
        <v>41977779.549999997</v>
      </c>
      <c r="AZE35" s="218">
        <f>41760061.16-629381.26</f>
        <v>41130679.899999999</v>
      </c>
      <c r="AZF35" s="218">
        <f>105334747.21-8394228.75</f>
        <v>96940518.459999993</v>
      </c>
      <c r="AZG35" s="218">
        <v>44419715.490000002</v>
      </c>
      <c r="AZH35" s="218">
        <f>315385914.2-270000000-18337671.91</f>
        <v>27048242.289999988</v>
      </c>
      <c r="AZI35" s="218">
        <f>27115738.04-588386.66</f>
        <v>26527351.379999999</v>
      </c>
      <c r="AZJ35" s="218">
        <f>44722550.54-8558170.82</f>
        <v>36164379.719999999</v>
      </c>
      <c r="AZK35" s="218">
        <v>16766403.59</v>
      </c>
      <c r="AZL35" s="218">
        <v>14538010.1</v>
      </c>
      <c r="AZM35" s="218">
        <v>14508831.01</v>
      </c>
      <c r="AZN35" s="218">
        <f>16485194.5-6928339.13</f>
        <v>9556855.370000001</v>
      </c>
      <c r="AZO35" s="218">
        <f>11227080.98-4031206.72</f>
        <v>7195874.2599999998</v>
      </c>
      <c r="AZP35" s="218">
        <f>55065989.26-6111486.93</f>
        <v>48954502.329999998</v>
      </c>
      <c r="AZQ35" s="218">
        <f>48500490.47-123125.99</f>
        <v>48377364.479999997</v>
      </c>
      <c r="AZR35" s="218">
        <f>53000698.78-16187664.64</f>
        <v>36813034.140000001</v>
      </c>
      <c r="AZS35" s="218">
        <f>94868840.14-35718897.67</f>
        <v>59149942.469999999</v>
      </c>
      <c r="AZT35" s="218">
        <f>60596274.9-1102569.59</f>
        <v>59493705.309999995</v>
      </c>
      <c r="AZU35" s="218">
        <f>19007919.77</f>
        <v>19007919.77</v>
      </c>
      <c r="AZV35" s="218">
        <f>21818362.05-104532.58</f>
        <v>21713829.470000003</v>
      </c>
      <c r="AZW35" s="218">
        <f>21826320.25-5090812.13</f>
        <v>16735508.120000001</v>
      </c>
      <c r="AZX35" s="218">
        <f>48732064.92-345947.55</f>
        <v>48386117.370000005</v>
      </c>
      <c r="AZY35" s="218">
        <f>53335065.32-33328506.21</f>
        <v>20006559.109999999</v>
      </c>
      <c r="AZZ35" s="218">
        <f>79073513.82-49800</f>
        <v>79023713.819999993</v>
      </c>
      <c r="BAA35" s="218">
        <f>69570830.66-379365.71</f>
        <v>69191464.950000003</v>
      </c>
      <c r="BAB35" s="218">
        <f>27529484.43-7418428.41</f>
        <v>20111056.02</v>
      </c>
      <c r="BAC35" s="218">
        <f>45910320.68-10439985.7</f>
        <v>35470334.980000004</v>
      </c>
      <c r="BAD35" s="218">
        <f>45910320.68-10439985.7-5802100.66</f>
        <v>29668234.320000004</v>
      </c>
      <c r="BAE35" s="218">
        <f>75122088.32-5277104.64</f>
        <v>69844983.679999992</v>
      </c>
      <c r="BAF35" s="218">
        <f>62317869.09-1048586.91</f>
        <v>61269282.180000007</v>
      </c>
      <c r="BAG35" s="218">
        <f>69387406.15-1376487.31-300000-66774-597800</f>
        <v>67046344.840000004</v>
      </c>
      <c r="BAH35" s="218">
        <f>66145125.07-3400000-1008683.42-6065753.42-1600-0.05</f>
        <v>55669088.18</v>
      </c>
      <c r="BAI35" s="218">
        <f>55668888.18-99324-61343.2-39150</f>
        <v>55469070.979999997</v>
      </c>
      <c r="BAJ35" s="218">
        <f>60273597.51-2488607.04</f>
        <v>57784990.469999999</v>
      </c>
      <c r="BAK35" s="218">
        <f>57311652.4-307604.81</f>
        <v>57004047.589999996</v>
      </c>
      <c r="BAL35" s="218">
        <f>56916596.76-2773854.2</f>
        <v>54142742.559999995</v>
      </c>
      <c r="BAM35" s="218">
        <f>58105578.66-576616.8</f>
        <v>57528961.859999999</v>
      </c>
      <c r="BAN35" s="218">
        <f>120564840.2</f>
        <v>120564840.2</v>
      </c>
      <c r="BAO35" s="218">
        <f>124490347.37</f>
        <v>124490347.37</v>
      </c>
      <c r="BAP35" s="218">
        <v>69877360.469999999</v>
      </c>
      <c r="BAQ35" s="218">
        <v>67765117.539999992</v>
      </c>
    </row>
    <row r="36" spans="1:1395" s="218" customFormat="1" ht="15" customHeight="1" x14ac:dyDescent="0.2">
      <c r="A36" s="483"/>
      <c r="B36" s="311" t="s">
        <v>170</v>
      </c>
      <c r="KB36" s="218" t="s">
        <v>167</v>
      </c>
      <c r="RE36" s="300"/>
      <c r="RF36" s="300"/>
      <c r="RG36" s="300"/>
      <c r="RH36" s="300"/>
      <c r="RI36" s="300"/>
      <c r="RJ36" s="300"/>
      <c r="RM36" s="218">
        <v>18642</v>
      </c>
      <c r="RN36" s="218">
        <v>18594</v>
      </c>
      <c r="RO36" s="218">
        <v>18576</v>
      </c>
      <c r="RP36" s="218">
        <v>1018552</v>
      </c>
      <c r="RQ36" s="218">
        <v>635501.26</v>
      </c>
      <c r="RR36" s="300">
        <v>635495.26</v>
      </c>
      <c r="RS36" s="300">
        <v>635477.26</v>
      </c>
      <c r="RT36" s="300">
        <v>633459.26</v>
      </c>
      <c r="RU36" s="218">
        <v>320194.76</v>
      </c>
      <c r="RV36" s="218">
        <v>320194.76</v>
      </c>
      <c r="RW36" s="218">
        <v>199131.98</v>
      </c>
      <c r="RX36" s="218">
        <v>199131.98</v>
      </c>
      <c r="RY36" s="218">
        <v>197403.18</v>
      </c>
      <c r="RZ36" s="218">
        <v>197403.18</v>
      </c>
      <c r="SA36" s="218">
        <v>197397.18</v>
      </c>
      <c r="SB36" s="218">
        <v>1297397.18</v>
      </c>
      <c r="SC36" s="218">
        <v>1373194.13</v>
      </c>
      <c r="SD36" s="218">
        <v>264937.28000000003</v>
      </c>
      <c r="SE36" s="218">
        <v>1960566.28</v>
      </c>
      <c r="SF36" s="218">
        <v>1276984.6000000001</v>
      </c>
      <c r="SG36" s="218">
        <v>1351821.92</v>
      </c>
      <c r="SH36" s="218">
        <v>35810.160000000003</v>
      </c>
      <c r="SI36" s="218">
        <v>35810.160000000003</v>
      </c>
      <c r="SJ36" s="218">
        <v>57316869.57</v>
      </c>
      <c r="SK36" s="218">
        <v>452828.72</v>
      </c>
      <c r="SL36" s="218">
        <v>108768.41</v>
      </c>
      <c r="SM36" s="218">
        <v>108768.41</v>
      </c>
      <c r="SN36" s="218">
        <v>2152773.37</v>
      </c>
      <c r="SO36" s="218">
        <v>1983257.81</v>
      </c>
      <c r="SP36" s="218">
        <v>910577.01</v>
      </c>
      <c r="SQ36" s="218">
        <v>923851.83</v>
      </c>
      <c r="SR36" s="218">
        <v>815848.02</v>
      </c>
      <c r="SS36" s="218">
        <v>1415848.02</v>
      </c>
      <c r="ST36" s="218">
        <v>306541.15000000002</v>
      </c>
      <c r="SU36" s="218">
        <v>306541.15000000002</v>
      </c>
      <c r="SV36" s="218">
        <v>306541.15000000002</v>
      </c>
      <c r="SW36" s="218">
        <v>306541.15000000002</v>
      </c>
      <c r="SX36" s="218">
        <v>1195047.81</v>
      </c>
      <c r="SY36" s="218">
        <v>1291673.3400000001</v>
      </c>
      <c r="SZ36" s="218">
        <v>1291673.3400000001</v>
      </c>
      <c r="TA36" s="218">
        <v>1258957.23</v>
      </c>
      <c r="TB36" s="218">
        <v>674386.17</v>
      </c>
      <c r="TC36" s="218">
        <v>462599.5</v>
      </c>
      <c r="TD36" s="218">
        <v>462593.5</v>
      </c>
      <c r="TE36" s="218">
        <v>462453.5</v>
      </c>
      <c r="TF36" s="218">
        <v>461903.5</v>
      </c>
      <c r="TG36" s="218">
        <v>672172.66</v>
      </c>
      <c r="TH36" s="218">
        <v>522243.46</v>
      </c>
      <c r="TI36" s="218">
        <v>522243.46</v>
      </c>
      <c r="TJ36" s="218">
        <v>502998.46</v>
      </c>
      <c r="TK36" s="218">
        <v>1465358.26</v>
      </c>
      <c r="TL36" s="218">
        <v>116924.6</v>
      </c>
      <c r="TM36" s="218">
        <v>3748443.6</v>
      </c>
      <c r="TN36" s="218">
        <v>3384188.6</v>
      </c>
      <c r="TO36" s="218">
        <v>3384188.6</v>
      </c>
      <c r="TP36" s="218">
        <v>201964859.28</v>
      </c>
      <c r="TQ36" s="218">
        <v>50962853.280000001</v>
      </c>
      <c r="TR36" s="218">
        <v>1583553.57</v>
      </c>
      <c r="TS36" s="218">
        <v>6204487.4100000001</v>
      </c>
      <c r="TT36" s="218">
        <v>1711379.51</v>
      </c>
      <c r="TU36" s="218">
        <v>539129.46</v>
      </c>
      <c r="TV36" s="218">
        <v>539129.46</v>
      </c>
      <c r="TW36" s="218">
        <f>760888.81+85455208-12657018.37</f>
        <v>73559078.439999998</v>
      </c>
      <c r="TX36" s="218">
        <f>23392482.44-23492316+200000</f>
        <v>100166.44000000134</v>
      </c>
      <c r="TY36" s="218">
        <v>11196911.439999999</v>
      </c>
      <c r="TZ36" s="218">
        <v>11160863.68</v>
      </c>
      <c r="UA36" s="218">
        <v>159163.68</v>
      </c>
      <c r="UB36" s="218">
        <v>760888.81</v>
      </c>
      <c r="UC36" s="218">
        <v>2584395.0499999998</v>
      </c>
      <c r="UD36" s="218">
        <v>2584395.0499999998</v>
      </c>
      <c r="UE36" s="218">
        <v>366394.08</v>
      </c>
      <c r="UF36" s="218">
        <v>3554392.4</v>
      </c>
      <c r="UG36" s="218">
        <v>3112054.32</v>
      </c>
      <c r="UH36" s="218">
        <v>3112054.32</v>
      </c>
      <c r="UI36" s="218">
        <v>203985.14</v>
      </c>
      <c r="UJ36" s="218">
        <v>203627.14</v>
      </c>
      <c r="UK36" s="218">
        <v>550805.22</v>
      </c>
      <c r="UL36" s="218">
        <v>550797.22</v>
      </c>
      <c r="UM36" s="218">
        <v>444350.67</v>
      </c>
      <c r="UN36" s="218">
        <v>444307.67</v>
      </c>
      <c r="UO36" s="218">
        <v>1086855.25</v>
      </c>
      <c r="UP36" s="218">
        <v>638969.13</v>
      </c>
      <c r="UQ36" s="218">
        <v>796882.13</v>
      </c>
      <c r="UR36" s="218">
        <v>347360.56</v>
      </c>
      <c r="US36" s="218">
        <v>211450.06</v>
      </c>
      <c r="UT36" s="218">
        <v>502301.79</v>
      </c>
      <c r="UU36" s="218">
        <v>578203.67000000004</v>
      </c>
      <c r="UV36" s="218">
        <v>1086187.28</v>
      </c>
      <c r="UW36" s="218">
        <v>146410.46</v>
      </c>
      <c r="UX36" s="218">
        <v>889471.54</v>
      </c>
      <c r="UY36" s="218">
        <v>8518772.4499999993</v>
      </c>
      <c r="UZ36" s="218">
        <v>948444.94</v>
      </c>
      <c r="VA36" s="218">
        <v>863891.56</v>
      </c>
      <c r="VB36" s="218">
        <v>863778.56</v>
      </c>
      <c r="VC36" s="218">
        <v>742913.58</v>
      </c>
      <c r="VD36" s="218">
        <v>85521.66</v>
      </c>
      <c r="VE36" s="218">
        <v>360491.55</v>
      </c>
      <c r="VF36" s="218">
        <v>499049.08</v>
      </c>
      <c r="VG36" s="218">
        <v>7774114.5300000003</v>
      </c>
      <c r="VH36" s="218">
        <v>3706134.24</v>
      </c>
      <c r="VI36" s="218">
        <v>96781.09</v>
      </c>
      <c r="VJ36" s="218">
        <v>16180219.310000001</v>
      </c>
      <c r="VK36" s="218">
        <v>11980114.310000001</v>
      </c>
      <c r="VL36" s="218">
        <v>4890584.46</v>
      </c>
      <c r="VM36" s="218">
        <v>491300.21</v>
      </c>
      <c r="VN36" s="218">
        <v>3846562.39</v>
      </c>
      <c r="VO36" s="218">
        <v>3846072.39</v>
      </c>
      <c r="VP36" s="218">
        <v>3846072.39</v>
      </c>
      <c r="VQ36" s="218">
        <v>4543192.05</v>
      </c>
      <c r="VR36" s="218">
        <v>247241.41</v>
      </c>
      <c r="VS36" s="218">
        <v>791401.95</v>
      </c>
      <c r="VT36" s="218">
        <v>386099.5</v>
      </c>
      <c r="VU36" s="218">
        <v>86925.88</v>
      </c>
      <c r="VV36" s="218">
        <v>14974981.619999999</v>
      </c>
      <c r="VW36" s="218">
        <v>27974666.620000001</v>
      </c>
      <c r="VX36" s="218">
        <v>844479.85</v>
      </c>
      <c r="VY36" s="218">
        <f>2628656.52+175000000</f>
        <v>177628656.52000001</v>
      </c>
      <c r="VZ36" s="218">
        <f>249703.17+40000000</f>
        <v>40249703.170000002</v>
      </c>
      <c r="WA36" s="218">
        <f>249703.17+40000000</f>
        <v>40249703.170000002</v>
      </c>
      <c r="WB36" s="218">
        <f>249703.17+40000000</f>
        <v>40249703.170000002</v>
      </c>
      <c r="WC36" s="218">
        <v>8088929.2199999997</v>
      </c>
      <c r="WD36" s="218">
        <v>8088929.2199999997</v>
      </c>
      <c r="WE36" s="218">
        <v>46359504.329999998</v>
      </c>
      <c r="WF36" s="218">
        <v>59859189.329999998</v>
      </c>
      <c r="WG36" s="218">
        <v>22166409.609999999</v>
      </c>
      <c r="WH36" s="218">
        <v>37567444.100000001</v>
      </c>
      <c r="WI36" s="218">
        <v>37566981.100000001</v>
      </c>
      <c r="WJ36" s="218">
        <v>23786450.23</v>
      </c>
      <c r="WK36" s="218">
        <v>56204230.509999998</v>
      </c>
      <c r="WL36" s="218">
        <v>42867416.899999999</v>
      </c>
      <c r="WM36" s="218">
        <v>14312708.9</v>
      </c>
      <c r="WN36" s="218">
        <v>10616603.33</v>
      </c>
      <c r="WO36" s="218">
        <v>3366019.96</v>
      </c>
      <c r="WP36" s="218">
        <v>3365914.96</v>
      </c>
      <c r="WQ36" s="218">
        <v>3365914.96</v>
      </c>
      <c r="WR36" s="218">
        <v>3365914.96</v>
      </c>
      <c r="WS36" s="218">
        <v>256407871.78999999</v>
      </c>
      <c r="WT36" s="218">
        <v>246781192.36000001</v>
      </c>
      <c r="WU36" s="218">
        <f>900080.66+193000000</f>
        <v>193900080.66</v>
      </c>
      <c r="WV36" s="218">
        <f>412026.5+191000000</f>
        <v>191412026.5</v>
      </c>
      <c r="WW36" s="218">
        <v>179774652.84</v>
      </c>
      <c r="WX36" s="218">
        <f>494012.5+178500000</f>
        <v>178994012.5</v>
      </c>
      <c r="WY36" s="218">
        <v>147552571.78999999</v>
      </c>
      <c r="WZ36" s="218">
        <f>159651.48+139000000</f>
        <v>139159651.47999999</v>
      </c>
      <c r="XA36" s="218">
        <f>158508.48+139000000</f>
        <v>139158508.47999999</v>
      </c>
      <c r="XB36" s="218">
        <v>97402919.950000003</v>
      </c>
      <c r="XC36" s="218">
        <v>92236208.519999996</v>
      </c>
      <c r="XD36" s="218">
        <v>60210523.479999997</v>
      </c>
      <c r="XE36" s="218">
        <v>51736733.710000001</v>
      </c>
      <c r="XF36" s="218">
        <f>794443.08+44000000</f>
        <v>44794443.079999998</v>
      </c>
      <c r="XG36" s="218">
        <v>2475528.08</v>
      </c>
      <c r="XH36" s="218">
        <v>511983.02</v>
      </c>
      <c r="XI36" s="218">
        <v>511983.02</v>
      </c>
      <c r="XJ36" s="218">
        <v>511983.02</v>
      </c>
      <c r="XK36" s="218">
        <v>511983.02</v>
      </c>
      <c r="XL36" s="218">
        <v>511983.02</v>
      </c>
      <c r="XM36" s="218">
        <v>511983.02</v>
      </c>
      <c r="XN36" s="218">
        <v>511983.02</v>
      </c>
      <c r="XO36" s="218">
        <v>511983.02</v>
      </c>
      <c r="XP36" s="218">
        <v>511983.02</v>
      </c>
      <c r="XQ36" s="218">
        <v>511983.02</v>
      </c>
      <c r="XR36" s="218">
        <v>511843.02</v>
      </c>
      <c r="XS36" s="218">
        <v>2011843.02</v>
      </c>
      <c r="XT36" s="218">
        <v>567092.99</v>
      </c>
      <c r="XU36" s="218">
        <v>567092.99</v>
      </c>
      <c r="XV36" s="218">
        <v>567092.99</v>
      </c>
      <c r="XW36" s="218">
        <v>567092.99</v>
      </c>
      <c r="XX36" s="218">
        <v>567092.99</v>
      </c>
      <c r="XY36" s="218">
        <v>567092.99</v>
      </c>
      <c r="XZ36" s="218">
        <v>567092.99</v>
      </c>
      <c r="YA36" s="218">
        <v>567092.99</v>
      </c>
      <c r="YB36" s="218">
        <v>567092.99</v>
      </c>
      <c r="YC36" s="218">
        <v>567092.99</v>
      </c>
      <c r="YD36" s="218">
        <v>567092.99</v>
      </c>
      <c r="YE36" s="218">
        <v>567092.99</v>
      </c>
      <c r="YF36" s="218">
        <v>567092.99</v>
      </c>
      <c r="YG36" s="218">
        <v>567092.99</v>
      </c>
      <c r="YH36" s="218">
        <v>2035637.6</v>
      </c>
      <c r="YI36" s="218">
        <v>2035637.6</v>
      </c>
      <c r="YJ36" s="218">
        <v>2035637.6</v>
      </c>
      <c r="YK36" s="218">
        <v>2035637.6</v>
      </c>
      <c r="YL36" s="218">
        <v>2035637.6</v>
      </c>
      <c r="YM36" s="218">
        <v>2035637.6</v>
      </c>
      <c r="YN36" s="218">
        <v>1952089.16</v>
      </c>
      <c r="YO36" s="218">
        <v>1952089.16</v>
      </c>
      <c r="YP36" s="218">
        <v>1942089.16</v>
      </c>
      <c r="YQ36" s="218">
        <v>495123.1</v>
      </c>
      <c r="YR36" s="218">
        <v>495123.1</v>
      </c>
      <c r="YS36" s="218">
        <v>495123.1</v>
      </c>
      <c r="YT36" s="218">
        <v>495123.1</v>
      </c>
      <c r="YU36" s="218">
        <v>495123.1</v>
      </c>
      <c r="YV36" s="218">
        <v>495123.1</v>
      </c>
      <c r="YW36" s="218">
        <v>446877.87</v>
      </c>
      <c r="YX36" s="429">
        <v>446877.87</v>
      </c>
      <c r="YY36" s="429">
        <v>446877.87</v>
      </c>
      <c r="YZ36" s="429">
        <v>446877.87</v>
      </c>
      <c r="ZA36" s="429">
        <v>446877.87</v>
      </c>
      <c r="ZB36" s="429">
        <v>446877.87</v>
      </c>
      <c r="ZC36" s="218">
        <v>446877.87</v>
      </c>
      <c r="ZD36" s="218">
        <v>446877.87</v>
      </c>
      <c r="ZE36" s="218">
        <v>446877.87</v>
      </c>
      <c r="ZF36" s="218">
        <v>446877.87</v>
      </c>
      <c r="ZG36" s="218">
        <v>446877.87</v>
      </c>
      <c r="ZH36" s="218">
        <v>446877.87</v>
      </c>
      <c r="ZI36" s="218">
        <v>446877.87</v>
      </c>
      <c r="ZJ36" s="218">
        <v>1846877.87</v>
      </c>
      <c r="ZK36" s="218">
        <v>1846877.87</v>
      </c>
      <c r="ZL36" s="218">
        <v>1846877.87</v>
      </c>
      <c r="ZM36" s="218">
        <v>448703.64</v>
      </c>
      <c r="ZN36" s="218">
        <v>410587.64</v>
      </c>
      <c r="ZO36" s="218">
        <v>410587.64</v>
      </c>
      <c r="ZP36" s="218">
        <v>410587.64</v>
      </c>
      <c r="ZQ36" s="218">
        <v>343949.5</v>
      </c>
      <c r="ZR36" s="218">
        <v>343441.5</v>
      </c>
      <c r="ZS36" s="218">
        <v>343441.5</v>
      </c>
      <c r="ZT36" s="218">
        <v>343441.5</v>
      </c>
      <c r="ZU36" s="218">
        <v>343441.5</v>
      </c>
      <c r="ZV36" s="218">
        <v>343441.5</v>
      </c>
      <c r="ZW36" s="218">
        <v>343441.5</v>
      </c>
      <c r="ZX36" s="218">
        <v>343441.5</v>
      </c>
      <c r="ZY36" s="218">
        <v>343441.5</v>
      </c>
      <c r="ZZ36" s="218">
        <v>343441.5</v>
      </c>
      <c r="AAA36" s="218">
        <v>343441.5</v>
      </c>
      <c r="AAB36" s="218">
        <v>343441.5</v>
      </c>
      <c r="AAC36" s="218">
        <v>343441.5</v>
      </c>
      <c r="AAD36" s="218">
        <v>343441.5</v>
      </c>
      <c r="AAE36" s="218">
        <v>343441.5</v>
      </c>
      <c r="AAF36" s="218">
        <v>14474940.35</v>
      </c>
      <c r="AAG36" s="218">
        <v>1774940.35</v>
      </c>
      <c r="AAH36" s="218">
        <v>466213.76</v>
      </c>
      <c r="AAI36" s="218">
        <v>465097.76</v>
      </c>
      <c r="AAJ36" s="218">
        <v>412097.76</v>
      </c>
      <c r="AAK36" s="218">
        <v>194467.96</v>
      </c>
      <c r="AAL36" s="218">
        <v>194467.96</v>
      </c>
      <c r="AAM36" s="218">
        <v>194467.96</v>
      </c>
      <c r="AAN36" s="218">
        <v>194467.96</v>
      </c>
      <c r="AAO36" s="218">
        <v>194467.96</v>
      </c>
      <c r="AAP36" s="218">
        <v>194467.96</v>
      </c>
      <c r="AAQ36" s="218">
        <v>194467.96</v>
      </c>
      <c r="AAR36" s="218">
        <v>194467.96</v>
      </c>
      <c r="AAS36" s="218">
        <v>80194467.959999993</v>
      </c>
      <c r="AAT36" s="218">
        <v>194467.96</v>
      </c>
      <c r="AAU36" s="218">
        <v>194467.96</v>
      </c>
      <c r="AAV36" s="218">
        <v>194467.96</v>
      </c>
      <c r="AAW36" s="218">
        <v>194467.96</v>
      </c>
      <c r="AAX36" s="218">
        <v>194467.96</v>
      </c>
      <c r="AAY36" s="218">
        <v>143549.64000000001</v>
      </c>
      <c r="AAZ36" s="218">
        <v>143549.64000000001</v>
      </c>
      <c r="ABA36" s="218">
        <v>235980</v>
      </c>
      <c r="ABB36" s="218">
        <v>235980</v>
      </c>
      <c r="ABC36" s="218">
        <v>376400.39</v>
      </c>
      <c r="ABD36" s="218">
        <v>443104.72</v>
      </c>
      <c r="ABE36" s="436">
        <v>443088.72</v>
      </c>
      <c r="ABF36" s="436">
        <v>443088.72</v>
      </c>
      <c r="ABG36" s="436">
        <v>443088.72</v>
      </c>
      <c r="ABH36" s="436">
        <v>443088.72</v>
      </c>
      <c r="ABI36" s="437">
        <v>292413499.68000001</v>
      </c>
      <c r="ABJ36" s="437">
        <v>349290.58</v>
      </c>
      <c r="ABK36" s="218">
        <v>349290.58</v>
      </c>
      <c r="ABL36" s="218">
        <v>349290.58</v>
      </c>
      <c r="ABM36" s="218">
        <v>349290.58</v>
      </c>
      <c r="ABN36" s="218">
        <v>306396.26</v>
      </c>
      <c r="ABO36" s="218">
        <v>306396.26</v>
      </c>
      <c r="ABP36" s="218">
        <v>388062.01</v>
      </c>
      <c r="ABQ36" s="218">
        <v>1838062.01</v>
      </c>
      <c r="ABR36" s="218">
        <v>1838062.01</v>
      </c>
      <c r="ABS36" s="218">
        <v>1838062.01</v>
      </c>
      <c r="ABT36" s="218">
        <v>1838062.01</v>
      </c>
      <c r="ABU36" s="218">
        <v>1838062.01</v>
      </c>
      <c r="ABV36" s="218">
        <v>1838062.01</v>
      </c>
      <c r="ABW36" s="218">
        <v>1764380.64</v>
      </c>
      <c r="ABX36" s="218">
        <v>1666852.64</v>
      </c>
      <c r="ABY36" s="218">
        <v>153996.37</v>
      </c>
      <c r="ABZ36" s="218">
        <v>2127551.5099999998</v>
      </c>
      <c r="ACA36" s="218">
        <v>2127551.5099999998</v>
      </c>
      <c r="ACB36" s="218">
        <v>2127551.5099999998</v>
      </c>
      <c r="ACC36" s="296">
        <v>2127551.5099999998</v>
      </c>
      <c r="ACD36" s="218">
        <v>2132946.71</v>
      </c>
      <c r="ACE36" s="278">
        <v>2132946.71</v>
      </c>
      <c r="ACF36" s="218">
        <v>2132946.71</v>
      </c>
      <c r="ACG36" s="218">
        <v>2132946.71</v>
      </c>
      <c r="ACH36" s="218">
        <v>1532143.42</v>
      </c>
      <c r="ACI36" s="218">
        <v>1532143.42</v>
      </c>
      <c r="ACJ36" s="218">
        <v>63102.42</v>
      </c>
      <c r="ACK36" s="218">
        <v>63102.42</v>
      </c>
      <c r="ACL36" s="218">
        <v>63102.42</v>
      </c>
      <c r="ACM36" s="218">
        <v>63102.42</v>
      </c>
      <c r="ACN36" s="218">
        <v>43502.37</v>
      </c>
      <c r="ACO36" s="218">
        <v>43502.37</v>
      </c>
      <c r="ACP36" s="218">
        <v>33257.68</v>
      </c>
      <c r="ACQ36" s="218">
        <v>32149.68</v>
      </c>
      <c r="ACR36" s="218">
        <v>32149.68</v>
      </c>
      <c r="ACS36" s="218">
        <v>32149.68</v>
      </c>
      <c r="ACT36" s="218">
        <v>132149.68</v>
      </c>
      <c r="ACU36" s="218">
        <v>79027.98</v>
      </c>
      <c r="ACV36" s="218">
        <v>79027.98</v>
      </c>
      <c r="ACW36" s="218">
        <v>79027.98</v>
      </c>
      <c r="ACX36" s="218">
        <v>1037464.69</v>
      </c>
      <c r="ACY36" s="218">
        <v>1037456.69</v>
      </c>
      <c r="ACZ36" s="218">
        <v>1037456.69</v>
      </c>
      <c r="ADA36" s="218">
        <v>147243555.87</v>
      </c>
      <c r="ADB36" s="296">
        <v>1243555.8700000001</v>
      </c>
      <c r="ADC36" s="218">
        <v>1243555.8700000001</v>
      </c>
      <c r="ADD36" s="218">
        <v>1243555.8700000001</v>
      </c>
      <c r="ADE36" s="218">
        <v>1243555.8700000001</v>
      </c>
      <c r="ADF36" s="218">
        <v>1946294.77</v>
      </c>
      <c r="ADG36" s="218">
        <v>1946286.77</v>
      </c>
      <c r="ADH36" s="218">
        <v>1946286.77</v>
      </c>
      <c r="ADI36" s="218">
        <v>602267.01</v>
      </c>
      <c r="ADJ36" s="218">
        <v>602267.01</v>
      </c>
      <c r="ADK36" s="218">
        <v>602267.01</v>
      </c>
      <c r="ADL36" s="218">
        <v>659254.47</v>
      </c>
      <c r="ADM36" s="218">
        <v>659254.47</v>
      </c>
      <c r="ADN36" s="218">
        <v>659254.47</v>
      </c>
      <c r="ADO36" s="218">
        <v>898429.16</v>
      </c>
      <c r="ADP36" s="218">
        <v>898429.16</v>
      </c>
      <c r="ADQ36" s="218">
        <v>898429.16</v>
      </c>
      <c r="ADR36" s="218">
        <v>898429.16</v>
      </c>
      <c r="ADS36" s="218">
        <v>898429.16</v>
      </c>
      <c r="ADT36" s="218">
        <v>898429.16</v>
      </c>
      <c r="ADU36" s="218">
        <v>876429.6</v>
      </c>
      <c r="ADV36" s="218">
        <v>876429.6</v>
      </c>
      <c r="ADW36" s="218">
        <v>876429.6</v>
      </c>
      <c r="ADX36" s="218">
        <v>876429.6</v>
      </c>
      <c r="ADY36" s="218">
        <v>876429.6</v>
      </c>
      <c r="ADZ36" s="218">
        <v>876429.6</v>
      </c>
      <c r="AEA36" s="218">
        <v>876429.6</v>
      </c>
      <c r="AEB36" s="218">
        <v>876429.6</v>
      </c>
      <c r="AEC36" s="218">
        <v>876429.6</v>
      </c>
      <c r="AED36" s="218">
        <v>1209255.3999999999</v>
      </c>
      <c r="AEE36" s="218">
        <v>639834.96</v>
      </c>
      <c r="AEF36" s="218">
        <v>639834.96</v>
      </c>
      <c r="AEG36" s="218">
        <v>639834.96</v>
      </c>
      <c r="AEH36" s="218">
        <v>639834.96</v>
      </c>
      <c r="AEI36" s="218">
        <v>639834.96</v>
      </c>
      <c r="AEJ36" s="218">
        <v>639834.96</v>
      </c>
      <c r="AEK36" s="218">
        <v>639834.96</v>
      </c>
      <c r="AEL36" s="218">
        <v>639834.96</v>
      </c>
      <c r="AEM36" s="218">
        <v>639834.96</v>
      </c>
      <c r="AEN36" s="218">
        <v>639834.96</v>
      </c>
      <c r="AEO36" s="218">
        <v>639834.96</v>
      </c>
      <c r="AEP36" s="218">
        <v>594274.96</v>
      </c>
      <c r="AEQ36" s="218">
        <v>594274.96</v>
      </c>
      <c r="AER36" s="218">
        <v>594274.96</v>
      </c>
      <c r="AES36" s="218">
        <v>657399.96</v>
      </c>
      <c r="AET36" s="218">
        <v>657399.96</v>
      </c>
      <c r="AEU36" s="218">
        <v>657399.96</v>
      </c>
      <c r="AEV36" s="218">
        <v>657399.96</v>
      </c>
      <c r="AEW36" s="218">
        <v>2057399.96</v>
      </c>
      <c r="AEX36" s="218">
        <v>416517.82</v>
      </c>
      <c r="AEY36" s="218">
        <v>416517.82</v>
      </c>
      <c r="AEZ36" s="218">
        <v>416517.82</v>
      </c>
      <c r="AFA36" s="218">
        <v>416517.82</v>
      </c>
      <c r="AFB36" s="218">
        <v>416517.82</v>
      </c>
      <c r="AFC36" s="218">
        <v>483437.49</v>
      </c>
      <c r="AFD36" s="218">
        <v>483437.49</v>
      </c>
      <c r="AFE36" s="218">
        <v>483437.49</v>
      </c>
      <c r="AFF36" s="218">
        <v>483437.49</v>
      </c>
      <c r="AFG36" s="218">
        <v>483437.49</v>
      </c>
      <c r="AFH36" s="218">
        <v>483437.49</v>
      </c>
      <c r="AFI36" s="218">
        <v>483437.49</v>
      </c>
      <c r="AFJ36" s="218">
        <v>483437.49</v>
      </c>
      <c r="AFK36" s="218">
        <v>465633.05</v>
      </c>
      <c r="AFL36" s="218">
        <v>465633.05</v>
      </c>
      <c r="AFM36" s="218">
        <v>465633.05</v>
      </c>
      <c r="AFN36" s="218">
        <v>465625.05</v>
      </c>
      <c r="AFO36" s="218">
        <v>465625.05</v>
      </c>
      <c r="AFP36" s="218">
        <v>465625.05</v>
      </c>
      <c r="AFQ36" s="218">
        <v>1965617.05</v>
      </c>
      <c r="AFR36" s="218">
        <v>1965617.05</v>
      </c>
      <c r="AFS36" s="218">
        <v>519566.99</v>
      </c>
      <c r="AFT36" s="218">
        <v>519566.99</v>
      </c>
      <c r="AFU36" s="218">
        <v>519566.99</v>
      </c>
      <c r="AFV36" s="218">
        <v>519566.99</v>
      </c>
      <c r="AFW36" s="218">
        <v>519566.99</v>
      </c>
      <c r="AFX36" s="218">
        <v>519566.99</v>
      </c>
      <c r="AFY36" s="218">
        <v>519566.99</v>
      </c>
      <c r="AFZ36" s="218">
        <v>519566.99</v>
      </c>
      <c r="AGA36" s="218">
        <v>519566.99</v>
      </c>
      <c r="AGB36" s="218">
        <v>519566.99</v>
      </c>
      <c r="AGC36" s="218">
        <v>519566.99</v>
      </c>
      <c r="AGD36" s="218">
        <v>519566.99</v>
      </c>
      <c r="AGE36" s="218">
        <v>519566.99</v>
      </c>
      <c r="AGF36" s="218">
        <v>519566.99</v>
      </c>
      <c r="AGG36" s="218">
        <v>519566.99</v>
      </c>
      <c r="AGH36" s="218">
        <v>519566.99</v>
      </c>
      <c r="AGI36" s="218">
        <v>519566.99</v>
      </c>
      <c r="AGJ36" s="218">
        <v>519566.99</v>
      </c>
      <c r="AGK36" s="218">
        <v>519566.99</v>
      </c>
      <c r="AGL36" s="218">
        <v>15166.74</v>
      </c>
      <c r="AGM36" s="218">
        <v>15121.74</v>
      </c>
      <c r="AGN36" s="218">
        <v>14021.74</v>
      </c>
      <c r="AGO36" s="218">
        <v>14021.74</v>
      </c>
      <c r="AGP36" s="218">
        <v>14021.74</v>
      </c>
      <c r="AGQ36" s="218">
        <v>14021.74</v>
      </c>
      <c r="AGR36" s="218">
        <v>14013.74</v>
      </c>
      <c r="AGS36" s="218">
        <v>14013.74</v>
      </c>
      <c r="AGT36" s="218">
        <v>14013.74</v>
      </c>
      <c r="AGU36" s="218">
        <v>14013.74</v>
      </c>
      <c r="AGV36" s="218">
        <v>14013.74</v>
      </c>
      <c r="AGW36" s="218">
        <v>14013.74</v>
      </c>
      <c r="AGX36" s="218">
        <v>14013.74</v>
      </c>
      <c r="AGY36" s="218">
        <v>14013.74</v>
      </c>
      <c r="AGZ36" s="218">
        <v>14013.74</v>
      </c>
      <c r="AHA36" s="218">
        <v>14013.74</v>
      </c>
      <c r="AHB36" s="218">
        <v>14013.74</v>
      </c>
      <c r="AHC36" s="218">
        <v>14013.74</v>
      </c>
      <c r="AHD36" s="218">
        <v>14013.74</v>
      </c>
      <c r="AHE36" s="218">
        <v>14013.74</v>
      </c>
      <c r="AHF36" s="218">
        <v>14013.74</v>
      </c>
      <c r="AHG36" s="218">
        <v>14013.74</v>
      </c>
      <c r="AHH36" s="218">
        <v>12013.74</v>
      </c>
      <c r="AHI36" s="218">
        <v>10613.74</v>
      </c>
      <c r="AHJ36" s="218">
        <v>10613.74</v>
      </c>
      <c r="AHK36" s="218">
        <v>10613.74</v>
      </c>
      <c r="AHL36" s="218">
        <v>10613.74</v>
      </c>
      <c r="AHM36" s="218">
        <v>10613.74</v>
      </c>
      <c r="AHN36" s="218">
        <v>10613.74</v>
      </c>
      <c r="AHO36" s="218">
        <v>10613.74</v>
      </c>
      <c r="AHP36" s="218">
        <f>10613.74+30000000</f>
        <v>30010613.739999998</v>
      </c>
      <c r="AHQ36" s="218">
        <f>10613.74+30000000</f>
        <v>30010613.739999998</v>
      </c>
      <c r="AHR36" s="218">
        <v>30010613.739999998</v>
      </c>
      <c r="AHS36" s="218">
        <v>222997.3</v>
      </c>
      <c r="AHT36" s="218">
        <v>222997.3</v>
      </c>
      <c r="AHU36" s="218">
        <v>222997.3</v>
      </c>
      <c r="AHV36" s="218">
        <v>222997.3</v>
      </c>
      <c r="AHW36" s="218">
        <v>30222997.300000001</v>
      </c>
      <c r="AHX36" s="218">
        <v>15047.05</v>
      </c>
      <c r="AHY36" s="218">
        <v>15047.05</v>
      </c>
      <c r="AHZ36" s="218">
        <v>15047.05</v>
      </c>
      <c r="AIA36" s="218">
        <v>15047.05</v>
      </c>
      <c r="AIB36" s="218">
        <v>15047.05</v>
      </c>
      <c r="AIC36" s="218">
        <v>15047.05</v>
      </c>
      <c r="AID36" s="218">
        <v>15047.05</v>
      </c>
      <c r="AIE36" s="218">
        <v>95131.98</v>
      </c>
      <c r="AIF36" s="218">
        <v>92223.98</v>
      </c>
      <c r="AIG36" s="218">
        <v>92215.98</v>
      </c>
      <c r="AIH36" s="218">
        <v>92215.98</v>
      </c>
      <c r="AII36" s="218">
        <v>92215.98</v>
      </c>
      <c r="AIJ36" s="218">
        <v>92215.98</v>
      </c>
      <c r="AIK36" s="218">
        <v>473262.77</v>
      </c>
      <c r="AIL36" s="218">
        <v>473262.77</v>
      </c>
      <c r="AIM36" s="218">
        <v>473262.77</v>
      </c>
      <c r="AIN36" s="218">
        <v>473262.77</v>
      </c>
      <c r="AIO36" s="218">
        <v>473262.77</v>
      </c>
      <c r="AIP36" s="218">
        <v>473262.77</v>
      </c>
      <c r="AIQ36" s="218">
        <v>473262.77</v>
      </c>
      <c r="AIR36" s="218">
        <v>473262.77</v>
      </c>
      <c r="AIS36" s="218">
        <v>473262.77</v>
      </c>
      <c r="AIT36" s="218">
        <v>473262.77</v>
      </c>
      <c r="AIU36" s="218">
        <v>473262.77</v>
      </c>
      <c r="AIV36" s="218">
        <v>473262.77</v>
      </c>
      <c r="AIW36" s="218">
        <v>473262.77</v>
      </c>
      <c r="AIX36" s="218">
        <v>473262.77</v>
      </c>
      <c r="AIY36" s="218">
        <v>473262.77</v>
      </c>
      <c r="AIZ36" s="218">
        <v>473262.77</v>
      </c>
      <c r="AJA36" s="218">
        <v>470362.77</v>
      </c>
      <c r="AJB36" s="218">
        <v>470362.77</v>
      </c>
      <c r="AJC36" s="218">
        <v>470362.77</v>
      </c>
      <c r="AJD36" s="218">
        <v>470362.77</v>
      </c>
      <c r="AJE36" s="218">
        <v>470362.77</v>
      </c>
      <c r="AJF36" s="218">
        <v>469862.77</v>
      </c>
      <c r="AJG36" s="218">
        <v>469862.77</v>
      </c>
      <c r="AJH36" s="218">
        <v>469862.77</v>
      </c>
      <c r="AJI36" s="218">
        <v>469862.77</v>
      </c>
      <c r="AJJ36" s="218">
        <v>469862.77</v>
      </c>
      <c r="AJK36" s="218">
        <v>469862.77</v>
      </c>
      <c r="AJL36" s="218">
        <v>469862.77</v>
      </c>
      <c r="AJM36" s="218">
        <v>469862.77</v>
      </c>
      <c r="AJN36" s="218">
        <v>469862.77</v>
      </c>
      <c r="AJO36" s="218">
        <v>469862.77</v>
      </c>
      <c r="AJP36" s="218">
        <v>479263.81</v>
      </c>
      <c r="AJQ36" s="218">
        <v>479263.81</v>
      </c>
      <c r="AJR36" s="218">
        <v>479263.81</v>
      </c>
      <c r="AJS36" s="218">
        <v>479263.81</v>
      </c>
      <c r="AJT36" s="218">
        <v>479263.81</v>
      </c>
      <c r="AJU36" s="218">
        <v>479263.81</v>
      </c>
      <c r="AJV36" s="218">
        <v>479263.81</v>
      </c>
      <c r="AJW36" s="218">
        <v>479263.81</v>
      </c>
      <c r="AJX36" s="218">
        <v>476363.81</v>
      </c>
      <c r="AJY36" s="218">
        <v>476363.81</v>
      </c>
      <c r="AJZ36" s="218">
        <v>476363.81</v>
      </c>
      <c r="AKA36" s="218">
        <v>476363.81</v>
      </c>
      <c r="AKB36" s="218">
        <v>476363.81</v>
      </c>
      <c r="AKC36" s="218">
        <v>475868.45</v>
      </c>
      <c r="AKD36" s="218">
        <v>680577.06</v>
      </c>
      <c r="AKE36" s="218">
        <v>680577.06</v>
      </c>
      <c r="AKF36" s="218">
        <v>680577.06</v>
      </c>
      <c r="AKG36" s="218">
        <v>680577.06</v>
      </c>
      <c r="AKH36" s="218">
        <v>680577.06</v>
      </c>
      <c r="AKI36" s="218">
        <v>680577.06</v>
      </c>
      <c r="AKJ36" s="218">
        <v>680577.06</v>
      </c>
      <c r="AKK36" s="218">
        <v>680577.06</v>
      </c>
      <c r="AKL36" s="218">
        <v>680577.06</v>
      </c>
      <c r="AKM36" s="218">
        <v>680577.06</v>
      </c>
      <c r="AKN36" s="218">
        <v>680577.06</v>
      </c>
      <c r="AKO36" s="218">
        <v>680577.06</v>
      </c>
      <c r="AKP36" s="218">
        <v>680577.06</v>
      </c>
      <c r="AKQ36" s="218">
        <v>680577.06</v>
      </c>
      <c r="AKR36" s="218">
        <v>677669.06</v>
      </c>
      <c r="AKS36" s="218">
        <v>677669.06</v>
      </c>
      <c r="AKT36" s="218">
        <v>677669.06</v>
      </c>
      <c r="AKU36" s="218">
        <v>677669.06</v>
      </c>
      <c r="AKV36" s="218">
        <v>677669.06</v>
      </c>
      <c r="AKW36" s="218">
        <v>677669.06</v>
      </c>
      <c r="AKX36" s="218">
        <v>677669.06</v>
      </c>
      <c r="AKY36" s="218">
        <v>677669.06</v>
      </c>
      <c r="AKZ36" s="218">
        <v>677669.06</v>
      </c>
      <c r="ALA36" s="218">
        <v>677669.06</v>
      </c>
      <c r="ALB36" s="218">
        <v>677669.06</v>
      </c>
      <c r="ALC36" s="218">
        <v>677669.06</v>
      </c>
      <c r="ALD36" s="218">
        <v>677669.06</v>
      </c>
      <c r="ALE36" s="218">
        <v>677669.06</v>
      </c>
      <c r="ALF36" s="218">
        <v>677669.06</v>
      </c>
      <c r="ALG36" s="218">
        <v>677669.06</v>
      </c>
      <c r="ALH36" s="218">
        <v>677587.06</v>
      </c>
      <c r="ALI36" s="218">
        <v>677587.06</v>
      </c>
      <c r="ALJ36" s="218">
        <v>677587.06</v>
      </c>
      <c r="ALK36" s="218">
        <v>677587.06</v>
      </c>
      <c r="ALL36" s="218">
        <v>573117.42000000004</v>
      </c>
      <c r="ALM36" s="218">
        <v>810038.56</v>
      </c>
      <c r="ALN36" s="218">
        <v>810038.56</v>
      </c>
      <c r="ALO36" s="218">
        <v>810038.56</v>
      </c>
      <c r="ALP36" s="218">
        <v>810038.56</v>
      </c>
      <c r="ALQ36" s="218">
        <v>1421544.06</v>
      </c>
      <c r="ALR36" s="218">
        <v>1421544.06</v>
      </c>
      <c r="ALS36" s="218">
        <v>1421544.06</v>
      </c>
      <c r="ALT36" s="218">
        <v>1421544.06</v>
      </c>
      <c r="ALU36" s="218">
        <v>1421544.06</v>
      </c>
      <c r="ALV36" s="218">
        <v>1421544.06</v>
      </c>
      <c r="ALW36" s="218">
        <v>1421544.06</v>
      </c>
      <c r="ALX36" s="218">
        <v>1421544.06</v>
      </c>
      <c r="ALY36" s="218">
        <v>1421544.06</v>
      </c>
      <c r="ALZ36" s="218">
        <v>1421544.06</v>
      </c>
      <c r="AMA36" s="218">
        <v>1421544.06</v>
      </c>
      <c r="AMB36" s="218">
        <v>1421544.06</v>
      </c>
      <c r="AMC36" s="218">
        <v>1421544.06</v>
      </c>
      <c r="AMD36" s="218">
        <v>1062824.3500000001</v>
      </c>
      <c r="AME36" s="218">
        <v>1062824.3500000001</v>
      </c>
      <c r="AMF36" s="218">
        <v>1062824.3500000001</v>
      </c>
      <c r="AMG36" s="218">
        <v>1062824.3500000001</v>
      </c>
      <c r="AMH36" s="218">
        <v>1062824.3500000001</v>
      </c>
      <c r="AMI36" s="218">
        <v>1062824.3500000001</v>
      </c>
      <c r="AMJ36" s="218">
        <v>1062824.3500000001</v>
      </c>
      <c r="AMK36" s="218">
        <v>1062824.3500000001</v>
      </c>
      <c r="AML36" s="218">
        <v>1062824.3500000001</v>
      </c>
      <c r="AMM36" s="218">
        <v>1062824.3500000001</v>
      </c>
      <c r="AMN36" s="218">
        <v>664989.92000000004</v>
      </c>
      <c r="AMO36" s="218">
        <v>662915.92000000004</v>
      </c>
      <c r="AMP36" s="218">
        <v>662915.92000000004</v>
      </c>
      <c r="AMQ36" s="218">
        <v>662915.92000000004</v>
      </c>
      <c r="AMR36" s="218">
        <v>662915.92000000004</v>
      </c>
      <c r="AMS36" s="218">
        <v>662915.92000000004</v>
      </c>
      <c r="AMT36" s="218">
        <v>662915.92000000004</v>
      </c>
      <c r="AMU36" s="218">
        <v>662915.92000000004</v>
      </c>
      <c r="AMV36" s="218">
        <v>662915.92000000004</v>
      </c>
      <c r="AMW36" s="218">
        <v>325129.03999999998</v>
      </c>
      <c r="AMX36" s="218">
        <v>323129.03999999998</v>
      </c>
      <c r="AMY36" s="218">
        <v>323129.03999999998</v>
      </c>
      <c r="AMZ36" s="218">
        <v>323129.03999999998</v>
      </c>
      <c r="ANA36" s="218">
        <v>323129.03999999998</v>
      </c>
      <c r="ANB36" s="218">
        <v>323129.03999999998</v>
      </c>
      <c r="ANC36" s="218">
        <v>323129.03999999998</v>
      </c>
      <c r="AND36" s="218">
        <v>323129.03999999998</v>
      </c>
      <c r="ANE36" s="218">
        <v>323129.03999999998</v>
      </c>
      <c r="ANF36" s="218">
        <v>323129.03999999998</v>
      </c>
      <c r="ANG36" s="218">
        <v>323129.03999999998</v>
      </c>
      <c r="ANH36" s="218">
        <v>323129.03999999998</v>
      </c>
      <c r="ANI36" s="218">
        <v>323129.03999999998</v>
      </c>
      <c r="ANJ36" s="218">
        <v>323129.03999999998</v>
      </c>
      <c r="ANK36" s="218">
        <v>323129.03999999998</v>
      </c>
      <c r="ANL36" s="218">
        <v>323129.03999999998</v>
      </c>
      <c r="ANM36" s="218">
        <v>323129.03999999998</v>
      </c>
      <c r="ANN36" s="218">
        <v>323129.03999999998</v>
      </c>
      <c r="ANO36" s="218">
        <v>323129.03999999998</v>
      </c>
      <c r="ANP36" s="218">
        <v>323129.03999999998</v>
      </c>
      <c r="ANQ36" s="218">
        <v>46491.33</v>
      </c>
      <c r="ANR36" s="218">
        <v>44491.33</v>
      </c>
      <c r="ANS36" s="218">
        <v>44491.33</v>
      </c>
      <c r="ANT36" s="218">
        <v>43991.33</v>
      </c>
      <c r="ANU36" s="218">
        <v>43983.33</v>
      </c>
      <c r="ANV36" s="218">
        <v>43983.33</v>
      </c>
      <c r="ANW36" s="218">
        <v>43983.33</v>
      </c>
      <c r="ANX36" s="218">
        <v>43983.33</v>
      </c>
      <c r="ANY36" s="218">
        <v>43983.33</v>
      </c>
      <c r="ANZ36" s="218">
        <v>43983.33</v>
      </c>
      <c r="AOA36" s="218">
        <v>43983.33</v>
      </c>
      <c r="AOB36" s="218">
        <v>43983.33</v>
      </c>
      <c r="AOC36" s="218">
        <v>43983.33</v>
      </c>
      <c r="AOD36" s="218">
        <v>43983.33</v>
      </c>
      <c r="AOE36" s="218">
        <v>43983.33</v>
      </c>
      <c r="AOF36" s="218">
        <v>43983.33</v>
      </c>
      <c r="AOG36" s="218">
        <v>43983.33</v>
      </c>
      <c r="AOH36" s="218">
        <v>43983.33</v>
      </c>
      <c r="AOI36" s="218">
        <v>423983.33</v>
      </c>
      <c r="AOJ36" s="278">
        <v>423983.33</v>
      </c>
      <c r="AOK36" s="218">
        <v>450556.67</v>
      </c>
      <c r="AOL36" s="218">
        <v>130702.35</v>
      </c>
      <c r="AOM36" s="218">
        <v>128702.35</v>
      </c>
      <c r="AON36" s="218">
        <v>128702.35</v>
      </c>
      <c r="AOO36" s="218">
        <v>128702.35</v>
      </c>
      <c r="AOP36" s="218">
        <v>128702.35</v>
      </c>
      <c r="AOQ36" s="218">
        <v>128702.35</v>
      </c>
      <c r="AOR36" s="218">
        <v>128702.35</v>
      </c>
      <c r="AOS36" s="218">
        <v>128702.35</v>
      </c>
      <c r="AOT36" s="218">
        <v>128702.35</v>
      </c>
      <c r="AOU36" s="218">
        <v>128702.35</v>
      </c>
      <c r="AOV36" s="218">
        <v>128702.35</v>
      </c>
      <c r="AOW36" s="218">
        <v>128702.35</v>
      </c>
      <c r="AOX36" s="218">
        <v>128702.35</v>
      </c>
      <c r="AOY36" s="218">
        <v>128702.35</v>
      </c>
      <c r="AOZ36" s="218">
        <v>128702.35</v>
      </c>
      <c r="APA36" s="218">
        <v>128702.35</v>
      </c>
      <c r="APB36" s="218">
        <v>128694.35</v>
      </c>
      <c r="APC36" s="218">
        <v>1328686.3500000001</v>
      </c>
      <c r="APD36" s="218">
        <v>1328686.3500000001</v>
      </c>
      <c r="APE36" s="218">
        <v>1328686.3500000001</v>
      </c>
      <c r="APF36" s="218">
        <v>168380.91</v>
      </c>
      <c r="APG36" s="218">
        <v>168380.91</v>
      </c>
      <c r="APH36" s="218">
        <v>168380.91</v>
      </c>
      <c r="API36" s="218">
        <v>168380.91</v>
      </c>
      <c r="APJ36" s="218">
        <v>168380.91</v>
      </c>
      <c r="APK36" s="218">
        <v>168380.91</v>
      </c>
      <c r="APL36" s="218">
        <v>168380.91</v>
      </c>
      <c r="APM36" s="218">
        <v>168380.91</v>
      </c>
      <c r="APN36" s="218">
        <v>168380.91</v>
      </c>
      <c r="APO36" s="218">
        <v>168380.91</v>
      </c>
      <c r="APP36" s="218">
        <v>168380.91</v>
      </c>
      <c r="APQ36" s="218">
        <v>168380.91</v>
      </c>
      <c r="APR36" s="218">
        <v>168380.91</v>
      </c>
      <c r="APS36" s="218">
        <v>168380.91</v>
      </c>
      <c r="APT36" s="218">
        <v>168380.91</v>
      </c>
      <c r="APU36" s="218">
        <v>168380.91</v>
      </c>
      <c r="APV36" s="218">
        <v>168380.91</v>
      </c>
      <c r="APW36" s="218">
        <v>168335.91</v>
      </c>
      <c r="APX36" s="218">
        <v>1817934.47</v>
      </c>
      <c r="APY36" s="218">
        <v>235537.79</v>
      </c>
      <c r="APZ36" s="218">
        <v>219912.82</v>
      </c>
      <c r="AQA36" s="218">
        <v>219912.82</v>
      </c>
      <c r="AQB36" s="218">
        <v>219912.82</v>
      </c>
      <c r="AQC36" s="218">
        <v>219912.82</v>
      </c>
      <c r="AQD36" s="218">
        <v>219912.82</v>
      </c>
      <c r="AQE36" s="218">
        <v>219912.82</v>
      </c>
      <c r="AQF36" s="218">
        <v>219912.82</v>
      </c>
      <c r="AQG36" s="218">
        <v>219912.82</v>
      </c>
      <c r="AQH36" s="218">
        <v>219912.82</v>
      </c>
      <c r="AQI36" s="218">
        <v>219904.82</v>
      </c>
      <c r="AQJ36" s="218">
        <v>219904.82</v>
      </c>
      <c r="AQK36" s="218">
        <v>219904.82</v>
      </c>
      <c r="AQL36" s="218">
        <v>219904.82</v>
      </c>
      <c r="AQM36" s="218">
        <v>219904.82</v>
      </c>
      <c r="AQN36" s="218">
        <v>219904.82</v>
      </c>
      <c r="AQO36" s="218">
        <v>219904.82</v>
      </c>
      <c r="AQP36" s="218">
        <v>219904.82</v>
      </c>
      <c r="AQQ36" s="218">
        <v>219904.82</v>
      </c>
      <c r="AQR36" s="218">
        <v>219904.82</v>
      </c>
      <c r="AQS36" s="218">
        <v>219904.82</v>
      </c>
      <c r="AQT36" s="218">
        <v>121922224.48999999</v>
      </c>
      <c r="AQU36" s="218">
        <v>2921316.49</v>
      </c>
      <c r="AQV36" s="218">
        <v>902103.35</v>
      </c>
      <c r="AQW36" s="218">
        <v>902103.35</v>
      </c>
      <c r="AQX36" s="218">
        <v>902103.35</v>
      </c>
      <c r="AQY36" s="218">
        <v>902103.35</v>
      </c>
      <c r="AQZ36" s="218">
        <f>902103.35+500000000</f>
        <v>500902103.35000002</v>
      </c>
      <c r="ARA36" s="218">
        <v>902095.35</v>
      </c>
      <c r="ARB36" s="218">
        <v>1380509.51</v>
      </c>
      <c r="ARC36" s="218">
        <v>1380242.51</v>
      </c>
      <c r="ARD36" s="218">
        <v>1678972.21</v>
      </c>
      <c r="ARE36" s="218">
        <v>1678972.21</v>
      </c>
      <c r="ARF36" s="218">
        <v>890030.13</v>
      </c>
      <c r="ARG36" s="218">
        <v>889830.13</v>
      </c>
      <c r="ARH36" s="218">
        <v>889830.13</v>
      </c>
      <c r="ARI36" s="218">
        <v>889830.13</v>
      </c>
      <c r="ARJ36" s="218">
        <v>889830.13</v>
      </c>
      <c r="ARK36" s="218">
        <v>889830.13</v>
      </c>
      <c r="ARL36" s="218">
        <v>889830.13</v>
      </c>
      <c r="ARM36" s="218">
        <v>889830.13</v>
      </c>
      <c r="ARN36" s="218">
        <v>889830.13</v>
      </c>
      <c r="ARO36" s="218">
        <v>3089830.13</v>
      </c>
      <c r="ARP36" s="218">
        <v>3089830.13</v>
      </c>
      <c r="ARQ36" s="218">
        <v>2859207.18</v>
      </c>
      <c r="ARR36" s="218">
        <v>698271.15</v>
      </c>
      <c r="ARS36" s="218">
        <v>696271.15</v>
      </c>
      <c r="ART36" s="218">
        <v>696271.15</v>
      </c>
      <c r="ARU36" s="218">
        <v>696271.15</v>
      </c>
      <c r="ARV36" s="218">
        <v>696271.15</v>
      </c>
      <c r="ARW36" s="218">
        <v>696271.15</v>
      </c>
      <c r="ARX36" s="218">
        <v>696271.15</v>
      </c>
      <c r="ARY36" s="218">
        <v>696271.15</v>
      </c>
      <c r="ARZ36" s="218">
        <v>696271.15</v>
      </c>
      <c r="ASA36" s="218">
        <v>696271.15</v>
      </c>
      <c r="ASB36" s="218">
        <v>696271.15</v>
      </c>
      <c r="ASC36" s="218">
        <v>696271.15</v>
      </c>
      <c r="ASD36" s="218">
        <v>696271.15</v>
      </c>
      <c r="ASE36" s="218">
        <v>696271.15</v>
      </c>
      <c r="ASF36" s="218">
        <v>696271.15</v>
      </c>
      <c r="ASG36" s="218">
        <v>696271.15</v>
      </c>
      <c r="ASH36" s="218">
        <v>696271.15</v>
      </c>
      <c r="ASI36" s="218">
        <v>696271.15</v>
      </c>
      <c r="ASJ36" s="218">
        <v>2820861.31</v>
      </c>
      <c r="ASK36" s="218">
        <v>2820861.31</v>
      </c>
      <c r="ASL36" s="218">
        <v>2820861.31</v>
      </c>
      <c r="ASM36" s="218">
        <v>2820861.31</v>
      </c>
      <c r="ASN36" s="218">
        <v>693371.14</v>
      </c>
      <c r="ASO36" s="218">
        <v>693371.14</v>
      </c>
      <c r="ASP36" s="218">
        <v>693363.14</v>
      </c>
      <c r="ASQ36" s="218">
        <v>693363.14</v>
      </c>
      <c r="ASR36" s="218">
        <v>693363.14</v>
      </c>
      <c r="ASS36" s="218">
        <v>693363.14</v>
      </c>
      <c r="AST36" s="218">
        <v>693363.14</v>
      </c>
      <c r="ASU36" s="218">
        <v>693363.14</v>
      </c>
      <c r="ASV36" s="218">
        <v>693363.14</v>
      </c>
      <c r="ASW36" s="218">
        <v>693363.14</v>
      </c>
      <c r="ASX36" s="218">
        <v>693363.14</v>
      </c>
      <c r="ASY36" s="218">
        <v>693363.14</v>
      </c>
      <c r="ASZ36" s="218">
        <v>693363.14</v>
      </c>
      <c r="ATA36" s="218">
        <v>693363.14</v>
      </c>
      <c r="ATB36" s="218">
        <v>692855.14</v>
      </c>
      <c r="ATC36" s="218">
        <v>692855.14</v>
      </c>
      <c r="ATD36" s="218">
        <v>692855.14</v>
      </c>
      <c r="ATE36" s="218">
        <v>692855.14</v>
      </c>
      <c r="ATF36" s="218">
        <v>692855.14</v>
      </c>
      <c r="ATG36" s="218">
        <v>692855.14</v>
      </c>
      <c r="ATH36" s="218">
        <v>692855.14</v>
      </c>
      <c r="ATI36" s="218">
        <v>2943675.14</v>
      </c>
      <c r="ATJ36" s="218">
        <v>691947.47</v>
      </c>
      <c r="ATK36" s="218">
        <v>588439.27</v>
      </c>
      <c r="ATL36" s="218">
        <v>588439.27</v>
      </c>
      <c r="ATM36" s="218">
        <v>588423.27</v>
      </c>
      <c r="ATN36" s="218">
        <v>588423.27</v>
      </c>
      <c r="ATO36" s="218">
        <v>588423.27</v>
      </c>
      <c r="ATP36" s="218">
        <v>588423.27</v>
      </c>
      <c r="ATQ36" s="218">
        <v>588423.27</v>
      </c>
      <c r="ATR36" s="218">
        <v>588423.27</v>
      </c>
      <c r="ATS36" s="218">
        <v>585923.27</v>
      </c>
      <c r="ATT36" s="218">
        <v>585923.27</v>
      </c>
      <c r="ATU36" s="218">
        <v>912144.78</v>
      </c>
      <c r="ATV36" s="218">
        <v>912144.78</v>
      </c>
      <c r="ATW36" s="218">
        <v>912144.78</v>
      </c>
      <c r="ATX36" s="218">
        <v>912144.78</v>
      </c>
      <c r="ATY36" s="218">
        <v>912144.78</v>
      </c>
      <c r="ATZ36" s="218">
        <v>912144.78</v>
      </c>
      <c r="AUA36" s="218">
        <v>912144.78</v>
      </c>
      <c r="AUB36" s="218">
        <v>2912144.78</v>
      </c>
      <c r="AUC36" s="218">
        <v>2912144.78</v>
      </c>
      <c r="AUD36" s="218">
        <v>2912144.78</v>
      </c>
      <c r="AUE36" s="218">
        <v>187038651.33000001</v>
      </c>
      <c r="AUF36" s="218">
        <f>36643.33+187000000</f>
        <v>187036643.33000001</v>
      </c>
      <c r="AUG36" s="218">
        <v>362053.99</v>
      </c>
      <c r="AUH36" s="218">
        <v>472968.67</v>
      </c>
      <c r="AUI36" s="218">
        <v>411485.26</v>
      </c>
      <c r="AUJ36" s="218">
        <v>411277.26</v>
      </c>
      <c r="AUK36" s="218">
        <v>411269.26</v>
      </c>
      <c r="AUL36" s="218">
        <v>411269.26</v>
      </c>
      <c r="AUM36" s="218">
        <v>411269.26</v>
      </c>
      <c r="AUN36" s="218">
        <v>411269.26</v>
      </c>
      <c r="AUO36" s="218">
        <v>971680.93</v>
      </c>
      <c r="AUP36" s="218">
        <v>971680.93</v>
      </c>
      <c r="AUQ36" s="218">
        <v>971680.93</v>
      </c>
      <c r="AUR36" s="218">
        <v>971680.93</v>
      </c>
      <c r="AUS36" s="218">
        <v>971680.93</v>
      </c>
      <c r="AUT36" s="218">
        <v>690033</v>
      </c>
      <c r="AUU36" s="218">
        <v>971680.93</v>
      </c>
      <c r="AUV36" s="218">
        <v>5320765.9400000004</v>
      </c>
      <c r="AUW36" s="218">
        <v>5320765.9400000004</v>
      </c>
      <c r="AUX36" s="218">
        <v>5320765.9400000004</v>
      </c>
      <c r="AUY36" s="218">
        <v>5320765.9400000004</v>
      </c>
      <c r="AUZ36" s="218">
        <v>689125.94</v>
      </c>
      <c r="AVA36" s="218">
        <v>687125.94</v>
      </c>
      <c r="AVB36" s="218">
        <v>687125.94</v>
      </c>
      <c r="AVC36" s="218">
        <v>687125.94</v>
      </c>
      <c r="AVD36" s="218">
        <v>687125.94</v>
      </c>
      <c r="AVE36" s="218">
        <v>687125.94</v>
      </c>
      <c r="AVF36" s="218">
        <v>687125.94</v>
      </c>
      <c r="AVG36" s="218">
        <v>421000.02</v>
      </c>
      <c r="AVH36" s="218">
        <v>421000.02</v>
      </c>
      <c r="AVI36" s="218">
        <v>421000.02</v>
      </c>
      <c r="AVJ36" s="218">
        <v>421000.02</v>
      </c>
      <c r="AVK36" s="218">
        <v>421000.02</v>
      </c>
      <c r="AVL36" s="218">
        <v>421000.02</v>
      </c>
      <c r="AVM36" s="218">
        <v>421000.02</v>
      </c>
      <c r="AVN36" s="218">
        <v>421000.02</v>
      </c>
      <c r="AVO36" s="218">
        <f>420992.02+5223288</f>
        <v>5644280.0199999996</v>
      </c>
      <c r="AVP36" s="218">
        <f>420992.02+5223288</f>
        <v>5644280.0199999996</v>
      </c>
      <c r="AVQ36" s="218">
        <v>420992.34</v>
      </c>
      <c r="AVR36" s="218">
        <v>418092.34</v>
      </c>
      <c r="AVS36" s="218">
        <v>418092.34</v>
      </c>
      <c r="AVT36" s="218">
        <v>418092.34</v>
      </c>
      <c r="AVU36" s="218">
        <v>418092.34</v>
      </c>
      <c r="AVV36" s="218">
        <v>418092.34</v>
      </c>
      <c r="AVW36" s="218">
        <v>418092.34</v>
      </c>
      <c r="AVX36" s="218">
        <v>418092.34</v>
      </c>
      <c r="AVY36" s="218">
        <v>418092.34</v>
      </c>
      <c r="AVZ36" s="218">
        <v>418092.34</v>
      </c>
      <c r="AWA36" s="218">
        <f>164147593.71-24999267.41</f>
        <v>139148326.30000001</v>
      </c>
      <c r="AWB36" s="218">
        <v>148133.29999999999</v>
      </c>
      <c r="AWC36" s="218">
        <f>440099259.88-300951000</f>
        <v>139148259.88</v>
      </c>
      <c r="AWD36" s="218">
        <v>4948243.88</v>
      </c>
      <c r="AWE36" s="218">
        <f>4948243.88-483000-524800</f>
        <v>3940443.88</v>
      </c>
      <c r="AWF36" s="218">
        <f>4948243.88-483000-524800-3885136.02</f>
        <v>55307.85999999987</v>
      </c>
      <c r="AWG36" s="218">
        <v>54572.86</v>
      </c>
      <c r="AWH36" s="218">
        <v>54572.86</v>
      </c>
      <c r="AWI36" s="218">
        <v>54572.86</v>
      </c>
      <c r="AWJ36" s="218">
        <f>356297038.61-228000000-100000000</f>
        <v>28297038.610000014</v>
      </c>
      <c r="AWK36" s="218">
        <f>296114.61+28000000+15150.68-4717808.22-23200000</f>
        <v>393457.0700000003</v>
      </c>
      <c r="AWL36" s="218">
        <f>23627109.35-11056593.06-12500000</f>
        <v>70516.290000000969</v>
      </c>
      <c r="AWM36" s="218">
        <v>176605.99</v>
      </c>
      <c r="AWN36" s="218">
        <f>42583361.69-7590464-34900000</f>
        <v>92897.689999997616</v>
      </c>
      <c r="AWO36" s="218">
        <f>135403353.38-40000000-400000-1606554-93000000</f>
        <v>396799.37999999523</v>
      </c>
      <c r="AWP36" s="218">
        <f>13403521.63-5895000</f>
        <v>7508521.6300000008</v>
      </c>
      <c r="AWQ36" s="218">
        <f>48595774.54-48500000</f>
        <v>95774.539999999106</v>
      </c>
      <c r="AWR36" s="218">
        <f>48595774.54-6074591.63-42000000</f>
        <v>521182.90999999642</v>
      </c>
      <c r="AWS36" s="218">
        <f>546498.06+42000000-2995322.06-39000000</f>
        <v>551176</v>
      </c>
      <c r="AWT36" s="218">
        <f>573302.03+39000000-21513477.23-18000000</f>
        <v>59824.800000000745</v>
      </c>
      <c r="AWU36" s="218">
        <f>88840756.27-50000000-38600000-34630-32090.4-29563.05-15776</f>
        <v>128696.81999999585</v>
      </c>
      <c r="AWV36" s="218">
        <f>139068113.63-6195090.85-132500000</f>
        <v>373022.78000000119</v>
      </c>
      <c r="AWW36" s="218">
        <f>82888511.4-96890.63-82500000</f>
        <v>291620.77000001073</v>
      </c>
      <c r="AWX36" s="218">
        <f>233082461.35+50000000-4866356-278200000</f>
        <v>16105.350000023842</v>
      </c>
      <c r="AWY36" s="218">
        <v>13366222.939999999</v>
      </c>
      <c r="AWZ36" s="218">
        <v>12661157.449999999</v>
      </c>
      <c r="AXA36" s="218">
        <f>12644212.459-391603.2-464000-9000000</f>
        <v>2788609.2590000015</v>
      </c>
      <c r="AXB36" s="218">
        <v>3252535.25</v>
      </c>
      <c r="AXC36" s="218">
        <v>12718231.25</v>
      </c>
      <c r="AXD36" s="218">
        <v>12718231.25</v>
      </c>
      <c r="AXE36" s="218">
        <v>12718231.25</v>
      </c>
      <c r="AXF36" s="218">
        <v>14167242.859999999</v>
      </c>
      <c r="AXG36" s="218">
        <f>14172883.08-14100000</f>
        <v>72883.080000000075</v>
      </c>
      <c r="AXH36" s="218">
        <f>14180577.93</f>
        <v>14180577.93</v>
      </c>
      <c r="AXI36" s="218">
        <f>76737170.01-9500025.41-67200000</f>
        <v>37144.600000008941</v>
      </c>
      <c r="AXJ36" s="218">
        <f>27423461.24-27400000</f>
        <v>23461.239999998361</v>
      </c>
      <c r="AXK36" s="218">
        <f>34064072.32-31000000-2958175.18</f>
        <v>105897.14000000013</v>
      </c>
      <c r="AXL36" s="218">
        <f>31165730.78-31000000</f>
        <v>165730.78000000119</v>
      </c>
      <c r="AXM36" s="218">
        <v>65722.78</v>
      </c>
      <c r="AXN36" s="218">
        <f>31199316.83-3650000-27000000</f>
        <v>549316.82999999821</v>
      </c>
      <c r="AXO36" s="218">
        <f>549271.83+27000000-2076148.95-25300000</f>
        <v>173122.87999999896</v>
      </c>
      <c r="AXP36" s="218">
        <f>25527868.65-13584624.47</f>
        <v>11943244.179999998</v>
      </c>
      <c r="AXQ36" s="218">
        <f>11941900.18-412698-281052-121340-115259.77</f>
        <v>11011550.41</v>
      </c>
      <c r="AXR36" s="218">
        <f>11126699.18-1477048.42</f>
        <v>9649650.7599999998</v>
      </c>
      <c r="AXS36" s="218">
        <f>9534020.99-2480746.23</f>
        <v>7053274.7599999998</v>
      </c>
      <c r="AXT36" s="218">
        <f>7052682.76-4983498.49</f>
        <v>2069184.2699999996</v>
      </c>
      <c r="AXU36" s="218">
        <v>303605.55</v>
      </c>
      <c r="AXV36" s="218">
        <v>303605.55</v>
      </c>
      <c r="AXW36" s="218">
        <v>303605.55</v>
      </c>
      <c r="AXX36" s="218">
        <v>303605.55</v>
      </c>
      <c r="AXY36" s="218">
        <v>303605.55</v>
      </c>
      <c r="AXZ36" s="218">
        <v>303605.55</v>
      </c>
      <c r="AYA36" s="218">
        <v>3303605.55</v>
      </c>
      <c r="AYB36" s="218">
        <v>4040513.76</v>
      </c>
      <c r="AYC36" s="218">
        <v>4040513.76</v>
      </c>
      <c r="AYD36" s="218">
        <v>1955410.64</v>
      </c>
      <c r="AYE36" s="218">
        <v>1955410.64</v>
      </c>
      <c r="AYF36" s="218">
        <v>1955410.64</v>
      </c>
      <c r="AYG36" s="218">
        <v>1955410.64</v>
      </c>
      <c r="AYH36" s="218">
        <v>1955410.64</v>
      </c>
      <c r="AYI36" s="218">
        <v>1955402.64</v>
      </c>
      <c r="AYJ36" s="218">
        <v>1955402.64</v>
      </c>
      <c r="AYK36" s="218">
        <v>1955402.64</v>
      </c>
      <c r="AYL36" s="218">
        <v>1955402.64</v>
      </c>
      <c r="AYM36" s="218">
        <v>1955402.64</v>
      </c>
      <c r="AYN36" s="218">
        <v>1955402.64</v>
      </c>
      <c r="AYO36" s="218">
        <v>1955402.64</v>
      </c>
      <c r="AYP36" s="218">
        <f>1955402.64+20000000</f>
        <v>21955402.640000001</v>
      </c>
      <c r="AYQ36" s="218">
        <f>1955402.64+20000000-135187.5</f>
        <v>21820215.140000001</v>
      </c>
      <c r="AYR36" s="218">
        <f>1955402.64+20000000-135187.5+15000000-1250441.66</f>
        <v>35569773.480000004</v>
      </c>
      <c r="AYS36" s="218">
        <v>33457839.839999996</v>
      </c>
      <c r="AYT36" s="218">
        <f>28542752.6-20000000</f>
        <v>8542752.6000000015</v>
      </c>
      <c r="AYU36" s="218">
        <v>20786031.219999999</v>
      </c>
      <c r="AYV36" s="218">
        <f>6142479.69-3982786.75</f>
        <v>2159692.9400000004</v>
      </c>
      <c r="AYW36" s="218">
        <v>338297.29999999981</v>
      </c>
      <c r="AYX36" s="218">
        <v>337701.3</v>
      </c>
      <c r="AYY36" s="218">
        <v>320358.59000000003</v>
      </c>
      <c r="AYZ36" s="218">
        <v>320358.59000000003</v>
      </c>
      <c r="AZA36" s="218">
        <v>320358.59000000003</v>
      </c>
      <c r="AZB36" s="218">
        <v>320358.59000000003</v>
      </c>
      <c r="AZC36" s="218">
        <v>320358.59000000003</v>
      </c>
      <c r="AZD36" s="218">
        <v>320358.59000000003</v>
      </c>
      <c r="AZE36" s="218">
        <v>320358.59000000003</v>
      </c>
      <c r="AZF36" s="218">
        <v>320358.59000000003</v>
      </c>
      <c r="AZG36" s="218">
        <v>320358.59000000003</v>
      </c>
      <c r="AZH36" s="218">
        <v>320358.59000000003</v>
      </c>
      <c r="AZI36" s="218">
        <v>320358.59000000003</v>
      </c>
      <c r="AZJ36" s="218">
        <f>320358.59+5991780.82</f>
        <v>6312139.4100000001</v>
      </c>
      <c r="AZK36" s="218">
        <v>7819810.6399999997</v>
      </c>
      <c r="AZL36" s="218">
        <v>7819810.6399999997</v>
      </c>
      <c r="AZM36" s="218">
        <v>1827121.82</v>
      </c>
      <c r="AZN36" s="218">
        <v>1825121.82</v>
      </c>
      <c r="AZO36" s="218">
        <v>1825121.82</v>
      </c>
      <c r="AZP36" s="218">
        <v>1825121.82</v>
      </c>
      <c r="AZQ36" s="218">
        <v>1825121.82</v>
      </c>
      <c r="AZR36" s="218">
        <v>1825121.82</v>
      </c>
      <c r="AZS36" s="218">
        <v>1825121.82</v>
      </c>
      <c r="AZT36" s="218">
        <v>1825121.82</v>
      </c>
      <c r="AZU36" s="218">
        <v>1825121.82</v>
      </c>
      <c r="AZV36" s="218">
        <v>1825121.82</v>
      </c>
      <c r="AZW36" s="218">
        <v>1825121.82</v>
      </c>
      <c r="AZX36" s="218">
        <v>1825121.82</v>
      </c>
      <c r="AZY36" s="218">
        <v>1825121.82</v>
      </c>
      <c r="AZZ36" s="218">
        <v>1825121.82</v>
      </c>
      <c r="BAA36" s="218">
        <v>1825121.82</v>
      </c>
      <c r="BAB36" s="218">
        <v>1825121.82</v>
      </c>
      <c r="BAC36" s="218">
        <v>1825121.82</v>
      </c>
      <c r="BAD36" s="218">
        <v>1825121.82</v>
      </c>
      <c r="BAE36" s="218">
        <v>1825121.82</v>
      </c>
      <c r="BAF36" s="218">
        <f>235378736.89-235000000</f>
        <v>378736.88999998569</v>
      </c>
      <c r="BAG36" s="218">
        <f>235378736.89-235000000</f>
        <v>378736.88999998569</v>
      </c>
      <c r="BAH36" s="218">
        <f>378536.89+6065753.42</f>
        <v>6444290.3099999996</v>
      </c>
      <c r="BAI36" s="218">
        <f>378536.89+6065753.42</f>
        <v>6444290.3099999996</v>
      </c>
      <c r="BAJ36" s="218">
        <v>377436.87</v>
      </c>
      <c r="BAK36" s="218">
        <v>375436.87</v>
      </c>
      <c r="BAL36" s="218">
        <v>375436.87</v>
      </c>
      <c r="BAM36" s="218">
        <v>375436.87</v>
      </c>
      <c r="BAN36" s="218">
        <v>375436.87</v>
      </c>
      <c r="BAO36" s="218">
        <v>375436.87</v>
      </c>
      <c r="BAP36" s="218">
        <v>375436.87</v>
      </c>
      <c r="BAQ36" s="218">
        <v>375436.87</v>
      </c>
    </row>
    <row r="37" spans="1:1395" s="218" customFormat="1" ht="15" customHeight="1" x14ac:dyDescent="0.2">
      <c r="A37" s="483"/>
      <c r="B37" s="311" t="s">
        <v>190</v>
      </c>
      <c r="KB37" s="218" t="s">
        <v>167</v>
      </c>
      <c r="RE37" s="300"/>
      <c r="RF37" s="300"/>
      <c r="RG37" s="300"/>
      <c r="RH37" s="300"/>
      <c r="RI37" s="300"/>
      <c r="RJ37" s="300"/>
      <c r="RM37" s="218">
        <v>18642</v>
      </c>
      <c r="RN37" s="218">
        <v>18594</v>
      </c>
      <c r="RO37" s="218">
        <v>18576</v>
      </c>
      <c r="RP37" s="218">
        <v>1018552</v>
      </c>
      <c r="RQ37" s="218">
        <v>635501.26</v>
      </c>
      <c r="RR37" s="300">
        <v>635495.26</v>
      </c>
      <c r="RS37" s="300">
        <v>635477.26</v>
      </c>
      <c r="RT37" s="300">
        <v>633459.26</v>
      </c>
      <c r="RU37" s="218">
        <v>320194.76</v>
      </c>
      <c r="RV37" s="218">
        <v>320194.76</v>
      </c>
      <c r="RW37" s="218">
        <v>199131.98</v>
      </c>
      <c r="RX37" s="218">
        <v>199131.98</v>
      </c>
      <c r="RY37" s="218">
        <v>197403.18</v>
      </c>
      <c r="RZ37" s="218">
        <v>197403.18</v>
      </c>
      <c r="SA37" s="218">
        <v>197397.18</v>
      </c>
      <c r="SB37" s="218">
        <v>1297397.18</v>
      </c>
      <c r="SC37" s="218">
        <v>1373194.13</v>
      </c>
      <c r="SD37" s="218">
        <v>264937.28000000003</v>
      </c>
      <c r="SE37" s="218">
        <v>1960566.28</v>
      </c>
      <c r="SF37" s="218">
        <v>1276984.6000000001</v>
      </c>
      <c r="SG37" s="218">
        <v>1351821.92</v>
      </c>
      <c r="SH37" s="218">
        <v>35810.160000000003</v>
      </c>
      <c r="SI37" s="218">
        <v>35810.160000000003</v>
      </c>
      <c r="SJ37" s="218">
        <v>57316869.57</v>
      </c>
      <c r="SK37" s="218">
        <v>452828.72</v>
      </c>
      <c r="SL37" s="218">
        <v>108768.41</v>
      </c>
      <c r="SM37" s="218">
        <v>108768.41</v>
      </c>
      <c r="SN37" s="218">
        <v>2152773.37</v>
      </c>
      <c r="SO37" s="218">
        <v>1983257.81</v>
      </c>
      <c r="SP37" s="218">
        <v>910577.01</v>
      </c>
      <c r="SQ37" s="218">
        <v>923851.83</v>
      </c>
      <c r="SR37" s="218">
        <v>815848.02</v>
      </c>
      <c r="SS37" s="218">
        <v>1415848.02</v>
      </c>
      <c r="ST37" s="218">
        <v>306541.15000000002</v>
      </c>
      <c r="SU37" s="218">
        <v>306541.15000000002</v>
      </c>
      <c r="SV37" s="218">
        <v>306541.15000000002</v>
      </c>
      <c r="SW37" s="218">
        <v>306541.15000000002</v>
      </c>
      <c r="SX37" s="218">
        <v>1195047.81</v>
      </c>
      <c r="SY37" s="218">
        <v>1291673.3400000001</v>
      </c>
      <c r="SZ37" s="218">
        <v>1291673.3400000001</v>
      </c>
      <c r="TA37" s="218">
        <v>1258957.23</v>
      </c>
      <c r="TB37" s="218">
        <v>674386.17</v>
      </c>
      <c r="TC37" s="218">
        <v>462599.5</v>
      </c>
      <c r="TD37" s="218">
        <v>462593.5</v>
      </c>
      <c r="TE37" s="218">
        <v>462453.5</v>
      </c>
      <c r="TF37" s="218">
        <v>461903.5</v>
      </c>
      <c r="TG37" s="218">
        <v>672172.66</v>
      </c>
      <c r="TH37" s="218">
        <v>522243.46</v>
      </c>
      <c r="TI37" s="218">
        <v>522243.46</v>
      </c>
      <c r="TJ37" s="218">
        <v>502998.46</v>
      </c>
      <c r="TK37" s="218">
        <v>1465358.26</v>
      </c>
      <c r="TL37" s="218">
        <v>116924.6</v>
      </c>
      <c r="TM37" s="218">
        <v>3748443.6</v>
      </c>
      <c r="TN37" s="218">
        <v>3384188.6</v>
      </c>
      <c r="TO37" s="218">
        <v>3384188.6</v>
      </c>
      <c r="TP37" s="218">
        <v>201964859.28</v>
      </c>
      <c r="TQ37" s="218">
        <v>50962853.280000001</v>
      </c>
      <c r="TR37" s="218">
        <v>1583553.57</v>
      </c>
      <c r="TS37" s="218">
        <v>6204487.4100000001</v>
      </c>
      <c r="UO37" s="218">
        <v>30000</v>
      </c>
      <c r="UP37" s="218">
        <v>30000</v>
      </c>
      <c r="UQ37" s="218">
        <v>14000</v>
      </c>
      <c r="UR37" s="218">
        <v>14000</v>
      </c>
      <c r="US37" s="218">
        <v>14000</v>
      </c>
      <c r="UT37" s="218">
        <v>14000</v>
      </c>
      <c r="UU37" s="218">
        <v>14000</v>
      </c>
      <c r="UV37" s="218">
        <v>14000</v>
      </c>
      <c r="UW37" s="218">
        <v>14000</v>
      </c>
      <c r="UX37" s="218">
        <v>14000</v>
      </c>
      <c r="UY37" s="218">
        <v>14000</v>
      </c>
      <c r="UZ37" s="218">
        <v>14000</v>
      </c>
      <c r="VA37" s="218">
        <v>14000</v>
      </c>
      <c r="VB37" s="218">
        <v>14000</v>
      </c>
      <c r="VC37" s="218">
        <v>14000</v>
      </c>
      <c r="VD37" s="218">
        <v>14000</v>
      </c>
      <c r="VE37" s="218">
        <v>14000</v>
      </c>
      <c r="VF37" s="218">
        <v>13500</v>
      </c>
      <c r="VG37" s="218">
        <v>13500</v>
      </c>
      <c r="VH37" s="218">
        <v>13500</v>
      </c>
      <c r="VI37" s="218">
        <v>13500</v>
      </c>
      <c r="VJ37" s="218">
        <v>13500</v>
      </c>
      <c r="VK37" s="218">
        <v>13500</v>
      </c>
      <c r="VL37" s="218">
        <v>13500</v>
      </c>
      <c r="VM37" s="218">
        <v>13500</v>
      </c>
      <c r="VN37" s="218">
        <v>13500</v>
      </c>
      <c r="VO37" s="218">
        <v>13500</v>
      </c>
      <c r="VP37" s="218">
        <v>13500</v>
      </c>
      <c r="VQ37" s="218">
        <v>13500</v>
      </c>
      <c r="VR37" s="218">
        <v>13500</v>
      </c>
      <c r="VS37" s="218">
        <v>13500</v>
      </c>
      <c r="VT37" s="218">
        <v>13500</v>
      </c>
      <c r="VU37" s="218">
        <v>13500</v>
      </c>
      <c r="VV37" s="218">
        <v>13500</v>
      </c>
      <c r="VW37" s="218">
        <v>13500</v>
      </c>
      <c r="VX37" s="218">
        <v>13500</v>
      </c>
      <c r="VY37" s="218">
        <v>13500</v>
      </c>
      <c r="VZ37" s="218">
        <v>13500</v>
      </c>
      <c r="WA37" s="218">
        <v>13500</v>
      </c>
      <c r="WB37" s="218">
        <v>13500</v>
      </c>
      <c r="WC37" s="218">
        <v>13500</v>
      </c>
      <c r="WD37" s="218">
        <v>13500</v>
      </c>
      <c r="WE37" s="218">
        <v>13000</v>
      </c>
      <c r="WF37" s="218">
        <v>13000</v>
      </c>
      <c r="WG37" s="218">
        <v>13000</v>
      </c>
      <c r="WH37" s="218">
        <v>13000</v>
      </c>
      <c r="WI37" s="218">
        <v>13000</v>
      </c>
      <c r="WJ37" s="218">
        <v>13000</v>
      </c>
      <c r="WK37" s="218">
        <v>13000</v>
      </c>
      <c r="WL37" s="218">
        <v>13000</v>
      </c>
      <c r="WM37" s="218">
        <v>13000</v>
      </c>
      <c r="WN37" s="218">
        <v>13000</v>
      </c>
      <c r="WO37" s="218">
        <v>13000</v>
      </c>
      <c r="WP37" s="218">
        <v>13000</v>
      </c>
      <c r="WQ37" s="218">
        <v>13000</v>
      </c>
      <c r="WR37" s="218">
        <v>13000</v>
      </c>
      <c r="WS37" s="218">
        <v>13000</v>
      </c>
      <c r="WT37" s="218">
        <v>13000</v>
      </c>
      <c r="WU37" s="218">
        <v>13000</v>
      </c>
      <c r="WV37" s="218">
        <v>13000</v>
      </c>
      <c r="WW37" s="218">
        <v>13000</v>
      </c>
      <c r="WX37" s="218">
        <v>13000</v>
      </c>
      <c r="WY37" s="218">
        <v>13000</v>
      </c>
      <c r="WZ37" s="218">
        <v>13000</v>
      </c>
      <c r="XA37" s="218">
        <v>13000</v>
      </c>
      <c r="XB37" s="218">
        <v>13000</v>
      </c>
      <c r="XC37" s="218">
        <v>13000</v>
      </c>
      <c r="XD37" s="218">
        <v>13000</v>
      </c>
      <c r="XE37" s="218">
        <v>13000</v>
      </c>
      <c r="XF37" s="218">
        <v>13000</v>
      </c>
      <c r="XG37" s="218">
        <v>13000</v>
      </c>
      <c r="XH37" s="218">
        <v>13000</v>
      </c>
      <c r="XI37" s="218">
        <v>13000</v>
      </c>
      <c r="XJ37" s="218">
        <v>13000</v>
      </c>
      <c r="XK37" s="218">
        <v>13000</v>
      </c>
      <c r="XL37" s="218">
        <v>13000</v>
      </c>
      <c r="XM37" s="218">
        <v>13000</v>
      </c>
      <c r="XN37" s="218">
        <v>13000</v>
      </c>
      <c r="XO37" s="218">
        <v>13000</v>
      </c>
      <c r="XP37" s="218">
        <v>13000</v>
      </c>
      <c r="XQ37" s="218">
        <v>13000</v>
      </c>
      <c r="XR37" s="218">
        <v>13000</v>
      </c>
      <c r="XS37" s="218">
        <v>13000</v>
      </c>
      <c r="XT37" s="218">
        <v>13000</v>
      </c>
      <c r="XU37" s="218">
        <v>13000</v>
      </c>
      <c r="XV37" s="218">
        <v>13000</v>
      </c>
      <c r="XW37" s="218">
        <v>13000</v>
      </c>
      <c r="XX37" s="218">
        <v>12500</v>
      </c>
      <c r="XY37" s="218">
        <v>12500</v>
      </c>
      <c r="XZ37" s="218">
        <v>12500</v>
      </c>
      <c r="YA37" s="218">
        <v>12500</v>
      </c>
      <c r="YB37" s="218">
        <v>12500</v>
      </c>
      <c r="YC37" s="218">
        <v>12500</v>
      </c>
      <c r="YD37" s="218">
        <v>25012500</v>
      </c>
      <c r="YE37" s="218">
        <v>1362441.44</v>
      </c>
      <c r="YF37" s="218">
        <v>1362441.44</v>
      </c>
      <c r="YG37" s="218">
        <v>162441.44</v>
      </c>
      <c r="YH37" s="218">
        <v>162441.44</v>
      </c>
      <c r="YI37" s="218">
        <v>162441.44</v>
      </c>
      <c r="YJ37" s="218">
        <v>162441.44</v>
      </c>
      <c r="YK37" s="218">
        <v>121886.42</v>
      </c>
      <c r="YL37" s="218">
        <v>121886.42</v>
      </c>
      <c r="YM37" s="218">
        <v>121886.42</v>
      </c>
      <c r="YN37" s="218">
        <v>121886.42</v>
      </c>
      <c r="YO37" s="218">
        <v>121886.42</v>
      </c>
      <c r="YP37" s="218">
        <v>121886.42</v>
      </c>
      <c r="YQ37" s="218">
        <v>121886.42</v>
      </c>
      <c r="YR37" s="218">
        <v>121886.42</v>
      </c>
      <c r="YS37" s="218">
        <v>121886.42</v>
      </c>
      <c r="YT37" s="218">
        <v>121886.42</v>
      </c>
      <c r="YU37" s="218">
        <v>121886.42</v>
      </c>
      <c r="YV37" s="218">
        <v>121886.42</v>
      </c>
      <c r="YW37" s="218">
        <v>121886.42</v>
      </c>
      <c r="YX37" s="431">
        <v>121886.42</v>
      </c>
      <c r="YY37" s="431">
        <v>121886.42</v>
      </c>
      <c r="YZ37" s="431">
        <v>121886.42</v>
      </c>
      <c r="ZA37" s="431">
        <v>121886.42</v>
      </c>
      <c r="ZB37" s="431">
        <v>121886.42</v>
      </c>
      <c r="ZC37" s="218">
        <v>121886.42</v>
      </c>
      <c r="ZD37" s="218">
        <v>121886.42</v>
      </c>
      <c r="ZE37" s="218">
        <v>121886.42</v>
      </c>
      <c r="ZF37" s="218">
        <v>121886.42</v>
      </c>
      <c r="ZG37" s="218">
        <v>121886.42</v>
      </c>
      <c r="ZH37" s="218">
        <v>121886.42</v>
      </c>
      <c r="ZI37" s="218">
        <v>121886.42</v>
      </c>
      <c r="ZJ37" s="218">
        <v>121886.42</v>
      </c>
      <c r="ZK37" s="218">
        <v>121886.42</v>
      </c>
      <c r="ZL37" s="218">
        <v>121886.42</v>
      </c>
      <c r="ZM37" s="218">
        <v>121886.42</v>
      </c>
      <c r="ZN37" s="218">
        <v>121886.42</v>
      </c>
      <c r="ZO37" s="218">
        <v>121886.42</v>
      </c>
      <c r="ZP37" s="218">
        <v>121886.42</v>
      </c>
      <c r="ZQ37" s="218">
        <v>121886.42</v>
      </c>
      <c r="ZR37" s="218">
        <v>121886.42</v>
      </c>
      <c r="ZS37" s="218">
        <v>121886.42</v>
      </c>
      <c r="ZT37" s="218">
        <v>121886.42</v>
      </c>
      <c r="ZU37" s="218">
        <v>121886.42</v>
      </c>
      <c r="ZV37" s="218">
        <v>121886.42</v>
      </c>
      <c r="ZW37" s="218">
        <v>121886.42</v>
      </c>
      <c r="ZX37" s="218">
        <v>121886.42</v>
      </c>
      <c r="ZY37" s="218">
        <v>121886.42</v>
      </c>
      <c r="ZZ37" s="218">
        <v>121886.42</v>
      </c>
      <c r="AAA37" s="218">
        <v>121886.42</v>
      </c>
      <c r="AAB37" s="218">
        <v>121886.42</v>
      </c>
      <c r="AAC37" s="218">
        <v>121886.42</v>
      </c>
      <c r="AAD37" s="218">
        <v>121886.42</v>
      </c>
      <c r="AAE37" s="218">
        <v>121886.42</v>
      </c>
      <c r="AAF37" s="218">
        <v>121886.42</v>
      </c>
      <c r="AAG37" s="218">
        <v>121886.42</v>
      </c>
      <c r="AAH37" s="218">
        <v>121886.42</v>
      </c>
      <c r="AAI37" s="218">
        <v>121886.42</v>
      </c>
      <c r="AAJ37" s="218">
        <v>121886.42</v>
      </c>
      <c r="AAK37" s="218">
        <v>121886.42</v>
      </c>
      <c r="AAL37" s="218">
        <v>121886.42</v>
      </c>
      <c r="AAM37" s="218">
        <v>121886.42</v>
      </c>
      <c r="AAN37" s="218">
        <v>121886.42</v>
      </c>
      <c r="AAO37" s="218">
        <v>121886.42</v>
      </c>
      <c r="AAP37" s="218">
        <v>121886.42</v>
      </c>
      <c r="AAQ37" s="218">
        <v>121886.42</v>
      </c>
      <c r="AAR37" s="218">
        <v>121886.42</v>
      </c>
      <c r="AAS37" s="218">
        <v>121886.42</v>
      </c>
      <c r="AAT37" s="218">
        <v>121886.42</v>
      </c>
      <c r="AAU37" s="218">
        <v>121886.42</v>
      </c>
      <c r="AAV37" s="218">
        <v>121886.42</v>
      </c>
      <c r="AAW37" s="218">
        <v>121886.42</v>
      </c>
      <c r="AAX37" s="218">
        <v>121886.42</v>
      </c>
      <c r="AAY37" s="218">
        <v>121886.42</v>
      </c>
      <c r="AAZ37" s="218">
        <v>121886.42</v>
      </c>
      <c r="ABA37" s="218">
        <v>121886.42</v>
      </c>
      <c r="ABB37" s="218">
        <v>121886.42</v>
      </c>
      <c r="ABC37" s="218">
        <v>121886.42</v>
      </c>
      <c r="ABD37" s="218">
        <v>121886.42</v>
      </c>
      <c r="ABE37" s="436">
        <v>121886.42</v>
      </c>
      <c r="ABF37" s="436">
        <v>121886.42</v>
      </c>
      <c r="ABG37" s="436">
        <v>121886.42</v>
      </c>
      <c r="ABH37" s="436">
        <v>121386.42</v>
      </c>
      <c r="ABI37" s="437">
        <v>121386.42</v>
      </c>
      <c r="ABJ37" s="437">
        <v>121386.42</v>
      </c>
      <c r="ABK37" s="218">
        <v>121386.42</v>
      </c>
      <c r="ABL37" s="218">
        <v>121386.42</v>
      </c>
      <c r="ABM37" s="218">
        <v>121386.42</v>
      </c>
      <c r="ABN37" s="218">
        <v>121386.42</v>
      </c>
      <c r="ABO37" s="218">
        <v>121386.42</v>
      </c>
      <c r="ABP37" s="218">
        <v>121386.42</v>
      </c>
      <c r="ABQ37" s="218">
        <v>121386.42</v>
      </c>
      <c r="ABR37" s="218">
        <v>121386.42</v>
      </c>
      <c r="ABS37" s="218">
        <v>121386.42</v>
      </c>
      <c r="ABT37" s="218">
        <v>121386.42</v>
      </c>
      <c r="ABU37" s="218">
        <v>121386.42</v>
      </c>
      <c r="ABV37" s="218">
        <v>121386.42</v>
      </c>
      <c r="ABW37" s="218">
        <v>121386.42</v>
      </c>
      <c r="ABX37" s="218">
        <v>121386.42</v>
      </c>
      <c r="ABY37" s="218">
        <v>121386.42</v>
      </c>
      <c r="ABZ37" s="218">
        <v>1621386.42</v>
      </c>
      <c r="ACA37" s="218">
        <v>325898.42</v>
      </c>
      <c r="ACB37" s="218">
        <v>325898.42</v>
      </c>
      <c r="ACC37" s="218">
        <v>325898.42</v>
      </c>
      <c r="ACD37" s="218">
        <v>325898.42</v>
      </c>
      <c r="ACE37" s="278">
        <v>325898.42</v>
      </c>
      <c r="ACF37" s="218">
        <v>325898.42</v>
      </c>
      <c r="ACG37" s="218">
        <v>325898.42</v>
      </c>
      <c r="ACH37" s="218">
        <v>325898.42</v>
      </c>
      <c r="ACI37" s="218">
        <v>325898.42</v>
      </c>
      <c r="ACJ37" s="218">
        <v>325898.42</v>
      </c>
      <c r="ACK37" s="218">
        <v>325898.42</v>
      </c>
      <c r="ACL37" s="218">
        <v>325898.42</v>
      </c>
      <c r="ACM37" s="218">
        <v>325898.42</v>
      </c>
      <c r="ACN37" s="218">
        <v>325898.42</v>
      </c>
      <c r="ACO37" s="218">
        <v>325898.42</v>
      </c>
      <c r="ACP37" s="218">
        <v>325898.42</v>
      </c>
      <c r="ACQ37" s="218">
        <v>325898.42</v>
      </c>
      <c r="ACR37" s="218">
        <v>325898.42</v>
      </c>
      <c r="ACS37" s="218">
        <v>325898.42</v>
      </c>
      <c r="ACT37" s="218">
        <v>325898.42</v>
      </c>
      <c r="ACU37" s="218">
        <v>325898.42</v>
      </c>
      <c r="ACV37" s="218">
        <v>325898.42</v>
      </c>
      <c r="ACW37" s="218">
        <v>325898.42</v>
      </c>
      <c r="ACX37" s="218">
        <v>325898.42</v>
      </c>
      <c r="ACY37" s="218">
        <v>325898.42</v>
      </c>
      <c r="ACZ37" s="218">
        <v>325898.42</v>
      </c>
      <c r="ADA37" s="218">
        <v>325898.42</v>
      </c>
      <c r="ADB37" s="448">
        <v>325898.42</v>
      </c>
      <c r="ADC37" s="218">
        <v>325898.42</v>
      </c>
      <c r="ADD37" s="218">
        <v>325898.42</v>
      </c>
      <c r="ADE37" s="218">
        <v>325898.42</v>
      </c>
      <c r="ADF37" s="218">
        <v>325898.42</v>
      </c>
      <c r="ADG37" s="218">
        <v>325898.42</v>
      </c>
      <c r="ADH37" s="218">
        <v>325898.42</v>
      </c>
      <c r="ADI37" s="218">
        <v>325898.42</v>
      </c>
      <c r="ADJ37" s="218">
        <v>325898.42</v>
      </c>
      <c r="ADK37" s="218">
        <v>325898.42</v>
      </c>
      <c r="ADL37" s="218">
        <v>325898.42</v>
      </c>
      <c r="ADM37" s="218">
        <v>325898.42</v>
      </c>
      <c r="ADN37" s="218">
        <v>325898.42</v>
      </c>
      <c r="ADO37" s="218">
        <v>325898.42</v>
      </c>
      <c r="ADP37" s="218">
        <v>325898.42</v>
      </c>
      <c r="ADQ37" s="218">
        <v>325898.42</v>
      </c>
      <c r="ADR37" s="218">
        <v>325898.42</v>
      </c>
      <c r="ADS37" s="218">
        <v>325898.42</v>
      </c>
      <c r="ADT37" s="218">
        <v>325898.42</v>
      </c>
      <c r="ADU37" s="218">
        <v>325898.42</v>
      </c>
      <c r="ADV37" s="218">
        <v>325898.42</v>
      </c>
      <c r="ADW37" s="218">
        <v>325898.42</v>
      </c>
      <c r="ADX37" s="218">
        <v>325898.42</v>
      </c>
      <c r="ADY37" s="218">
        <v>325898.42</v>
      </c>
      <c r="ADZ37" s="218">
        <v>325898.42</v>
      </c>
      <c r="AEA37" s="218">
        <v>325898.42</v>
      </c>
      <c r="AEB37" s="218">
        <v>325898.42</v>
      </c>
      <c r="AEC37" s="218">
        <v>325898.42</v>
      </c>
      <c r="AED37" s="218">
        <v>325898.42</v>
      </c>
      <c r="AEE37" s="218">
        <v>316533.40000000002</v>
      </c>
      <c r="AEF37" s="218">
        <v>316533.40000000002</v>
      </c>
      <c r="AEG37" s="218">
        <v>316533.40000000002</v>
      </c>
      <c r="AEH37" s="218">
        <v>316533.40000000002</v>
      </c>
      <c r="AEI37" s="218">
        <v>316533.40000000002</v>
      </c>
      <c r="AEJ37" s="218">
        <v>316533.40000000002</v>
      </c>
      <c r="AEK37" s="218">
        <v>316533.40000000002</v>
      </c>
      <c r="AEL37" s="218">
        <v>316533.40000000002</v>
      </c>
      <c r="AEM37" s="218">
        <v>316533.40000000002</v>
      </c>
      <c r="AEN37" s="218">
        <v>316533.40000000002</v>
      </c>
      <c r="AEO37" s="218">
        <v>316533.40000000002</v>
      </c>
      <c r="AEP37" s="218">
        <v>316533.40000000002</v>
      </c>
      <c r="AEQ37" s="218">
        <v>316533.40000000002</v>
      </c>
      <c r="AER37" s="218">
        <v>316533.40000000002</v>
      </c>
      <c r="AES37" s="218">
        <v>316533.40000000002</v>
      </c>
      <c r="AET37" s="218">
        <v>316533.40000000002</v>
      </c>
      <c r="AEU37" s="218">
        <v>316533.40000000002</v>
      </c>
      <c r="AEV37" s="218">
        <v>316533.40000000002</v>
      </c>
      <c r="AEW37" s="218">
        <v>316533.40000000002</v>
      </c>
      <c r="AEX37" s="218">
        <v>316533.40000000002</v>
      </c>
      <c r="AEY37" s="218">
        <v>316533.40000000002</v>
      </c>
      <c r="AEZ37" s="218">
        <v>316533.40000000002</v>
      </c>
      <c r="AFA37" s="218">
        <v>316533.40000000002</v>
      </c>
      <c r="AFB37" s="218">
        <v>316533.40000000002</v>
      </c>
      <c r="AFC37" s="218">
        <v>316533.40000000002</v>
      </c>
      <c r="AFD37" s="218">
        <v>316533.40000000002</v>
      </c>
      <c r="AFE37" s="218">
        <v>316533.40000000002</v>
      </c>
      <c r="AFF37" s="218">
        <v>316533.40000000002</v>
      </c>
      <c r="AFG37" s="218">
        <v>316533.40000000002</v>
      </c>
      <c r="AFH37" s="218">
        <v>316533.40000000002</v>
      </c>
      <c r="AFI37" s="218">
        <v>316533.40000000002</v>
      </c>
      <c r="AFJ37" s="218">
        <v>316533.40000000002</v>
      </c>
      <c r="AFK37" s="218">
        <v>316533.40000000002</v>
      </c>
      <c r="AFL37" s="218">
        <v>316533.40000000002</v>
      </c>
      <c r="AFM37" s="218">
        <v>316533.40000000002</v>
      </c>
      <c r="AFN37" s="218">
        <v>316533.40000000002</v>
      </c>
      <c r="AFO37" s="218">
        <v>316533.40000000002</v>
      </c>
      <c r="AFP37" s="218">
        <v>316533.40000000002</v>
      </c>
      <c r="AFQ37" s="218">
        <v>316533.40000000002</v>
      </c>
      <c r="AFR37" s="218">
        <v>316533.40000000002</v>
      </c>
      <c r="AFS37" s="218">
        <v>316533.40000000002</v>
      </c>
      <c r="AFT37" s="218">
        <v>316533.40000000002</v>
      </c>
      <c r="AFU37" s="218">
        <v>316533.40000000002</v>
      </c>
      <c r="AFV37" s="218">
        <v>316533.40000000002</v>
      </c>
      <c r="AFW37" s="218">
        <v>316533.40000000002</v>
      </c>
      <c r="AFX37" s="218">
        <v>316533.40000000002</v>
      </c>
      <c r="AFY37" s="218">
        <v>316533.40000000002</v>
      </c>
      <c r="AFZ37" s="218">
        <v>316533.40000000002</v>
      </c>
      <c r="AGA37" s="218">
        <v>316533.40000000002</v>
      </c>
      <c r="AGB37" s="218">
        <v>316533.40000000002</v>
      </c>
      <c r="AGC37" s="218">
        <v>316533.40000000002</v>
      </c>
      <c r="AGD37" s="218">
        <v>316533.40000000002</v>
      </c>
      <c r="AGE37" s="218">
        <v>316533.40000000002</v>
      </c>
      <c r="AGF37" s="218">
        <v>316533.40000000002</v>
      </c>
      <c r="AGG37" s="218">
        <v>316533.40000000002</v>
      </c>
      <c r="AGH37" s="218">
        <v>316533.40000000002</v>
      </c>
      <c r="AGI37" s="218">
        <v>316533.40000000002</v>
      </c>
      <c r="AGJ37" s="218">
        <v>316533.40000000002</v>
      </c>
      <c r="AGK37" s="218">
        <v>316533.40000000002</v>
      </c>
      <c r="AGL37" s="218">
        <v>316533.40000000002</v>
      </c>
      <c r="AGM37" s="218">
        <v>316533.40000000002</v>
      </c>
      <c r="AGN37" s="218">
        <v>315733.40000000002</v>
      </c>
      <c r="AGO37" s="218">
        <v>315733.40000000002</v>
      </c>
      <c r="AGP37" s="218">
        <v>315733.40000000002</v>
      </c>
      <c r="AGQ37" s="218">
        <v>315733.40000000002</v>
      </c>
      <c r="AGR37" s="218">
        <v>315733.40000000002</v>
      </c>
      <c r="AGS37" s="218">
        <v>315733.40000000002</v>
      </c>
      <c r="AGT37" s="218">
        <v>315733.40000000002</v>
      </c>
      <c r="AGU37" s="218">
        <v>315733.40000000002</v>
      </c>
      <c r="AGV37" s="218">
        <v>315733.40000000002</v>
      </c>
      <c r="AGW37" s="218">
        <v>315733.40000000002</v>
      </c>
      <c r="AGX37" s="218">
        <v>315733.40000000002</v>
      </c>
      <c r="AGY37" s="218">
        <v>315733.40000000002</v>
      </c>
      <c r="AGZ37" s="218">
        <v>315733.40000000002</v>
      </c>
      <c r="AHA37" s="218">
        <v>315733.40000000002</v>
      </c>
      <c r="AHB37" s="218">
        <v>315733.40000000002</v>
      </c>
      <c r="AHC37" s="218">
        <v>315733.40000000002</v>
      </c>
      <c r="AHD37" s="218">
        <v>315733.40000000002</v>
      </c>
      <c r="AHE37" s="218">
        <v>315733.40000000002</v>
      </c>
      <c r="AHF37" s="218">
        <v>315733.40000000002</v>
      </c>
      <c r="AHG37" s="218">
        <v>1663685.55</v>
      </c>
      <c r="AHH37" s="218">
        <v>1638307.35</v>
      </c>
      <c r="AHI37" s="218">
        <v>1616496.14</v>
      </c>
      <c r="AHJ37" s="218">
        <v>1616496.14</v>
      </c>
      <c r="AHK37" s="218">
        <v>1616496.14</v>
      </c>
      <c r="AHL37" s="218">
        <v>1616496.14</v>
      </c>
      <c r="AHM37" s="218">
        <v>1616496.14</v>
      </c>
      <c r="AHN37" s="218">
        <v>1616496.14</v>
      </c>
      <c r="AHO37" s="218">
        <v>1616496.14</v>
      </c>
      <c r="AHP37" s="218">
        <v>1616496.14</v>
      </c>
      <c r="AHQ37" s="218">
        <v>1616496.14</v>
      </c>
      <c r="AHR37" s="218">
        <v>1616496.14</v>
      </c>
      <c r="AHS37" s="218">
        <v>1616496.14</v>
      </c>
      <c r="AHT37" s="218">
        <v>1616496.14</v>
      </c>
      <c r="AHU37" s="218">
        <v>1616496.14</v>
      </c>
      <c r="AHV37" s="218">
        <v>1616496.14</v>
      </c>
      <c r="AHW37" s="218">
        <v>1616496.14</v>
      </c>
      <c r="AHX37" s="218">
        <v>1616496.14</v>
      </c>
      <c r="AHY37" s="218">
        <v>1616496.14</v>
      </c>
      <c r="AHZ37" s="218">
        <v>1616496.14</v>
      </c>
      <c r="AIA37" s="218">
        <v>1616496.14</v>
      </c>
      <c r="AIB37" s="218">
        <v>30607.73</v>
      </c>
      <c r="AIC37" s="218">
        <v>30607.73</v>
      </c>
      <c r="AID37" s="218">
        <v>30607.73</v>
      </c>
      <c r="AIE37" s="218">
        <v>30607.73</v>
      </c>
      <c r="AIF37" s="218">
        <v>30607.73</v>
      </c>
      <c r="AIG37" s="218">
        <v>30607.73</v>
      </c>
      <c r="AIH37" s="218">
        <v>30607.73</v>
      </c>
      <c r="AII37" s="218">
        <v>30607.73</v>
      </c>
      <c r="AIJ37" s="218">
        <v>30607.73</v>
      </c>
      <c r="AIK37" s="218">
        <v>30607.73</v>
      </c>
      <c r="AIL37" s="218">
        <v>30607.73</v>
      </c>
      <c r="AIM37" s="218">
        <v>30607.73</v>
      </c>
      <c r="AIN37" s="218">
        <v>30607.73</v>
      </c>
      <c r="AIO37" s="218">
        <v>30607.73</v>
      </c>
      <c r="AIP37" s="218">
        <v>30607.73</v>
      </c>
      <c r="AIQ37" s="218">
        <v>30607.73</v>
      </c>
      <c r="AIR37" s="218">
        <v>30607.73</v>
      </c>
      <c r="AIS37" s="218">
        <v>30607.73</v>
      </c>
      <c r="AIT37" s="218">
        <v>30607.73</v>
      </c>
      <c r="AIU37" s="218">
        <v>30607.73</v>
      </c>
      <c r="AIV37" s="218">
        <v>30607.73</v>
      </c>
      <c r="AIW37" s="218">
        <v>30607.73</v>
      </c>
      <c r="AIX37" s="218">
        <v>30607.73</v>
      </c>
      <c r="AIY37" s="218">
        <v>7977.65</v>
      </c>
      <c r="AIZ37" s="218">
        <v>7977.65</v>
      </c>
      <c r="AJA37" s="218">
        <v>7977.65</v>
      </c>
      <c r="AJB37" s="218">
        <v>7977.65</v>
      </c>
      <c r="AJC37" s="218">
        <v>7977.65</v>
      </c>
      <c r="AJD37" s="218">
        <v>7977.65</v>
      </c>
      <c r="AJE37" s="218">
        <v>7977.65</v>
      </c>
      <c r="AJF37" s="218">
        <v>7177.65</v>
      </c>
      <c r="AJG37" s="218">
        <v>7177.65</v>
      </c>
      <c r="AJH37" s="218">
        <v>7177.65</v>
      </c>
      <c r="AJI37" s="218">
        <v>7177.65</v>
      </c>
      <c r="AJJ37" s="218">
        <v>7177.65</v>
      </c>
      <c r="AJK37" s="218">
        <v>7177.65</v>
      </c>
      <c r="AJL37" s="218">
        <v>7177.65</v>
      </c>
      <c r="AJM37" s="218">
        <v>7177.65</v>
      </c>
      <c r="AJN37" s="218">
        <v>7177.65</v>
      </c>
      <c r="AJO37" s="218">
        <v>7177.65</v>
      </c>
      <c r="AJP37" s="218">
        <v>7177.65</v>
      </c>
      <c r="AJQ37" s="218">
        <v>7177.65</v>
      </c>
      <c r="AJR37" s="218">
        <v>7177.65</v>
      </c>
      <c r="AJS37" s="218">
        <v>7177.65</v>
      </c>
      <c r="AJT37" s="218">
        <v>7177.65</v>
      </c>
      <c r="AJU37" s="218">
        <v>7177.65</v>
      </c>
      <c r="AJV37" s="218">
        <v>7177.65</v>
      </c>
      <c r="AJW37" s="218">
        <v>7177.65</v>
      </c>
      <c r="AJX37" s="218">
        <v>7177.65</v>
      </c>
      <c r="AJY37" s="218">
        <v>7177.65</v>
      </c>
      <c r="AJZ37" s="218">
        <v>7177.65</v>
      </c>
      <c r="AKA37" s="218">
        <v>21370773.649999999</v>
      </c>
      <c r="AKB37" s="218">
        <v>3574874.65</v>
      </c>
      <c r="AKC37" s="218">
        <v>3574874.65</v>
      </c>
      <c r="AKD37" s="218">
        <v>3574874.65</v>
      </c>
      <c r="AKE37" s="218">
        <v>3574874.65</v>
      </c>
      <c r="AKF37" s="218">
        <v>3574874.65</v>
      </c>
      <c r="AKG37" s="218">
        <v>3574874.65</v>
      </c>
      <c r="AKH37" s="218">
        <v>3574874.65</v>
      </c>
      <c r="AKI37" s="218">
        <v>3574874.65</v>
      </c>
      <c r="AKJ37" s="218">
        <v>3574874.65</v>
      </c>
      <c r="AKK37" s="218">
        <v>3574874.65</v>
      </c>
      <c r="AKL37" s="218">
        <v>3574874.65</v>
      </c>
      <c r="AKM37" s="218">
        <v>31513.5</v>
      </c>
      <c r="AKN37" s="218">
        <v>31513.5</v>
      </c>
      <c r="AKO37" s="218">
        <v>31513.5</v>
      </c>
      <c r="AKP37" s="218">
        <v>31513.5</v>
      </c>
      <c r="AKQ37" s="218">
        <v>31513.5</v>
      </c>
      <c r="AKR37" s="218">
        <v>31513.5</v>
      </c>
      <c r="AKS37" s="218">
        <v>31463.5</v>
      </c>
      <c r="AKT37" s="218">
        <v>31463.5</v>
      </c>
      <c r="AKU37" s="218">
        <v>31463.5</v>
      </c>
      <c r="AKV37" s="218">
        <v>31463.5</v>
      </c>
      <c r="AKW37" s="218">
        <v>31463.5</v>
      </c>
      <c r="AKX37" s="218">
        <v>31463.5</v>
      </c>
      <c r="AKY37" s="218">
        <v>31463.5</v>
      </c>
      <c r="AKZ37" s="218">
        <v>31463.5</v>
      </c>
      <c r="ALA37" s="218">
        <v>31463.5</v>
      </c>
      <c r="ALB37" s="218">
        <v>31463.5</v>
      </c>
      <c r="ALC37" s="218">
        <v>31463.5</v>
      </c>
      <c r="ALD37" s="218">
        <v>31463.5</v>
      </c>
      <c r="ALE37" s="218">
        <v>31463.5</v>
      </c>
      <c r="ALF37" s="218">
        <v>31463.5</v>
      </c>
      <c r="ALG37" s="218">
        <v>31463.5</v>
      </c>
      <c r="ALH37" s="218">
        <v>31463.5</v>
      </c>
      <c r="ALI37" s="218">
        <v>31463.5</v>
      </c>
      <c r="ALJ37" s="218">
        <v>31463.5</v>
      </c>
      <c r="ALK37" s="218">
        <v>31463.5</v>
      </c>
      <c r="ALL37" s="218">
        <v>31463.5</v>
      </c>
      <c r="ALM37" s="218">
        <v>31463.5</v>
      </c>
      <c r="ALN37" s="218">
        <v>31463.5</v>
      </c>
      <c r="ALO37" s="218">
        <v>31463.5</v>
      </c>
      <c r="ALP37" s="218">
        <v>31463.5</v>
      </c>
      <c r="ALQ37" s="218">
        <v>31463.5</v>
      </c>
      <c r="ALR37" s="218">
        <v>31463.5</v>
      </c>
      <c r="ALS37" s="218">
        <v>31463.5</v>
      </c>
      <c r="ALT37" s="218">
        <v>31463.5</v>
      </c>
      <c r="ALU37" s="218">
        <v>31463.5</v>
      </c>
      <c r="ALV37" s="218">
        <v>31463.5</v>
      </c>
      <c r="ALW37" s="218">
        <v>31463.5</v>
      </c>
      <c r="ALX37" s="218">
        <v>31463.5</v>
      </c>
      <c r="ALY37" s="218">
        <v>31463.5</v>
      </c>
      <c r="ALZ37" s="218">
        <v>31463.5</v>
      </c>
      <c r="AMA37" s="218">
        <v>31463.5</v>
      </c>
      <c r="AMB37" s="218">
        <v>31463.5</v>
      </c>
      <c r="AMC37" s="218">
        <v>31463.5</v>
      </c>
      <c r="AMD37" s="218">
        <v>28463.5</v>
      </c>
      <c r="AME37" s="218">
        <v>28463.5</v>
      </c>
      <c r="AMF37" s="218">
        <v>28463.5</v>
      </c>
      <c r="AMG37" s="218">
        <v>28463.5</v>
      </c>
      <c r="AMH37" s="218">
        <v>28463.5</v>
      </c>
      <c r="AMI37" s="218">
        <v>28463.5</v>
      </c>
      <c r="AMJ37" s="218">
        <v>28463.5</v>
      </c>
      <c r="AMK37" s="218">
        <v>28463.5</v>
      </c>
      <c r="AML37" s="218">
        <v>148364.22</v>
      </c>
      <c r="AMM37" s="218">
        <v>148364.22</v>
      </c>
      <c r="AMN37" s="218">
        <v>148364.22</v>
      </c>
      <c r="AMO37" s="218">
        <v>148364.22</v>
      </c>
      <c r="AMP37" s="218">
        <v>148364.22</v>
      </c>
      <c r="AMQ37" s="218">
        <v>2148364.2200000002</v>
      </c>
      <c r="AMR37" s="218">
        <v>2148364.2200000002</v>
      </c>
      <c r="AMS37" s="218">
        <v>329365.09999999998</v>
      </c>
      <c r="AMT37" s="218">
        <v>329365.09999999998</v>
      </c>
      <c r="AMU37" s="218">
        <v>329365.09999999998</v>
      </c>
      <c r="AMV37" s="218">
        <v>329365.09999999998</v>
      </c>
      <c r="AMW37" s="218">
        <v>329365.09999999998</v>
      </c>
      <c r="AMX37" s="218">
        <v>329365.09999999998</v>
      </c>
      <c r="AMY37" s="218">
        <v>329365.09999999998</v>
      </c>
      <c r="AMZ37" s="218">
        <v>329365.09999999998</v>
      </c>
      <c r="ANA37" s="218">
        <v>329365.09999999998</v>
      </c>
      <c r="ANB37" s="218">
        <v>329365.09999999998</v>
      </c>
      <c r="ANC37" s="218">
        <v>329365.09999999998</v>
      </c>
      <c r="AND37" s="218">
        <v>329365.09999999998</v>
      </c>
      <c r="ANE37" s="218">
        <v>329365.09999999998</v>
      </c>
      <c r="ANF37" s="218">
        <v>329365.09999999998</v>
      </c>
      <c r="ANG37" s="218">
        <v>329365.09999999998</v>
      </c>
      <c r="ANH37" s="218">
        <v>329365.09999999998</v>
      </c>
      <c r="ANI37" s="218">
        <v>329365.09999999998</v>
      </c>
      <c r="ANJ37" s="218">
        <v>329365.09999999998</v>
      </c>
      <c r="ANK37" s="218">
        <v>329365.09999999998</v>
      </c>
      <c r="ANL37" s="218">
        <v>329365.09999999998</v>
      </c>
      <c r="ANM37" s="218">
        <v>329365.09999999998</v>
      </c>
      <c r="ANN37" s="218">
        <v>329365.09999999998</v>
      </c>
      <c r="ANO37" s="218">
        <v>329365.09999999998</v>
      </c>
      <c r="ANP37" s="218">
        <v>329365.09999999998</v>
      </c>
      <c r="ANQ37" s="218">
        <v>329365.09999999998</v>
      </c>
      <c r="ANR37" s="218">
        <v>329365.09999999998</v>
      </c>
      <c r="ANS37" s="218">
        <v>329365.09999999998</v>
      </c>
      <c r="ANT37" s="218">
        <v>323981.56</v>
      </c>
      <c r="ANU37" s="218">
        <v>323981.56</v>
      </c>
      <c r="ANV37" s="218">
        <v>323981.56</v>
      </c>
      <c r="ANW37" s="218">
        <v>323981.56</v>
      </c>
      <c r="ANX37" s="218">
        <v>323981.56</v>
      </c>
      <c r="ANY37" s="218">
        <v>323981.56</v>
      </c>
      <c r="ANZ37" s="218">
        <v>323981.56</v>
      </c>
      <c r="AOA37" s="218">
        <v>323981.56</v>
      </c>
      <c r="AOB37" s="218">
        <v>323981.56</v>
      </c>
      <c r="AOC37" s="218">
        <v>323981.56</v>
      </c>
      <c r="AOD37" s="218">
        <v>323981.56</v>
      </c>
      <c r="AOE37" s="218">
        <v>323981.56</v>
      </c>
      <c r="AOF37" s="218">
        <v>323981.56</v>
      </c>
      <c r="AOG37" s="218">
        <v>323981.56</v>
      </c>
      <c r="AOH37" s="218">
        <v>323981.56</v>
      </c>
      <c r="AOI37" s="218">
        <v>323981.56</v>
      </c>
      <c r="AOJ37" s="278">
        <v>323981.56</v>
      </c>
      <c r="AOK37" s="278">
        <v>323981.56</v>
      </c>
      <c r="AOL37" s="278">
        <v>323981.56</v>
      </c>
      <c r="AOM37" s="278">
        <v>323981.56</v>
      </c>
      <c r="AON37" s="278">
        <v>323981.56</v>
      </c>
      <c r="AOO37" s="278">
        <v>323981.56</v>
      </c>
      <c r="AOP37" s="278">
        <v>323981.56</v>
      </c>
      <c r="AOQ37" s="278">
        <v>323981.56</v>
      </c>
      <c r="AOR37" s="278">
        <v>323981.56</v>
      </c>
      <c r="AOS37" s="278">
        <v>323981.56</v>
      </c>
      <c r="AOT37" s="278">
        <v>323981.56</v>
      </c>
      <c r="AOU37" s="278">
        <v>323981.56</v>
      </c>
      <c r="AOV37" s="278">
        <v>323981.56</v>
      </c>
      <c r="AOW37" s="218">
        <v>323181.56</v>
      </c>
      <c r="AOX37" s="218">
        <v>323181.56</v>
      </c>
      <c r="AOY37" s="218">
        <v>323181.56</v>
      </c>
      <c r="AOZ37" s="218">
        <v>323181.56</v>
      </c>
      <c r="APA37" s="218">
        <v>323181.56</v>
      </c>
      <c r="APB37" s="218">
        <v>323181.56</v>
      </c>
      <c r="APC37" s="218">
        <v>323181.56</v>
      </c>
      <c r="APD37" s="218">
        <v>323181.56</v>
      </c>
      <c r="APE37" s="218">
        <v>323181.56</v>
      </c>
      <c r="APF37" s="218">
        <v>323181.56</v>
      </c>
      <c r="APG37" s="218">
        <v>323181.56</v>
      </c>
      <c r="APH37" s="218">
        <v>323181.56</v>
      </c>
      <c r="API37" s="218">
        <v>323181.56</v>
      </c>
      <c r="APJ37" s="218">
        <v>323181.56</v>
      </c>
      <c r="APK37" s="218">
        <v>323181.56</v>
      </c>
      <c r="APL37" s="218">
        <v>323181.56</v>
      </c>
      <c r="APM37" s="218">
        <v>323181.56</v>
      </c>
      <c r="APN37" s="218">
        <v>323181.56</v>
      </c>
      <c r="APO37" s="218">
        <v>323181.56</v>
      </c>
      <c r="APP37" s="218">
        <v>323181.56</v>
      </c>
      <c r="APQ37" s="218">
        <v>323181.56</v>
      </c>
      <c r="APR37" s="218">
        <v>323181.56</v>
      </c>
      <c r="APS37" s="218">
        <v>323181.56</v>
      </c>
      <c r="APT37" s="218">
        <v>323181.56</v>
      </c>
      <c r="APU37" s="218">
        <v>323181.56</v>
      </c>
      <c r="APV37" s="218">
        <v>323181.56</v>
      </c>
      <c r="APW37" s="218">
        <v>323181.56</v>
      </c>
      <c r="APX37" s="218">
        <v>323181.56</v>
      </c>
      <c r="APY37" s="218">
        <v>323181.56</v>
      </c>
      <c r="APZ37" s="218">
        <v>323181.56</v>
      </c>
      <c r="AQA37" s="218">
        <v>323181.56</v>
      </c>
      <c r="AQB37" s="218">
        <v>323181.56</v>
      </c>
      <c r="AQC37" s="218">
        <v>323181.56</v>
      </c>
      <c r="AQD37" s="218">
        <v>323181.56</v>
      </c>
      <c r="AQE37" s="218">
        <v>323181.56</v>
      </c>
      <c r="AQF37" s="218">
        <v>323181.56</v>
      </c>
      <c r="AQG37" s="218">
        <v>323181.56</v>
      </c>
      <c r="AQH37" s="218">
        <v>323181.56</v>
      </c>
      <c r="AQI37" s="218">
        <v>323181.56</v>
      </c>
      <c r="AQJ37" s="218">
        <v>323181.56</v>
      </c>
      <c r="AQK37" s="218">
        <v>323181.56</v>
      </c>
      <c r="AQL37" s="218">
        <v>323181.56</v>
      </c>
      <c r="AQM37" s="218">
        <v>323181.56</v>
      </c>
      <c r="AQN37" s="218">
        <v>323181.56</v>
      </c>
      <c r="AQO37" s="218">
        <v>323181.56</v>
      </c>
      <c r="AQP37" s="218">
        <v>323181.56</v>
      </c>
      <c r="AQQ37" s="218">
        <v>323181.56</v>
      </c>
      <c r="AQR37" s="218">
        <v>323181.56</v>
      </c>
      <c r="AQS37" s="218">
        <v>323181.56</v>
      </c>
      <c r="AQT37" s="218">
        <v>323181.56</v>
      </c>
      <c r="AQU37" s="218">
        <v>323181.56</v>
      </c>
      <c r="AQV37" s="218">
        <v>323181.56</v>
      </c>
      <c r="AQW37" s="218">
        <v>323181.56</v>
      </c>
      <c r="AQX37" s="218">
        <v>323181.56</v>
      </c>
      <c r="AQY37" s="218">
        <v>323181.56</v>
      </c>
      <c r="AQZ37" s="218">
        <v>323181.56</v>
      </c>
      <c r="ARA37" s="218">
        <v>323181.56</v>
      </c>
      <c r="ARB37" s="218">
        <v>323181.56</v>
      </c>
      <c r="ARC37" s="218">
        <v>323181.56</v>
      </c>
      <c r="ARD37" s="218">
        <v>323181.56</v>
      </c>
      <c r="ARE37" s="218">
        <v>323181.56</v>
      </c>
      <c r="ARF37" s="218">
        <v>323181.56</v>
      </c>
      <c r="ARG37" s="218">
        <v>323181.56</v>
      </c>
      <c r="ARH37" s="218">
        <v>323181.56</v>
      </c>
      <c r="ARI37" s="218">
        <v>323181.56</v>
      </c>
      <c r="ARJ37" s="218">
        <v>323181.56</v>
      </c>
      <c r="ARK37" s="218">
        <v>323181.56</v>
      </c>
      <c r="ARL37" s="218">
        <v>23181.56</v>
      </c>
      <c r="ARM37" s="218">
        <v>23181.56</v>
      </c>
      <c r="ARN37" s="218">
        <v>23181.56</v>
      </c>
      <c r="ARO37" s="218">
        <v>23181.56</v>
      </c>
      <c r="ARP37" s="218">
        <v>23181.56</v>
      </c>
      <c r="ARQ37" s="218">
        <v>22881.56</v>
      </c>
      <c r="ARR37" s="218">
        <v>22881.56</v>
      </c>
      <c r="ARS37" s="218">
        <v>22881.56</v>
      </c>
      <c r="ART37" s="218">
        <v>22881.56</v>
      </c>
      <c r="ARU37" s="218">
        <v>22881.56</v>
      </c>
      <c r="ARV37" s="218">
        <v>22881.56</v>
      </c>
      <c r="ARW37" s="218">
        <v>22881.56</v>
      </c>
      <c r="ARX37" s="218">
        <v>22881.56</v>
      </c>
      <c r="ARY37" s="218">
        <v>22881.56</v>
      </c>
      <c r="ARZ37" s="218">
        <v>22881.56</v>
      </c>
      <c r="ASA37" s="218">
        <v>22881.56</v>
      </c>
      <c r="ASB37" s="218">
        <v>22881.56</v>
      </c>
      <c r="ASC37" s="218">
        <v>22881.56</v>
      </c>
      <c r="ASD37" s="218">
        <v>22881.56</v>
      </c>
      <c r="ASE37" s="218">
        <v>22881.56</v>
      </c>
      <c r="ASF37" s="218">
        <v>22881.56</v>
      </c>
      <c r="ASG37" s="218">
        <v>22881.56</v>
      </c>
      <c r="ASH37" s="218">
        <v>22881.56</v>
      </c>
      <c r="ASI37" s="218">
        <v>22881.56</v>
      </c>
      <c r="ASJ37" s="218">
        <v>22881.56</v>
      </c>
      <c r="ASK37" s="218">
        <v>22881.56</v>
      </c>
      <c r="ASL37" s="218">
        <v>22881.56</v>
      </c>
      <c r="ASM37" s="218">
        <v>22881.56</v>
      </c>
      <c r="ASN37" s="218">
        <v>22881.56</v>
      </c>
      <c r="ASO37" s="218">
        <v>22881.56</v>
      </c>
      <c r="ASP37" s="218">
        <v>22881.56</v>
      </c>
      <c r="ASQ37" s="218">
        <v>22881.56</v>
      </c>
      <c r="ASR37" s="218">
        <v>22881.56</v>
      </c>
      <c r="ASS37" s="218">
        <v>22881.56</v>
      </c>
      <c r="AST37" s="218">
        <v>22881.56</v>
      </c>
      <c r="ASU37" s="218">
        <v>22881.56</v>
      </c>
      <c r="ASV37" s="218">
        <v>22881.56</v>
      </c>
      <c r="ASW37" s="218">
        <v>22881.56</v>
      </c>
      <c r="ASX37" s="218">
        <v>22881.56</v>
      </c>
      <c r="ASY37" s="218">
        <v>22881.56</v>
      </c>
      <c r="ASZ37" s="218">
        <v>22881.56</v>
      </c>
      <c r="ATA37" s="218">
        <v>22881.56</v>
      </c>
      <c r="ATB37" s="218">
        <v>22881.56</v>
      </c>
      <c r="ATC37" s="218">
        <v>22881.56</v>
      </c>
      <c r="ATD37" s="218">
        <v>22881.56</v>
      </c>
      <c r="ATE37" s="218">
        <v>22881.56</v>
      </c>
      <c r="ATF37" s="218">
        <v>22881.56</v>
      </c>
      <c r="ATG37" s="218">
        <v>22881.56</v>
      </c>
      <c r="ATH37" s="218">
        <v>22881.56</v>
      </c>
      <c r="ATI37" s="218">
        <v>22881.56</v>
      </c>
      <c r="ATJ37" s="218">
        <v>22881.56</v>
      </c>
      <c r="ATK37" s="218">
        <v>22881.56</v>
      </c>
      <c r="ATL37" s="218">
        <v>22881.56</v>
      </c>
      <c r="ATM37" s="218">
        <v>22881.56</v>
      </c>
      <c r="ATN37" s="218">
        <v>22881.56</v>
      </c>
      <c r="ATO37" s="218">
        <v>21281.56</v>
      </c>
      <c r="ATP37" s="218">
        <v>21281.56</v>
      </c>
      <c r="ATQ37" s="218">
        <v>21281.56</v>
      </c>
      <c r="ATR37" s="218">
        <v>21281.56</v>
      </c>
      <c r="ATS37" s="218">
        <v>21281.56</v>
      </c>
      <c r="ATT37" s="218">
        <v>21281.56</v>
      </c>
      <c r="ATU37" s="218">
        <v>21281.56</v>
      </c>
      <c r="ATV37" s="218">
        <v>21281.56</v>
      </c>
      <c r="ATW37" s="218">
        <v>21281.56</v>
      </c>
      <c r="ATX37" s="218">
        <v>21281.56</v>
      </c>
      <c r="ATY37" s="218">
        <v>21281.56</v>
      </c>
      <c r="ATZ37" s="218">
        <v>21281.56</v>
      </c>
      <c r="AUA37" s="218">
        <v>21281.56</v>
      </c>
      <c r="AUB37" s="218">
        <v>21281.56</v>
      </c>
      <c r="AUC37" s="218">
        <v>21281.56</v>
      </c>
      <c r="AUD37" s="218">
        <v>21281.56</v>
      </c>
      <c r="AUE37" s="218">
        <v>21281.56</v>
      </c>
      <c r="AUF37" s="218">
        <v>21281.56</v>
      </c>
      <c r="AUG37" s="218">
        <v>21281.56</v>
      </c>
      <c r="AUH37" s="218">
        <v>21281.56</v>
      </c>
      <c r="AUI37" s="218">
        <v>21281.56</v>
      </c>
      <c r="AUJ37" s="218">
        <v>21281.56</v>
      </c>
      <c r="AUK37" s="218">
        <v>21281.56</v>
      </c>
      <c r="AUL37" s="218">
        <v>21281.56</v>
      </c>
      <c r="AUM37" s="218">
        <v>21281.56</v>
      </c>
      <c r="AUN37" s="218">
        <v>21281.56</v>
      </c>
      <c r="AUO37" s="218">
        <v>21281.56</v>
      </c>
      <c r="AUP37" s="218">
        <v>21281.56</v>
      </c>
      <c r="AUQ37" s="218">
        <v>21281.56</v>
      </c>
      <c r="AUR37" s="218">
        <v>21281.56</v>
      </c>
      <c r="AUS37" s="218">
        <v>21281.56</v>
      </c>
      <c r="AUT37" s="218">
        <v>21281.56</v>
      </c>
      <c r="AUU37" s="218">
        <v>21281.56</v>
      </c>
      <c r="AUV37" s="218">
        <v>21281.56</v>
      </c>
      <c r="AUW37" s="218">
        <v>21281.56</v>
      </c>
      <c r="AUX37" s="218">
        <v>21281.56</v>
      </c>
      <c r="AUY37" s="218">
        <v>21281.56</v>
      </c>
      <c r="AUZ37" s="218">
        <v>21281.56</v>
      </c>
      <c r="AVA37" s="218">
        <v>21281.56</v>
      </c>
      <c r="AVB37" s="218">
        <v>21281.56</v>
      </c>
      <c r="AVC37" s="218">
        <v>21281.56</v>
      </c>
      <c r="AVD37" s="218">
        <v>21281.56</v>
      </c>
      <c r="AVE37" s="218">
        <v>21281.56</v>
      </c>
      <c r="AVF37" s="218">
        <v>21281.56</v>
      </c>
      <c r="AVG37" s="218">
        <v>21281.56</v>
      </c>
      <c r="AVH37" s="218">
        <v>21281.56</v>
      </c>
      <c r="AVI37" s="218">
        <v>21281.56</v>
      </c>
      <c r="AVJ37" s="218">
        <v>21281.56</v>
      </c>
      <c r="AVK37" s="218">
        <v>21281.56</v>
      </c>
      <c r="AVL37" s="218">
        <v>21281.56</v>
      </c>
      <c r="AVM37" s="218">
        <v>21281.56</v>
      </c>
      <c r="AVN37" s="218">
        <v>21281.56</v>
      </c>
      <c r="AVO37" s="218">
        <v>18281.560000000001</v>
      </c>
      <c r="AVP37" s="218">
        <v>18281.560000000001</v>
      </c>
      <c r="AVQ37" s="218">
        <v>18281.560000000001</v>
      </c>
      <c r="AVR37" s="218">
        <v>18281.560000000001</v>
      </c>
      <c r="AVS37" s="218">
        <v>18281.560000000001</v>
      </c>
      <c r="AVT37" s="218">
        <v>18281.560000000001</v>
      </c>
      <c r="AVU37" s="218">
        <v>18281.560000000001</v>
      </c>
      <c r="AVV37" s="218">
        <v>18281.560000000001</v>
      </c>
      <c r="AVW37" s="218">
        <v>18281.560000000001</v>
      </c>
      <c r="AVX37" s="218">
        <v>18281.560000000001</v>
      </c>
      <c r="AVY37" s="218">
        <v>18281.560000000001</v>
      </c>
      <c r="AVZ37" s="218">
        <v>18281.560000000001</v>
      </c>
      <c r="AWA37" s="218">
        <v>18281.560000000001</v>
      </c>
      <c r="AWB37" s="218">
        <v>18281.560000000001</v>
      </c>
      <c r="AWC37" s="218">
        <v>18281.560000000001</v>
      </c>
      <c r="AWD37" s="218">
        <v>18281.560000000001</v>
      </c>
      <c r="AWE37" s="218">
        <v>18281.560000000001</v>
      </c>
      <c r="AWF37" s="218">
        <v>18281.560000000001</v>
      </c>
      <c r="AWG37" s="218">
        <v>18281.560000000001</v>
      </c>
      <c r="AWH37" s="218">
        <v>18281.560000000001</v>
      </c>
      <c r="AWI37" s="218">
        <v>18281.560000000001</v>
      </c>
      <c r="AWJ37" s="218">
        <v>18281.560000000001</v>
      </c>
      <c r="AWK37" s="218">
        <v>18281.560000000001</v>
      </c>
      <c r="AWL37" s="218">
        <v>18281.560000000001</v>
      </c>
      <c r="AWM37" s="218">
        <v>18281.560000000001</v>
      </c>
      <c r="AWN37" s="218">
        <v>18281.560000000001</v>
      </c>
      <c r="AWO37" s="218">
        <v>18281.560000000001</v>
      </c>
      <c r="AWP37" s="218">
        <v>18281.560000000001</v>
      </c>
      <c r="AWQ37" s="218">
        <v>18281.560000000001</v>
      </c>
      <c r="AWR37" s="218">
        <v>18281.560000000001</v>
      </c>
      <c r="AWS37" s="218">
        <v>18281.560000000001</v>
      </c>
      <c r="AWT37" s="218">
        <v>18281.560000000001</v>
      </c>
      <c r="AWU37" s="218">
        <v>18281.560000000001</v>
      </c>
      <c r="AWV37" s="218">
        <v>18281.560000000001</v>
      </c>
      <c r="AWW37" s="218">
        <v>18281.560000000001</v>
      </c>
      <c r="AWX37" s="218">
        <v>18281.560000000001</v>
      </c>
      <c r="AWY37" s="218">
        <v>18281.560000000001</v>
      </c>
      <c r="AWZ37" s="218">
        <v>18281.560000000001</v>
      </c>
      <c r="AXA37" s="218">
        <v>18281.560000000001</v>
      </c>
      <c r="AXB37" s="218">
        <v>18281.560000000001</v>
      </c>
      <c r="AXC37" s="218">
        <v>18281.560000000001</v>
      </c>
      <c r="AXD37" s="218">
        <v>18281.560000000001</v>
      </c>
      <c r="AXE37" s="218">
        <v>18281.560000000001</v>
      </c>
      <c r="AXF37" s="218">
        <v>18281.560000000001</v>
      </c>
      <c r="AXG37" s="218">
        <v>18281.560000000001</v>
      </c>
      <c r="AXH37" s="218">
        <v>18281.560000000001</v>
      </c>
      <c r="AXI37" s="218">
        <v>18281.560000000001</v>
      </c>
      <c r="AXJ37" s="218">
        <f>18281.56+3050000-465178.24</f>
        <v>2603103.3200000003</v>
      </c>
      <c r="AXK37" s="218">
        <v>208427.61</v>
      </c>
      <c r="AXL37" s="218">
        <v>208427.61</v>
      </c>
      <c r="AXM37" s="218">
        <v>204101.52</v>
      </c>
      <c r="AXN37" s="218">
        <v>204101.52</v>
      </c>
      <c r="AXO37" s="218">
        <v>204101.52</v>
      </c>
      <c r="AXP37" s="218">
        <v>204101.52</v>
      </c>
      <c r="AXQ37" s="218">
        <v>204101.52</v>
      </c>
      <c r="AXR37" s="218">
        <v>200689.98</v>
      </c>
      <c r="AXS37" s="218">
        <v>200689.98</v>
      </c>
      <c r="AXT37" s="218">
        <v>200689.98</v>
      </c>
      <c r="AXU37" s="218">
        <v>200689.98</v>
      </c>
      <c r="AXV37" s="218">
        <v>200689.98</v>
      </c>
      <c r="AXW37" s="218">
        <v>200689.98</v>
      </c>
      <c r="AXX37" s="218">
        <v>200689.98</v>
      </c>
      <c r="AXY37" s="218">
        <v>200689.98</v>
      </c>
      <c r="AXZ37" s="218">
        <v>200689.98</v>
      </c>
      <c r="AYA37" s="218">
        <v>200689.98</v>
      </c>
      <c r="AYB37" s="218">
        <v>200689.98</v>
      </c>
      <c r="AYC37" s="218">
        <v>200689.98</v>
      </c>
      <c r="AYD37" s="218">
        <v>196689.98</v>
      </c>
      <c r="AYE37" s="218">
        <v>196689.98</v>
      </c>
      <c r="AYF37" s="218">
        <v>196689.98</v>
      </c>
      <c r="AYG37" s="218">
        <v>196689.98</v>
      </c>
      <c r="AYH37" s="218">
        <v>196689.98</v>
      </c>
      <c r="AYI37" s="218">
        <v>196689.98</v>
      </c>
      <c r="AYJ37" s="218">
        <v>196689.98</v>
      </c>
      <c r="AYK37" s="218">
        <v>196689.98</v>
      </c>
      <c r="AYL37" s="218">
        <v>196689.98</v>
      </c>
      <c r="AYM37" s="218">
        <v>196689.98</v>
      </c>
      <c r="AYN37" s="218">
        <v>196689.98</v>
      </c>
      <c r="AYO37" s="218">
        <v>196689.98</v>
      </c>
      <c r="AYP37" s="218">
        <v>196689.98</v>
      </c>
      <c r="AYQ37" s="218">
        <v>196689.98</v>
      </c>
      <c r="AYR37" s="218">
        <v>196689.98</v>
      </c>
      <c r="AYS37" s="218">
        <v>196689.98</v>
      </c>
      <c r="AYT37" s="218">
        <v>196689.98</v>
      </c>
      <c r="AYU37" s="218">
        <v>196689.98</v>
      </c>
      <c r="AYV37" s="218">
        <v>196689.98</v>
      </c>
      <c r="AYW37" s="218">
        <v>196689.98</v>
      </c>
      <c r="AYX37" s="218">
        <v>196689.98</v>
      </c>
      <c r="AYY37" s="218">
        <f>196689.98-180000</f>
        <v>16689.98000000001</v>
      </c>
      <c r="AYZ37" s="218">
        <f>196689.98-180000</f>
        <v>16689.98000000001</v>
      </c>
      <c r="AZA37" s="218">
        <f>196689.98-180000</f>
        <v>16689.98000000001</v>
      </c>
      <c r="AZB37" s="218">
        <v>196689.98</v>
      </c>
      <c r="AZC37" s="218">
        <v>196689.98</v>
      </c>
      <c r="AZD37" s="218">
        <v>196689.98</v>
      </c>
      <c r="AZE37" s="218">
        <v>196689.98</v>
      </c>
      <c r="AZF37" s="218">
        <v>196689.98</v>
      </c>
      <c r="AZG37" s="218">
        <v>196689.98</v>
      </c>
      <c r="AZH37" s="218">
        <v>196689.98</v>
      </c>
      <c r="AZI37" s="218">
        <v>196689.98</v>
      </c>
      <c r="AZJ37" s="218">
        <v>196689.98</v>
      </c>
      <c r="AZK37" s="218">
        <v>196689.98</v>
      </c>
      <c r="AZL37" s="218">
        <v>196689.98</v>
      </c>
      <c r="AZM37" s="218">
        <v>196689.98</v>
      </c>
      <c r="AZN37" s="218">
        <v>196689.98</v>
      </c>
      <c r="AZO37" s="218">
        <v>196689.98</v>
      </c>
      <c r="AZP37" s="218">
        <v>196689.98</v>
      </c>
      <c r="AZQ37" s="218">
        <v>196689.98</v>
      </c>
      <c r="AZR37" s="218">
        <v>196689.98</v>
      </c>
      <c r="AZS37" s="218">
        <v>196689.98</v>
      </c>
      <c r="AZT37" s="218">
        <v>196689.98</v>
      </c>
      <c r="AZU37" s="218">
        <v>196689.98</v>
      </c>
      <c r="AZV37" s="218">
        <v>196689.98</v>
      </c>
      <c r="AZW37" s="218">
        <v>196689.98</v>
      </c>
      <c r="AZX37" s="218">
        <v>196689.98</v>
      </c>
      <c r="AZY37" s="218">
        <v>196689.98</v>
      </c>
      <c r="AZZ37" s="218">
        <v>196689.98</v>
      </c>
      <c r="BAA37" s="218">
        <v>196689.98</v>
      </c>
      <c r="BAB37" s="218">
        <v>196689.98</v>
      </c>
      <c r="BAC37" s="218">
        <v>196689.98</v>
      </c>
      <c r="BAD37" s="218">
        <v>196689.98</v>
      </c>
      <c r="BAE37" s="218">
        <v>196689.98</v>
      </c>
      <c r="BAF37" s="218">
        <v>196689.98</v>
      </c>
      <c r="BAG37" s="218">
        <v>196689.98</v>
      </c>
      <c r="BAH37" s="218">
        <v>196689.98</v>
      </c>
      <c r="BAI37" s="218">
        <v>196689.98</v>
      </c>
      <c r="BAJ37" s="218">
        <v>196689.98</v>
      </c>
      <c r="BAK37" s="218">
        <v>196689.98</v>
      </c>
      <c r="BAL37" s="218">
        <v>196689.98</v>
      </c>
      <c r="BAM37" s="218">
        <v>196689.98</v>
      </c>
      <c r="BAN37" s="218">
        <v>196689.98</v>
      </c>
      <c r="BAO37" s="218">
        <v>196689.98</v>
      </c>
      <c r="BAP37" s="218">
        <v>196689.98</v>
      </c>
      <c r="BAQ37" s="218">
        <v>196689.98</v>
      </c>
    </row>
    <row r="38" spans="1:1395" s="459" customFormat="1" ht="15" customHeight="1" x14ac:dyDescent="0.2">
      <c r="A38" s="457"/>
      <c r="B38" s="458" t="s">
        <v>195</v>
      </c>
      <c r="RE38" s="460"/>
      <c r="RF38" s="460"/>
      <c r="RG38" s="460"/>
      <c r="RH38" s="460"/>
      <c r="RI38" s="460"/>
      <c r="RJ38" s="460"/>
      <c r="RR38" s="460"/>
      <c r="RS38" s="460"/>
      <c r="RT38" s="460"/>
      <c r="ABE38" s="461"/>
      <c r="ABF38" s="461"/>
      <c r="ABG38" s="461"/>
      <c r="ABH38" s="461"/>
      <c r="ABI38" s="462"/>
      <c r="ABJ38" s="462"/>
      <c r="ACE38" s="463"/>
      <c r="ADB38" s="464"/>
      <c r="AOJ38" s="463"/>
      <c r="AOK38" s="463"/>
      <c r="AOL38" s="463"/>
      <c r="AOM38" s="463"/>
      <c r="AON38" s="463"/>
      <c r="AOO38" s="463"/>
      <c r="AOP38" s="463"/>
      <c r="AOQ38" s="463"/>
      <c r="AOR38" s="463"/>
      <c r="AOS38" s="463"/>
      <c r="AOT38" s="463"/>
      <c r="AOU38" s="463"/>
      <c r="AOV38" s="463"/>
      <c r="ATP38" s="459">
        <v>1457693.26</v>
      </c>
      <c r="ATQ38" s="459">
        <v>1457693.26</v>
      </c>
      <c r="ATR38" s="459">
        <v>1457693.26</v>
      </c>
      <c r="ATS38" s="459">
        <v>1455118.26</v>
      </c>
      <c r="ATT38" s="459">
        <v>1455118.26</v>
      </c>
      <c r="ATU38" s="459">
        <v>283065.71999999997</v>
      </c>
      <c r="ATV38" s="459">
        <v>278365.71999999997</v>
      </c>
      <c r="ATW38" s="459">
        <v>278365.71999999997</v>
      </c>
      <c r="ATX38" s="459">
        <v>278365.71999999997</v>
      </c>
      <c r="ATY38" s="459">
        <v>278365.71999999997</v>
      </c>
      <c r="ATZ38" s="459">
        <v>278365.71999999997</v>
      </c>
      <c r="AUA38" s="459">
        <v>278365.71999999997</v>
      </c>
      <c r="AUB38" s="459">
        <v>278365.71999999997</v>
      </c>
      <c r="AUC38" s="459">
        <v>278365.71999999997</v>
      </c>
      <c r="AUD38" s="459">
        <v>278365.71999999997</v>
      </c>
      <c r="AUE38" s="459">
        <v>278365.71999999997</v>
      </c>
      <c r="AUF38" s="459">
        <v>278365.71999999997</v>
      </c>
      <c r="AUG38" s="459">
        <v>278365.71999999997</v>
      </c>
      <c r="AUH38" s="459">
        <v>278365.71999999997</v>
      </c>
      <c r="AUI38" s="459">
        <v>278365.71999999997</v>
      </c>
      <c r="AUJ38" s="459">
        <v>278365.71999999997</v>
      </c>
      <c r="AUK38" s="459">
        <v>278365.71999999997</v>
      </c>
      <c r="AUL38" s="459">
        <v>278365.71999999997</v>
      </c>
      <c r="AUM38" s="459">
        <v>278365.71999999997</v>
      </c>
      <c r="AUN38" s="459">
        <v>278365.71999999997</v>
      </c>
      <c r="AUO38" s="459">
        <v>278365.71999999997</v>
      </c>
      <c r="AUP38" s="459">
        <v>278365.71999999997</v>
      </c>
      <c r="AUQ38" s="459">
        <v>278365.71999999997</v>
      </c>
      <c r="AUR38" s="459">
        <v>278365.71999999997</v>
      </c>
      <c r="AUS38" s="459">
        <v>278365.71999999997</v>
      </c>
      <c r="AUT38" s="459">
        <v>278365.71999999997</v>
      </c>
      <c r="AUU38" s="459">
        <v>278365.71999999997</v>
      </c>
      <c r="AUV38" s="459">
        <v>278365.71999999997</v>
      </c>
      <c r="AUW38" s="459">
        <v>278365.71999999997</v>
      </c>
      <c r="AUX38" s="459">
        <v>278365.71999999997</v>
      </c>
      <c r="AUY38" s="459">
        <v>278365.71999999997</v>
      </c>
      <c r="AUZ38" s="459">
        <v>278365.71999999997</v>
      </c>
      <c r="AVA38" s="459">
        <v>273865.71999999997</v>
      </c>
      <c r="AVB38" s="459">
        <v>273865.71999999997</v>
      </c>
      <c r="AVC38" s="459">
        <v>273865.71999999997</v>
      </c>
      <c r="AVD38" s="459">
        <v>273365.71999999997</v>
      </c>
      <c r="AVE38" s="459">
        <v>273365.71999999997</v>
      </c>
      <c r="AVF38" s="459">
        <v>273365.71999999997</v>
      </c>
      <c r="AVG38" s="459">
        <v>273365.71999999997</v>
      </c>
      <c r="AVH38" s="459">
        <v>273365.71999999997</v>
      </c>
      <c r="AVI38" s="459">
        <v>273365.71999999997</v>
      </c>
      <c r="AVJ38" s="459">
        <v>273365.71999999997</v>
      </c>
      <c r="AVK38" s="459">
        <v>273365.71999999997</v>
      </c>
      <c r="AVL38" s="459">
        <v>273365.71999999997</v>
      </c>
      <c r="AVM38" s="459">
        <v>273365.71999999997</v>
      </c>
      <c r="AVN38" s="459">
        <v>273365.71999999997</v>
      </c>
      <c r="AVO38" s="459">
        <v>273365.71999999997</v>
      </c>
      <c r="AVP38" s="459">
        <v>273365.71999999997</v>
      </c>
      <c r="AVQ38" s="459">
        <v>273365.71999999997</v>
      </c>
      <c r="AVR38" s="459">
        <v>273365.71999999997</v>
      </c>
      <c r="AVS38" s="459">
        <v>273365.71999999997</v>
      </c>
      <c r="AVT38" s="459">
        <v>273365.71999999997</v>
      </c>
      <c r="AVU38" s="459">
        <v>273365.71999999997</v>
      </c>
      <c r="AVV38" s="459">
        <v>273365.71999999997</v>
      </c>
      <c r="AVW38" s="459">
        <v>273365.71999999997</v>
      </c>
      <c r="AVX38" s="459">
        <v>273365.71999999997</v>
      </c>
      <c r="AVY38" s="459">
        <v>273365.71999999997</v>
      </c>
      <c r="AVZ38" s="459">
        <v>273365.71999999997</v>
      </c>
      <c r="AWA38" s="459">
        <v>273365.71999999997</v>
      </c>
      <c r="AWB38" s="459">
        <v>273365.71999999997</v>
      </c>
      <c r="AWC38" s="459">
        <v>273365.71999999997</v>
      </c>
      <c r="AWD38" s="459">
        <v>273365.71999999997</v>
      </c>
      <c r="AWE38" s="459">
        <v>273365.71999999997</v>
      </c>
      <c r="AWF38" s="459">
        <v>273365.71999999997</v>
      </c>
      <c r="AWG38" s="459">
        <v>273365.71999999997</v>
      </c>
      <c r="AWH38" s="459">
        <v>273365.71999999997</v>
      </c>
      <c r="AWI38" s="459">
        <v>273365.71999999997</v>
      </c>
      <c r="AWJ38" s="459">
        <v>273365.71999999997</v>
      </c>
      <c r="AWK38" s="459">
        <v>273365.71999999997</v>
      </c>
      <c r="AWL38" s="459">
        <v>273365.71999999997</v>
      </c>
      <c r="AWM38" s="459">
        <v>273365.71999999997</v>
      </c>
      <c r="AWN38" s="459">
        <v>273365.71999999997</v>
      </c>
      <c r="AWO38" s="459">
        <v>273365.71999999997</v>
      </c>
      <c r="AWP38" s="459">
        <v>273365.71999999997</v>
      </c>
      <c r="AWQ38" s="459">
        <v>273365.71999999997</v>
      </c>
      <c r="AWR38" s="459">
        <v>273365.71999999997</v>
      </c>
      <c r="AWS38" s="459">
        <v>273365.71999999997</v>
      </c>
      <c r="AWT38" s="459">
        <v>273365.71999999997</v>
      </c>
      <c r="AWU38" s="459">
        <v>273365.71999999997</v>
      </c>
      <c r="AWV38" s="459">
        <v>273365.71999999997</v>
      </c>
      <c r="AWW38" s="459">
        <v>273365.71999999997</v>
      </c>
      <c r="AWX38" s="459">
        <v>273365.71999999997</v>
      </c>
      <c r="AWY38" s="459">
        <v>273365.71999999997</v>
      </c>
      <c r="AWZ38" s="459">
        <v>273365.71999999997</v>
      </c>
      <c r="AXA38" s="459">
        <f>273365.72+9000000</f>
        <v>9273365.7200000007</v>
      </c>
      <c r="AXB38" s="459">
        <f>273365.72+9000000-1000</f>
        <v>9272365.7200000007</v>
      </c>
      <c r="AXC38" s="459">
        <v>785167.22</v>
      </c>
      <c r="AXD38" s="459">
        <v>718681.77</v>
      </c>
      <c r="AXE38" s="459">
        <v>718681.77</v>
      </c>
      <c r="AXF38" s="459">
        <f>717881.77-10000-9027.61-7161.48-371360-310680</f>
        <v>9652.6800000000512</v>
      </c>
      <c r="AXG38" s="459">
        <v>9527.68</v>
      </c>
      <c r="AXH38" s="459">
        <v>8527.68</v>
      </c>
      <c r="AXI38" s="459">
        <v>8527.68</v>
      </c>
      <c r="AXJ38" s="459">
        <v>8527.68</v>
      </c>
      <c r="AXK38" s="459">
        <v>8527.68</v>
      </c>
      <c r="AXL38" s="459">
        <v>8527.68</v>
      </c>
      <c r="AXM38" s="459">
        <v>8527.68</v>
      </c>
      <c r="AXN38" s="459">
        <v>8527.68</v>
      </c>
      <c r="AXO38" s="459">
        <v>8527.68</v>
      </c>
      <c r="AXP38" s="459">
        <v>8527.68</v>
      </c>
      <c r="AXQ38" s="459">
        <v>8527.68</v>
      </c>
      <c r="AXR38" s="459">
        <v>8527.68</v>
      </c>
      <c r="AXS38" s="459">
        <v>8527.68</v>
      </c>
      <c r="AXT38" s="459">
        <v>8527.68</v>
      </c>
      <c r="AXU38" s="459">
        <v>3208527.68</v>
      </c>
      <c r="AXV38" s="459">
        <v>3208527.68</v>
      </c>
      <c r="AXW38" s="459">
        <v>709152.68</v>
      </c>
      <c r="AXX38" s="459">
        <v>709152.68</v>
      </c>
      <c r="AXY38" s="459">
        <v>709152.68</v>
      </c>
      <c r="AXZ38" s="459">
        <v>21637.08</v>
      </c>
      <c r="AYA38" s="459">
        <v>21637.08</v>
      </c>
      <c r="AYB38" s="459">
        <v>21637.08</v>
      </c>
      <c r="AYC38" s="459">
        <v>21637.08</v>
      </c>
      <c r="AYD38" s="459">
        <v>21637.08</v>
      </c>
      <c r="AYE38" s="459">
        <v>21637.08</v>
      </c>
      <c r="AYF38" s="459">
        <v>21637.08</v>
      </c>
      <c r="AYG38" s="459">
        <v>21637.08</v>
      </c>
      <c r="AYH38" s="459">
        <v>21637.08</v>
      </c>
      <c r="AYI38" s="459">
        <v>21637.08</v>
      </c>
      <c r="AYJ38" s="459">
        <v>21637.08</v>
      </c>
      <c r="AYK38" s="459">
        <v>21637.08</v>
      </c>
      <c r="AYL38" s="459">
        <f>21637.08+2850000</f>
        <v>2871637.08</v>
      </c>
      <c r="AYM38" s="459">
        <v>47022.05</v>
      </c>
      <c r="AYN38" s="459">
        <v>47022.05</v>
      </c>
      <c r="AYO38" s="459">
        <v>47022.05</v>
      </c>
      <c r="AYP38" s="459">
        <v>3525373</v>
      </c>
      <c r="AYQ38" s="459">
        <v>3525373</v>
      </c>
      <c r="AYR38" s="459">
        <v>3525373</v>
      </c>
      <c r="AYS38" s="459">
        <v>3525073.96</v>
      </c>
      <c r="AYT38" s="459">
        <v>3525073.96</v>
      </c>
      <c r="AYU38" s="459">
        <v>2773248.96</v>
      </c>
      <c r="AYV38" s="459">
        <v>1061575.1599999999</v>
      </c>
      <c r="AYW38" s="459">
        <v>1061575.1599999999</v>
      </c>
      <c r="AYX38" s="459">
        <v>1175887.1000000001</v>
      </c>
      <c r="AYY38" s="459">
        <v>1047208.39</v>
      </c>
      <c r="AYZ38" s="459">
        <v>1047208.39</v>
      </c>
      <c r="AZA38" s="459">
        <v>1047208.39</v>
      </c>
      <c r="AZB38" s="459">
        <v>1047208.39</v>
      </c>
      <c r="AZC38" s="459">
        <v>1047208.39</v>
      </c>
      <c r="AZD38" s="459">
        <v>1044293.07</v>
      </c>
      <c r="AZE38" s="459">
        <v>1044293.07</v>
      </c>
      <c r="AZF38" s="459">
        <v>1044293.07</v>
      </c>
      <c r="AZG38" s="459">
        <v>1044293.07</v>
      </c>
      <c r="AZH38" s="459">
        <v>1044293.07</v>
      </c>
      <c r="AZI38" s="459">
        <v>1044293.07</v>
      </c>
      <c r="AZJ38" s="459">
        <v>1044293.07</v>
      </c>
      <c r="AZK38" s="459">
        <v>1044293.07</v>
      </c>
      <c r="AZL38" s="459">
        <v>1044293.07</v>
      </c>
      <c r="AZM38" s="459">
        <v>1044293.07</v>
      </c>
      <c r="AZN38" s="459">
        <v>1044293.07</v>
      </c>
      <c r="AZO38" s="459">
        <v>1044293.07</v>
      </c>
      <c r="AZP38" s="459">
        <v>1044293.07</v>
      </c>
      <c r="AZQ38" s="459">
        <v>1044293.07</v>
      </c>
      <c r="AZR38" s="459">
        <v>1044293.07</v>
      </c>
      <c r="AZS38" s="459">
        <v>1506048.67</v>
      </c>
      <c r="AZT38" s="459">
        <v>1370857.62</v>
      </c>
      <c r="AZU38" s="459">
        <v>1370857.62</v>
      </c>
      <c r="AZV38" s="459">
        <v>1370857.62</v>
      </c>
      <c r="AZW38" s="459">
        <v>1370857.62</v>
      </c>
      <c r="AZX38" s="459">
        <v>1370857.62</v>
      </c>
      <c r="AZY38" s="459">
        <f>1370857.62+31920000</f>
        <v>33290857.620000001</v>
      </c>
      <c r="AZZ38" s="459">
        <v>1658262.53</v>
      </c>
      <c r="BAA38" s="459">
        <v>1658262.53</v>
      </c>
      <c r="BAB38" s="459">
        <v>1658262.53</v>
      </c>
      <c r="BAC38" s="459">
        <v>1658262.53</v>
      </c>
      <c r="BAD38" s="459">
        <v>1658262.53</v>
      </c>
      <c r="BAE38" s="459">
        <v>1658262.53</v>
      </c>
      <c r="BAF38" s="459">
        <v>1658262.53</v>
      </c>
      <c r="BAG38" s="459">
        <v>1658262.53</v>
      </c>
      <c r="BAH38" s="459">
        <v>1522213.83</v>
      </c>
      <c r="BAI38" s="459">
        <v>5042194.6900000004</v>
      </c>
      <c r="BAJ38" s="459">
        <v>4888346.4400000004</v>
      </c>
      <c r="BAK38" s="459">
        <v>4888346.4400000004</v>
      </c>
      <c r="BAL38" s="459">
        <v>4888346.4400000004</v>
      </c>
      <c r="BAM38" s="459">
        <v>4888346.4400000004</v>
      </c>
      <c r="BAN38" s="459">
        <v>4888546.4400000004</v>
      </c>
      <c r="BAO38" s="459">
        <v>4888546.4400000004</v>
      </c>
      <c r="BAP38" s="459">
        <v>4886546.4400000004</v>
      </c>
      <c r="BAQ38" s="459">
        <v>4886546.4400000004</v>
      </c>
    </row>
    <row r="39" spans="1:1395" s="439" customFormat="1" x14ac:dyDescent="0.2">
      <c r="A39" s="478" t="s">
        <v>110</v>
      </c>
      <c r="B39" s="452"/>
      <c r="RE39" s="302"/>
      <c r="RF39" s="302"/>
      <c r="RG39" s="302"/>
      <c r="RH39" s="302"/>
      <c r="RI39" s="302"/>
      <c r="RJ39" s="302"/>
      <c r="RR39" s="302"/>
      <c r="RS39" s="302"/>
      <c r="RT39" s="302"/>
      <c r="YX39" s="218"/>
      <c r="YY39" s="218"/>
      <c r="YZ39" s="218"/>
      <c r="ZA39" s="218"/>
      <c r="ZB39" s="218"/>
    </row>
    <row r="40" spans="1:1395" s="218" customFormat="1" x14ac:dyDescent="0.2">
      <c r="A40" s="479"/>
      <c r="B40" s="217" t="s">
        <v>130</v>
      </c>
      <c r="DR40" s="278"/>
      <c r="HF40" s="218">
        <v>186425.4</v>
      </c>
      <c r="HP40" s="218">
        <v>202547.52</v>
      </c>
      <c r="HQ40" s="218">
        <v>202547.52</v>
      </c>
      <c r="HR40" s="218">
        <v>202547.52</v>
      </c>
      <c r="HS40" s="218">
        <v>202547.52</v>
      </c>
      <c r="JJ40" s="218">
        <v>167998.49</v>
      </c>
      <c r="JK40" s="218">
        <v>167998.49</v>
      </c>
      <c r="JL40" s="218">
        <v>167998.49</v>
      </c>
      <c r="JM40" s="218">
        <v>167998.49</v>
      </c>
      <c r="JW40" s="218">
        <v>167998.49</v>
      </c>
      <c r="JX40" s="218">
        <v>167998.49</v>
      </c>
      <c r="JY40" s="218">
        <v>167998.49</v>
      </c>
      <c r="JZ40" s="218">
        <v>167998.49</v>
      </c>
      <c r="KA40" s="218">
        <v>167998.49</v>
      </c>
      <c r="KN40" s="218">
        <v>191997.2</v>
      </c>
      <c r="LI40" s="218">
        <v>191997.2</v>
      </c>
      <c r="LJ40" s="218">
        <v>191997.2</v>
      </c>
      <c r="MB40" s="218">
        <v>167998.49</v>
      </c>
      <c r="MC40" s="218">
        <v>167998.49</v>
      </c>
      <c r="MD40" s="218">
        <v>167998.49</v>
      </c>
      <c r="ME40" s="218">
        <v>167999.49</v>
      </c>
      <c r="MF40" s="218">
        <v>168000.49</v>
      </c>
      <c r="MG40" s="218">
        <v>168001.49</v>
      </c>
      <c r="MH40" s="218">
        <v>168002.49</v>
      </c>
      <c r="MW40" s="218">
        <v>167998.49</v>
      </c>
      <c r="MX40" s="218">
        <v>167998.49</v>
      </c>
      <c r="MY40" s="218">
        <v>167998.49</v>
      </c>
      <c r="MZ40" s="218">
        <v>167998.49</v>
      </c>
      <c r="NK40" s="218">
        <v>167998.49</v>
      </c>
      <c r="NL40" s="218">
        <v>167998.49</v>
      </c>
      <c r="NM40" s="218">
        <v>167998.49</v>
      </c>
      <c r="NN40" s="218">
        <v>167998.49</v>
      </c>
      <c r="NO40" s="218">
        <v>167998.49</v>
      </c>
      <c r="NP40" s="218">
        <v>167998.49</v>
      </c>
      <c r="NQ40" s="218">
        <v>167998.49</v>
      </c>
      <c r="PB40" s="218">
        <v>178500.25</v>
      </c>
      <c r="QF40" s="218">
        <v>382166.18</v>
      </c>
      <c r="QG40" s="218">
        <v>382166.18</v>
      </c>
      <c r="QH40" s="218">
        <v>382166.18</v>
      </c>
      <c r="QI40" s="296">
        <v>197366.85</v>
      </c>
      <c r="QJ40" s="296">
        <v>197366.85</v>
      </c>
      <c r="QK40" s="218">
        <v>433779.58</v>
      </c>
      <c r="QL40" s="218">
        <v>248980.25</v>
      </c>
      <c r="QM40" s="218">
        <v>248980.25</v>
      </c>
      <c r="QN40" s="218">
        <v>248980.25</v>
      </c>
      <c r="QO40" s="218">
        <v>248980.25</v>
      </c>
      <c r="QP40" s="218">
        <v>37781.019999999997</v>
      </c>
      <c r="QQ40" s="218">
        <v>37781.019999999997</v>
      </c>
      <c r="QR40" s="218">
        <v>37781.019999999997</v>
      </c>
      <c r="QS40" s="218">
        <v>37781.019999999997</v>
      </c>
      <c r="QT40" s="218">
        <v>37781.019999999997</v>
      </c>
      <c r="QU40" s="218">
        <v>37781.019999999997</v>
      </c>
      <c r="QV40" s="218">
        <v>37781.019999999997</v>
      </c>
      <c r="QW40" s="218">
        <v>37781.019999999997</v>
      </c>
      <c r="RE40" s="302"/>
      <c r="RF40" s="302"/>
      <c r="RG40" s="302"/>
      <c r="RH40" s="302"/>
      <c r="RI40" s="302"/>
      <c r="RJ40" s="302"/>
      <c r="RM40" s="312">
        <v>89002.02</v>
      </c>
      <c r="RN40" s="312">
        <v>89002.02</v>
      </c>
      <c r="RO40" s="312">
        <v>89002.02</v>
      </c>
      <c r="RR40" s="302"/>
      <c r="RS40" s="302"/>
      <c r="RT40" s="302"/>
      <c r="RV40" s="218">
        <v>175000</v>
      </c>
      <c r="RW40" s="218">
        <v>175000</v>
      </c>
      <c r="RX40" s="218">
        <v>375000</v>
      </c>
      <c r="RY40" s="218">
        <v>179698.91</v>
      </c>
      <c r="RZ40" s="218">
        <v>179698.91</v>
      </c>
      <c r="SA40" s="218">
        <v>179698.91</v>
      </c>
      <c r="SB40" s="218">
        <v>179698.91</v>
      </c>
      <c r="SC40" s="218">
        <v>179698.91</v>
      </c>
      <c r="SD40" s="218">
        <v>179698.91</v>
      </c>
      <c r="SI40" s="218">
        <v>247000</v>
      </c>
      <c r="SJ40" s="218">
        <v>51698.91</v>
      </c>
      <c r="SK40" s="218">
        <v>51698.91</v>
      </c>
      <c r="SL40" s="218">
        <v>51698.91</v>
      </c>
      <c r="SM40" s="218">
        <v>51698.91</v>
      </c>
      <c r="SN40" s="218">
        <v>51698.91</v>
      </c>
      <c r="SO40" s="218">
        <v>51698.91</v>
      </c>
      <c r="SP40" s="218">
        <v>51698.91</v>
      </c>
      <c r="TL40" s="218">
        <v>201600.17</v>
      </c>
      <c r="TM40" s="218">
        <v>201600.17</v>
      </c>
      <c r="TO40" s="218">
        <v>201600.17</v>
      </c>
      <c r="TX40" s="218">
        <v>521663.34</v>
      </c>
      <c r="UT40" s="296">
        <v>522992.51</v>
      </c>
      <c r="UU40" s="296">
        <v>522993.51</v>
      </c>
      <c r="UV40" s="296"/>
      <c r="UW40" s="296"/>
      <c r="UX40" s="296"/>
      <c r="UY40" s="296"/>
      <c r="UZ40" s="296"/>
      <c r="VA40" s="296"/>
      <c r="VB40" s="296"/>
      <c r="VC40" s="296"/>
      <c r="VD40" s="296"/>
      <c r="VE40" s="296"/>
      <c r="VF40" s="296"/>
      <c r="VG40" s="296"/>
      <c r="VH40" s="296"/>
      <c r="VI40" s="296"/>
      <c r="VJ40" s="296"/>
      <c r="VK40" s="296"/>
      <c r="VL40" s="296"/>
      <c r="VM40" s="296"/>
      <c r="VN40" s="296"/>
      <c r="VO40" s="296"/>
      <c r="VP40" s="296">
        <v>523142.96</v>
      </c>
      <c r="VQ40" s="296">
        <v>523142.96</v>
      </c>
      <c r="VR40" s="296">
        <v>523142.96</v>
      </c>
      <c r="VS40" s="296">
        <v>523142.96</v>
      </c>
      <c r="VT40" s="296">
        <v>523142.96</v>
      </c>
      <c r="VU40" s="296">
        <v>523142.96</v>
      </c>
      <c r="VV40" s="296">
        <v>523142.96</v>
      </c>
      <c r="VW40" s="296">
        <v>523142.96</v>
      </c>
      <c r="VX40" s="296">
        <v>523142.96</v>
      </c>
      <c r="VY40" s="296">
        <v>523142.96</v>
      </c>
      <c r="VZ40" s="296">
        <v>523142.96</v>
      </c>
      <c r="WA40" s="296">
        <v>523142.96</v>
      </c>
      <c r="WB40" s="296">
        <v>523142.96</v>
      </c>
      <c r="WC40" s="296">
        <v>523143.96</v>
      </c>
      <c r="WD40" s="296">
        <v>523143.96</v>
      </c>
      <c r="WE40" s="296">
        <v>523143.96</v>
      </c>
      <c r="WF40" s="296">
        <v>523143.96</v>
      </c>
      <c r="WG40" s="296">
        <v>523143.96</v>
      </c>
      <c r="WH40" s="296">
        <v>523143.96</v>
      </c>
      <c r="WI40" s="296">
        <v>523143.96</v>
      </c>
      <c r="WJ40" s="296">
        <v>523143.96</v>
      </c>
      <c r="WK40" s="296">
        <v>523143.96</v>
      </c>
      <c r="WL40" s="296">
        <v>523143.96</v>
      </c>
      <c r="WM40" s="296">
        <v>523143.96</v>
      </c>
      <c r="WN40" s="296">
        <v>523143.96</v>
      </c>
      <c r="WO40" s="296">
        <v>523143.96</v>
      </c>
      <c r="WP40" s="296">
        <v>523143.96</v>
      </c>
      <c r="WQ40" s="296">
        <v>523143.96</v>
      </c>
      <c r="WR40" s="296">
        <v>523143.96</v>
      </c>
      <c r="WS40" s="296">
        <v>523143.96</v>
      </c>
      <c r="WT40" s="296">
        <v>523143.96</v>
      </c>
      <c r="WU40" s="296">
        <v>523143.96</v>
      </c>
      <c r="WV40" s="296">
        <v>523143.96</v>
      </c>
      <c r="WW40" s="296">
        <v>523143.96</v>
      </c>
      <c r="WX40" s="296">
        <v>523143.96</v>
      </c>
      <c r="WY40" s="296">
        <v>523143.96</v>
      </c>
      <c r="WZ40" s="296">
        <v>523143.96</v>
      </c>
      <c r="XA40" s="296">
        <v>523143.96</v>
      </c>
      <c r="XB40" s="296">
        <v>523143.96</v>
      </c>
      <c r="XC40" s="296">
        <v>523143.96</v>
      </c>
      <c r="XD40" s="296">
        <v>523143.96</v>
      </c>
      <c r="XE40" s="296">
        <v>523143.96</v>
      </c>
      <c r="XF40" s="296">
        <v>523143.96</v>
      </c>
      <c r="XG40" s="296">
        <v>523143.96</v>
      </c>
      <c r="XH40" s="296">
        <v>523143.96</v>
      </c>
      <c r="XI40" s="296">
        <v>523143.96</v>
      </c>
      <c r="XJ40" s="296">
        <v>523143.96</v>
      </c>
      <c r="XK40" s="296">
        <v>523143.96</v>
      </c>
      <c r="XL40" s="296">
        <v>523143.96</v>
      </c>
      <c r="XM40" s="296">
        <v>523143.96</v>
      </c>
      <c r="XN40" s="296">
        <v>523143.96</v>
      </c>
      <c r="XO40" s="296">
        <v>523143.96</v>
      </c>
      <c r="XP40" s="296">
        <v>523143.96</v>
      </c>
      <c r="XQ40" s="296">
        <v>523143.96</v>
      </c>
      <c r="XR40" s="296">
        <v>523143.96</v>
      </c>
      <c r="XS40" s="296">
        <v>523143.96</v>
      </c>
      <c r="XT40" s="296">
        <v>523143.96</v>
      </c>
      <c r="XU40" s="296">
        <v>523143.96</v>
      </c>
      <c r="XV40" s="296">
        <v>523143.96</v>
      </c>
      <c r="XW40" s="296">
        <v>523143.96</v>
      </c>
      <c r="XX40" s="296">
        <v>523143.96</v>
      </c>
      <c r="XY40" s="296">
        <v>523143.96</v>
      </c>
      <c r="XZ40" s="296">
        <v>523143.96</v>
      </c>
      <c r="YA40" s="296">
        <v>523143.96</v>
      </c>
      <c r="YB40" s="296">
        <v>523143.96</v>
      </c>
      <c r="YC40" s="296">
        <v>523143.96</v>
      </c>
      <c r="YD40" s="296">
        <v>523143.96</v>
      </c>
      <c r="YE40" s="296">
        <v>523143.96</v>
      </c>
      <c r="YF40" s="296">
        <v>523143.96</v>
      </c>
      <c r="YG40" s="296">
        <v>523143.96</v>
      </c>
      <c r="YH40" s="296">
        <v>523143.96</v>
      </c>
      <c r="YI40" s="296">
        <v>523143.96</v>
      </c>
      <c r="YJ40" s="296">
        <v>523143.96</v>
      </c>
      <c r="YK40" s="296">
        <v>523143.96</v>
      </c>
      <c r="YL40" s="296">
        <v>523143.96</v>
      </c>
      <c r="YM40" s="296">
        <v>523143.96</v>
      </c>
      <c r="YN40" s="296">
        <v>523143.96</v>
      </c>
      <c r="YO40" s="296">
        <v>523143.96</v>
      </c>
      <c r="YP40" s="296">
        <v>523143.96</v>
      </c>
      <c r="YQ40" s="296">
        <v>523143.96</v>
      </c>
      <c r="YR40" s="296">
        <v>522142.96</v>
      </c>
      <c r="YS40" s="296">
        <v>522086.81</v>
      </c>
      <c r="YT40" s="218">
        <v>523111.75</v>
      </c>
      <c r="YU40" s="218">
        <v>522086.81</v>
      </c>
      <c r="YV40" s="278">
        <v>522086.81</v>
      </c>
      <c r="YW40" s="218">
        <v>522086.81</v>
      </c>
      <c r="YX40" s="218">
        <v>522086.81</v>
      </c>
      <c r="YY40" s="218">
        <v>522086.81</v>
      </c>
      <c r="YZ40" s="218">
        <v>522086.81</v>
      </c>
      <c r="ZA40" s="218">
        <v>522086.81</v>
      </c>
      <c r="ZB40" s="218">
        <v>522086.81</v>
      </c>
      <c r="ZC40" s="218">
        <v>522086.81</v>
      </c>
      <c r="ZD40" s="218">
        <v>522086.81</v>
      </c>
      <c r="ZE40" s="218">
        <v>522086.81</v>
      </c>
      <c r="ZF40" s="218">
        <v>522086.81</v>
      </c>
      <c r="ZG40" s="218">
        <v>522086.81</v>
      </c>
      <c r="ZH40" s="218">
        <v>522086.81</v>
      </c>
      <c r="ZI40" s="218">
        <v>522086.81</v>
      </c>
      <c r="ZJ40" s="218">
        <v>522086.81</v>
      </c>
      <c r="ZK40" s="218">
        <v>522086.81</v>
      </c>
      <c r="ZL40" s="218">
        <v>522086.81</v>
      </c>
      <c r="ZM40" s="218">
        <v>522086.81</v>
      </c>
      <c r="ZN40" s="218">
        <v>522086.81</v>
      </c>
      <c r="ZO40" s="218">
        <v>522086.81</v>
      </c>
      <c r="ZP40" s="218">
        <v>522086.81</v>
      </c>
      <c r="ZQ40" s="218">
        <v>522086.81</v>
      </c>
      <c r="ZR40" s="218">
        <v>522086.81</v>
      </c>
      <c r="ZS40" s="218">
        <v>522086.81</v>
      </c>
      <c r="ZT40" s="218">
        <v>522086.81</v>
      </c>
      <c r="ZU40" s="218">
        <v>522086.81</v>
      </c>
      <c r="ZV40" s="218">
        <v>522086.81</v>
      </c>
      <c r="ZW40" s="218">
        <v>522086.81</v>
      </c>
      <c r="ZX40" s="218">
        <v>522086.81</v>
      </c>
      <c r="ZY40" s="218">
        <v>522086.81</v>
      </c>
      <c r="ZZ40" s="218">
        <v>522086.81</v>
      </c>
      <c r="AAA40" s="218">
        <v>522086.81</v>
      </c>
      <c r="AAB40" s="218">
        <v>522086.81</v>
      </c>
      <c r="AAC40" s="218">
        <v>522086.81</v>
      </c>
      <c r="AAD40" s="218">
        <v>522086.81</v>
      </c>
      <c r="AAE40" s="218">
        <v>522086.81</v>
      </c>
      <c r="AAF40" s="218">
        <v>522086.81</v>
      </c>
      <c r="AAG40" s="218">
        <v>522086.81</v>
      </c>
      <c r="AAH40" s="218">
        <v>522086.81</v>
      </c>
      <c r="AAI40" s="218">
        <v>522086.81</v>
      </c>
      <c r="AAJ40" s="218">
        <v>522086.81</v>
      </c>
      <c r="AAK40" s="218">
        <v>522086.81</v>
      </c>
      <c r="AAL40" s="218">
        <v>522086.81</v>
      </c>
      <c r="AAM40" s="218">
        <v>522086.81</v>
      </c>
      <c r="AAN40" s="218">
        <v>522086.81</v>
      </c>
      <c r="AAO40" s="218">
        <v>522086.81</v>
      </c>
      <c r="AAP40" s="218">
        <v>522086.81</v>
      </c>
      <c r="AAQ40" s="218">
        <v>522086.81</v>
      </c>
      <c r="AAR40" s="218">
        <v>522086.81</v>
      </c>
      <c r="AAS40" s="218">
        <v>522086.81</v>
      </c>
      <c r="AAT40" s="218">
        <v>522086.81</v>
      </c>
      <c r="AAU40" s="218">
        <v>522086.81</v>
      </c>
      <c r="AAV40" s="218">
        <v>522086.81</v>
      </c>
      <c r="AAW40" s="218">
        <v>522086.81</v>
      </c>
      <c r="AAX40" s="218">
        <v>522086.81</v>
      </c>
      <c r="AAY40" s="218">
        <v>522086.81</v>
      </c>
      <c r="AAZ40" s="218">
        <v>522086.81</v>
      </c>
      <c r="ABA40" s="218">
        <v>522086.81</v>
      </c>
      <c r="ABB40" s="218">
        <v>522086.81</v>
      </c>
      <c r="ABC40" s="218">
        <v>522086.81</v>
      </c>
      <c r="ABD40" s="218">
        <v>522086.81</v>
      </c>
      <c r="ABE40" s="218">
        <v>522086.81</v>
      </c>
      <c r="ABF40" s="218">
        <v>522086.81</v>
      </c>
      <c r="ABG40" s="218">
        <v>522086.81</v>
      </c>
      <c r="ABH40" s="218">
        <v>522086.81</v>
      </c>
      <c r="ABI40" s="218">
        <v>522086.81</v>
      </c>
      <c r="ABJ40" s="218">
        <v>522086.81</v>
      </c>
      <c r="ABK40" s="218">
        <v>522086.81</v>
      </c>
      <c r="ABL40" s="218">
        <v>522086.81</v>
      </c>
      <c r="ABM40" s="218">
        <v>522086.81</v>
      </c>
      <c r="ABN40" s="218">
        <v>522086.81</v>
      </c>
      <c r="ABO40" s="218">
        <v>522086.81</v>
      </c>
      <c r="ABP40" s="218">
        <v>522086.81</v>
      </c>
      <c r="ABQ40" s="218">
        <v>522086.81</v>
      </c>
      <c r="ABR40" s="218">
        <v>522086.81</v>
      </c>
      <c r="ABS40" s="218">
        <v>522086.81</v>
      </c>
      <c r="ABT40" s="218">
        <v>522086.81</v>
      </c>
      <c r="ABU40" s="218">
        <v>522086.81</v>
      </c>
      <c r="ABV40" s="218">
        <v>522086.81</v>
      </c>
      <c r="ABW40" s="218">
        <v>522086.81</v>
      </c>
      <c r="ABX40" s="218">
        <v>522086.81</v>
      </c>
      <c r="ABY40" s="218">
        <v>522086.81</v>
      </c>
      <c r="ABZ40" s="218">
        <v>522086.81</v>
      </c>
      <c r="ACA40" s="218">
        <v>522086.81</v>
      </c>
      <c r="ACB40" s="218">
        <v>522086.81</v>
      </c>
      <c r="ACC40" s="218">
        <v>522086.81</v>
      </c>
      <c r="ACD40" s="218">
        <v>522086.81</v>
      </c>
      <c r="ACE40" s="218">
        <v>522086.81</v>
      </c>
      <c r="ACF40" s="218">
        <v>522086.81</v>
      </c>
      <c r="ACG40" s="218">
        <v>522086.81</v>
      </c>
      <c r="ACH40" s="218">
        <v>522086.81</v>
      </c>
      <c r="ACI40" s="218">
        <v>522086.81</v>
      </c>
      <c r="ACJ40" s="218">
        <v>522086.81</v>
      </c>
      <c r="ACK40" s="218">
        <v>517922.29</v>
      </c>
      <c r="ACL40" s="218">
        <v>517922.29</v>
      </c>
      <c r="ACM40" s="218">
        <v>517922.29</v>
      </c>
      <c r="ACN40" s="218">
        <v>517922.29</v>
      </c>
      <c r="ACO40" s="218">
        <v>517922.29</v>
      </c>
    </row>
    <row r="41" spans="1:1395" s="218" customFormat="1" x14ac:dyDescent="0.2">
      <c r="A41" s="479"/>
      <c r="B41" s="311" t="s">
        <v>190</v>
      </c>
      <c r="RE41" s="302"/>
      <c r="RF41" s="302"/>
      <c r="RG41" s="302"/>
      <c r="RH41" s="302"/>
      <c r="RI41" s="302"/>
      <c r="RJ41" s="302"/>
      <c r="RR41" s="302"/>
      <c r="RS41" s="302"/>
      <c r="RT41" s="302"/>
      <c r="YF41" s="218">
        <v>384992</v>
      </c>
      <c r="YG41" s="218">
        <v>384992</v>
      </c>
      <c r="YH41" s="218">
        <v>384992</v>
      </c>
      <c r="YI41" s="218">
        <v>384992</v>
      </c>
      <c r="YJ41" s="218">
        <v>384992</v>
      </c>
      <c r="ACB41" s="218">
        <v>18560</v>
      </c>
      <c r="ACC41" s="218">
        <v>18560</v>
      </c>
      <c r="ACD41" s="218">
        <v>18560</v>
      </c>
      <c r="ACE41" s="218">
        <v>9280</v>
      </c>
      <c r="ACF41" s="218">
        <v>9280</v>
      </c>
      <c r="ACG41" s="218">
        <v>9280</v>
      </c>
      <c r="ACH41" s="218">
        <v>9280</v>
      </c>
      <c r="ACI41" s="218">
        <v>9280</v>
      </c>
      <c r="ACJ41" s="218">
        <v>9280</v>
      </c>
      <c r="ACK41" s="218">
        <v>9280</v>
      </c>
      <c r="ACL41" s="218">
        <v>9280</v>
      </c>
      <c r="ACM41" s="218">
        <v>9280</v>
      </c>
      <c r="ACN41" s="218">
        <v>9280</v>
      </c>
      <c r="ACO41" s="218">
        <v>9280</v>
      </c>
      <c r="ACP41" s="218">
        <v>9280</v>
      </c>
      <c r="ACQ41" s="218">
        <v>9280</v>
      </c>
      <c r="ACR41" s="218">
        <v>9280</v>
      </c>
      <c r="ACS41" s="218">
        <v>9280</v>
      </c>
      <c r="ACT41" s="218">
        <v>9280</v>
      </c>
      <c r="ACU41" s="218">
        <v>9280</v>
      </c>
      <c r="ACV41" s="218">
        <v>9280</v>
      </c>
      <c r="ACW41" s="218">
        <v>9280</v>
      </c>
      <c r="ACX41" s="218">
        <v>9280</v>
      </c>
      <c r="ACY41" s="218">
        <v>9280</v>
      </c>
      <c r="ACZ41" s="218">
        <v>9280</v>
      </c>
      <c r="ADA41" s="218">
        <v>9280</v>
      </c>
      <c r="ADB41" s="218">
        <v>9280</v>
      </c>
      <c r="ADC41" s="218">
        <v>9280</v>
      </c>
      <c r="ADD41" s="218">
        <v>9280</v>
      </c>
      <c r="ADE41" s="218">
        <v>9280</v>
      </c>
      <c r="ADF41" s="218">
        <v>9280</v>
      </c>
      <c r="ADG41" s="218">
        <v>9280</v>
      </c>
      <c r="ADH41" s="218">
        <v>9280</v>
      </c>
      <c r="ADI41" s="218">
        <v>9280</v>
      </c>
      <c r="ADJ41" s="218">
        <v>9280</v>
      </c>
      <c r="ADK41" s="218">
        <v>9280</v>
      </c>
      <c r="ADL41" s="218">
        <v>9280</v>
      </c>
      <c r="ADM41" s="218">
        <v>9280</v>
      </c>
      <c r="ADN41" s="218">
        <v>9280</v>
      </c>
    </row>
    <row r="42" spans="1:1395" s="459" customFormat="1" x14ac:dyDescent="0.2">
      <c r="A42" s="479"/>
      <c r="B42" s="465" t="s">
        <v>188</v>
      </c>
      <c r="RE42" s="460"/>
      <c r="RF42" s="460"/>
      <c r="RG42" s="460"/>
      <c r="RH42" s="460"/>
      <c r="RI42" s="460"/>
      <c r="RJ42" s="460"/>
      <c r="RR42" s="460"/>
      <c r="RS42" s="460"/>
      <c r="RT42" s="460"/>
      <c r="ALC42" s="459">
        <v>9000</v>
      </c>
      <c r="ALD42" s="459">
        <v>10000</v>
      </c>
      <c r="ALE42" s="459">
        <v>10000</v>
      </c>
      <c r="ALF42" s="459">
        <v>10000</v>
      </c>
      <c r="ALG42" s="459">
        <v>10000</v>
      </c>
      <c r="ALH42" s="459">
        <v>10000</v>
      </c>
      <c r="ALI42" s="459">
        <v>1286.48</v>
      </c>
      <c r="ALJ42" s="459">
        <v>1286.48</v>
      </c>
      <c r="ALK42" s="459">
        <v>1286.48</v>
      </c>
      <c r="ALL42" s="459">
        <v>1286.48</v>
      </c>
      <c r="ALM42" s="459">
        <v>1286.48</v>
      </c>
      <c r="ALN42" s="459">
        <v>1286.48</v>
      </c>
      <c r="ALO42" s="459">
        <v>1286.48</v>
      </c>
      <c r="ALP42" s="459">
        <v>1286.48</v>
      </c>
      <c r="ALQ42" s="459">
        <v>1286.48</v>
      </c>
      <c r="ALR42" s="459">
        <v>1286.48</v>
      </c>
      <c r="ALS42" s="459">
        <v>1286.48</v>
      </c>
      <c r="ALT42" s="459">
        <v>1286.48</v>
      </c>
      <c r="ALU42" s="459">
        <v>1286.48</v>
      </c>
      <c r="ALV42" s="459">
        <v>1286.48</v>
      </c>
      <c r="ALW42" s="459">
        <v>1286.48</v>
      </c>
      <c r="ALX42" s="459">
        <v>1286.48</v>
      </c>
      <c r="ALY42" s="459">
        <v>1286.48</v>
      </c>
      <c r="ALZ42" s="459">
        <v>1286.48</v>
      </c>
      <c r="AMA42" s="459">
        <v>1286.48</v>
      </c>
      <c r="AMB42" s="459">
        <v>1286.48</v>
      </c>
      <c r="AMC42" s="459">
        <v>1286.48</v>
      </c>
      <c r="AMD42" s="459">
        <v>1286.48</v>
      </c>
      <c r="AME42" s="459">
        <v>1286.48</v>
      </c>
      <c r="AMF42" s="459">
        <v>1286.48</v>
      </c>
      <c r="AMG42" s="459">
        <v>1286.48</v>
      </c>
      <c r="AMH42" s="459">
        <v>1286.48</v>
      </c>
      <c r="AMI42" s="459">
        <v>1286.48</v>
      </c>
      <c r="AMJ42" s="459">
        <v>1286.48</v>
      </c>
      <c r="AMK42" s="459">
        <v>1286.48</v>
      </c>
      <c r="AML42" s="459">
        <v>1286.48</v>
      </c>
      <c r="AMM42" s="459">
        <v>1286.48</v>
      </c>
      <c r="AMN42" s="459">
        <v>1286.48</v>
      </c>
      <c r="AMO42" s="459">
        <v>1286.48</v>
      </c>
      <c r="AMP42" s="459">
        <v>1286.48</v>
      </c>
      <c r="AMQ42" s="459">
        <v>1286.48</v>
      </c>
      <c r="AMR42" s="459">
        <v>1286.48</v>
      </c>
      <c r="AMS42" s="459">
        <v>1286.48</v>
      </c>
      <c r="AMT42" s="459">
        <v>1286.48</v>
      </c>
      <c r="AMU42" s="459">
        <v>1286.48</v>
      </c>
      <c r="AMV42" s="459">
        <v>1286.48</v>
      </c>
      <c r="AMW42" s="459">
        <v>1286.48</v>
      </c>
    </row>
    <row r="43" spans="1:1395" s="219" customFormat="1" ht="18.75" x14ac:dyDescent="0.2">
      <c r="A43" s="230" t="s">
        <v>111</v>
      </c>
      <c r="JJ43" s="219">
        <f>JJ40*75.148</f>
        <v>12624750.526519999</v>
      </c>
      <c r="JK43" s="219">
        <f>JK40*75.0565</f>
        <v>12609378.664685</v>
      </c>
      <c r="JL43" s="219">
        <f>JL40*74.7703</f>
        <v>12561297.496847</v>
      </c>
      <c r="JM43" s="219">
        <f>JM40*74.97</f>
        <v>12594846.795299999</v>
      </c>
      <c r="JW43" s="219">
        <f>JW40*74.2963</f>
        <v>12481666.212586999</v>
      </c>
      <c r="JX43" s="219">
        <f>JX40*74.3332</f>
        <v>12487865.356868001</v>
      </c>
      <c r="JY43" s="219">
        <f>JY40*74.0876</f>
        <v>12446604.927723998</v>
      </c>
      <c r="JZ43" s="219">
        <f>JZ40*74.4898</f>
        <v>12514173.920402</v>
      </c>
      <c r="KA43" s="219">
        <f>KA40*74.8249</f>
        <v>12570470.214400999</v>
      </c>
      <c r="KN43" s="219">
        <f>KN40*72.9995</f>
        <v>14015699.601400001</v>
      </c>
      <c r="LI43" s="219">
        <f>LI40*72.36</f>
        <v>13892917.392000001</v>
      </c>
      <c r="LJ43" s="219">
        <f>LJ40*72.244</f>
        <v>13870645.716800001</v>
      </c>
      <c r="MB43" s="219">
        <f>MB40*71.9654</f>
        <v>12090078.532245999</v>
      </c>
      <c r="MC43" s="219">
        <f>MC40*71.8427</f>
        <v>12069465.117522998</v>
      </c>
      <c r="MD43" s="219">
        <f>MD40*71.8369</f>
        <v>12068490.726280998</v>
      </c>
      <c r="ME43" s="219">
        <f>ME40*72.3186</f>
        <v>12149487.917514</v>
      </c>
      <c r="MF43" s="219">
        <f>MF40*72.1863</f>
        <v>12127333.771287</v>
      </c>
      <c r="MG43" s="219">
        <f>MG40*72.168</f>
        <v>12124331.53032</v>
      </c>
      <c r="MH43" s="219">
        <f>MH40*72.4118</f>
        <v>12165362.705381999</v>
      </c>
      <c r="MW43" s="219">
        <f>MW40*71.6377</f>
        <v>12035025.427072998</v>
      </c>
      <c r="MX43" s="219">
        <f>MX40*71.5457</f>
        <v>12019569.565992998</v>
      </c>
      <c r="MY43" s="219">
        <f>MY40*71.349</f>
        <v>11986524.263010001</v>
      </c>
      <c r="MZ43" s="219">
        <f>MZ40*71.5973</f>
        <v>12028238.288077001</v>
      </c>
      <c r="NK43" s="219">
        <f>NK40*71.4626</f>
        <v>12005608.891473999</v>
      </c>
      <c r="NL43" s="219">
        <f>NL40*71.5671</f>
        <v>12023164.733678998</v>
      </c>
      <c r="NM43" s="219">
        <f>NM40*71.0073</f>
        <v>11929119.178977</v>
      </c>
      <c r="NN43" s="219">
        <f>NN40*71.0114</f>
        <v>11929807.972785998</v>
      </c>
      <c r="NO43" s="219">
        <f>NO40*70.8574</f>
        <v>11903936.205325998</v>
      </c>
      <c r="NP43" s="219">
        <f>NP40*70.5552</f>
        <v>11853167.061648</v>
      </c>
      <c r="NQ43" s="219">
        <f>NQ40*70.6068</f>
        <v>11861835.783732001</v>
      </c>
      <c r="PB43" s="219">
        <f>70.9373*PB40</f>
        <v>12662325.784324998</v>
      </c>
      <c r="QF43" s="219">
        <f>QF40*81.1468</f>
        <v>31011562.575223997</v>
      </c>
      <c r="QG43" s="219">
        <f>QG40*79.1189</f>
        <v>30236567.778801996</v>
      </c>
      <c r="QH43" s="219">
        <f>QH40*80.0611</f>
        <v>30596644.753597997</v>
      </c>
      <c r="QI43" s="219">
        <f>QI40*79.9033</f>
        <v>15770262.625605</v>
      </c>
      <c r="QJ43" s="219">
        <f>QJ40*77.7965</f>
        <v>15354450.146025</v>
      </c>
      <c r="QK43" s="219">
        <f>QK40*78.5489</f>
        <v>34072908.851461999</v>
      </c>
      <c r="QL43" s="219">
        <f>QL40*77.3245</f>
        <v>19252273.341125</v>
      </c>
      <c r="QM43" s="219">
        <f>QM40*77.9229</f>
        <v>19401263.122724999</v>
      </c>
      <c r="QN43" s="219">
        <f>QN40*78.2924</f>
        <v>19493261.325100001</v>
      </c>
      <c r="QO43" s="219">
        <f>QO40*78.0589</f>
        <v>19435124.436724998</v>
      </c>
      <c r="QP43" s="219">
        <f>QP40*79.5181</f>
        <v>3004274.9264619998</v>
      </c>
      <c r="QQ43" s="219">
        <f>QQ40*80.4134</f>
        <v>3038100.2736679995</v>
      </c>
      <c r="QR43" s="219">
        <f>QR40*81.6821</f>
        <v>3086033.0537419999</v>
      </c>
      <c r="QS43" s="219">
        <f>QS40*83.1031</f>
        <v>3139719.8831619998</v>
      </c>
      <c r="QT43" s="219">
        <f>QT40*86.2532</f>
        <v>3258733.874264</v>
      </c>
      <c r="QU43" s="219">
        <f>QU40*86.6178</f>
        <v>3272508.8341559996</v>
      </c>
      <c r="QV43" s="219">
        <f>QV40*87.0399</f>
        <v>3288456.2026979998</v>
      </c>
      <c r="QW43" s="219">
        <f>QW40*87.4261</f>
        <v>3303047.2326219999</v>
      </c>
      <c r="RE43" s="303"/>
      <c r="RF43" s="303"/>
      <c r="RG43" s="303"/>
      <c r="RH43" s="303"/>
      <c r="RI43" s="303"/>
      <c r="RJ43" s="303"/>
      <c r="RM43" s="219">
        <f>RM40*89.9695</f>
        <v>8007467.2383899996</v>
      </c>
      <c r="RN43" s="219">
        <f>RN40*88.5847</f>
        <v>7884217.2410940006</v>
      </c>
      <c r="RO43" s="219">
        <f>RO40*91.0029</f>
        <v>8099441.9258580003</v>
      </c>
      <c r="RR43" s="303"/>
      <c r="RS43" s="303"/>
      <c r="RT43" s="303"/>
      <c r="RV43" s="219">
        <f>RV40*89.4019</f>
        <v>15645332.5</v>
      </c>
      <c r="RW43" s="219">
        <f>RW40*88.9754</f>
        <v>15570694.999999998</v>
      </c>
      <c r="RX43" s="219">
        <f>RX40*89.6604</f>
        <v>33622650</v>
      </c>
      <c r="RY43" s="219">
        <f>RY40*89.5652</f>
        <v>16094768.813932002</v>
      </c>
      <c r="RZ43" s="219">
        <f>RZ40*88.9334</f>
        <v>15981235.042594001</v>
      </c>
      <c r="SA43" s="219">
        <f>SA40*87.3508</f>
        <v>15696843.547628002</v>
      </c>
      <c r="SB43" s="219">
        <f>SB40*89.767</f>
        <v>16131032.05397</v>
      </c>
      <c r="SC43" s="219">
        <f>SC40*89.349</f>
        <v>16055917.90959</v>
      </c>
      <c r="SD43" s="219">
        <f>SD40*89.9958</f>
        <v>16172147.164578</v>
      </c>
      <c r="SI43" s="219">
        <f>SI40*89.6584</f>
        <v>22145624.800000001</v>
      </c>
      <c r="SJ43" s="219">
        <f>SJ40*89.6877</f>
        <v>4636756.3304070011</v>
      </c>
      <c r="SK43" s="219">
        <f>SK40*89.3778</f>
        <v>4620734.8381979996</v>
      </c>
      <c r="SL43" s="219">
        <f>SL40*88.6433</f>
        <v>4582761.9888030002</v>
      </c>
      <c r="SM43" s="219">
        <f>SM40*87.3274</f>
        <v>4514731.3931339998</v>
      </c>
      <c r="SN43" s="219">
        <f>SN40*86.8942</f>
        <v>4492335.4253219999</v>
      </c>
      <c r="SO43" s="219">
        <f>SO40*86.1657</f>
        <v>4454672.7693870002</v>
      </c>
      <c r="SP43" s="219">
        <f>SP40*87.0272</f>
        <v>4499211.3803519998</v>
      </c>
      <c r="TL43" s="219">
        <f>TL40*83.1138</f>
        <v>16755756.209346</v>
      </c>
      <c r="TM43" s="219">
        <f>TM40*82.866</f>
        <v>16705799.687220002</v>
      </c>
      <c r="TO43" s="219">
        <f>TO40*82.9363</f>
        <v>16719972.179171002</v>
      </c>
      <c r="TP43" s="219">
        <f>TP40*82.9363</f>
        <v>0</v>
      </c>
      <c r="TQ43" s="219">
        <f>TQ40*82.9363</f>
        <v>0</v>
      </c>
      <c r="TX43" s="219">
        <f>TX40*91.7457</f>
        <v>47860368.292638004</v>
      </c>
      <c r="UT43" s="219">
        <f>UT40*83.4285</f>
        <v>43632480.620535001</v>
      </c>
      <c r="UU43" s="219">
        <f>UU40*83.5932</f>
        <v>43718701.080132</v>
      </c>
      <c r="UV43" s="219">
        <f>UV40*83.5932</f>
        <v>0</v>
      </c>
      <c r="UW43" s="219">
        <f>UW40*83.5932</f>
        <v>0</v>
      </c>
      <c r="UX43" s="219">
        <f t="shared" ref="UX43:UY43" si="3">UX40*83.5932</f>
        <v>0</v>
      </c>
      <c r="UY43" s="219">
        <f t="shared" si="3"/>
        <v>0</v>
      </c>
      <c r="UZ43" s="219">
        <f t="shared" ref="UZ43:VA43" si="4">UZ40*83.5932</f>
        <v>0</v>
      </c>
      <c r="VA43" s="219">
        <f t="shared" si="4"/>
        <v>0</v>
      </c>
      <c r="VB43" s="219">
        <f t="shared" ref="VB43:VC43" si="5">VB40*83.5932</f>
        <v>0</v>
      </c>
      <c r="VC43" s="219">
        <f t="shared" si="5"/>
        <v>0</v>
      </c>
      <c r="VD43" s="219">
        <f t="shared" ref="VD43:VE43" si="6">VD40*83.5932</f>
        <v>0</v>
      </c>
      <c r="VE43" s="219">
        <f t="shared" si="6"/>
        <v>0</v>
      </c>
      <c r="VF43" s="219">
        <f t="shared" ref="VF43:VG43" si="7">VF40*83.5932</f>
        <v>0</v>
      </c>
      <c r="VG43" s="219">
        <f t="shared" si="7"/>
        <v>0</v>
      </c>
      <c r="VH43" s="219">
        <f t="shared" ref="VH43:VI43" si="8">VH40*83.5932</f>
        <v>0</v>
      </c>
      <c r="VI43" s="219">
        <f t="shared" si="8"/>
        <v>0</v>
      </c>
      <c r="VJ43" s="219">
        <f t="shared" ref="VJ43:VK43" si="9">VJ40*83.5932</f>
        <v>0</v>
      </c>
      <c r="VK43" s="219">
        <f t="shared" si="9"/>
        <v>0</v>
      </c>
      <c r="VL43" s="219">
        <f t="shared" ref="VL43:VM43" si="10">VL40*83.5932</f>
        <v>0</v>
      </c>
      <c r="VM43" s="219">
        <f t="shared" si="10"/>
        <v>0</v>
      </c>
      <c r="VN43" s="219">
        <f t="shared" ref="VN43:VO43" si="11">VN40*83.5932</f>
        <v>0</v>
      </c>
      <c r="VO43" s="219">
        <f t="shared" si="11"/>
        <v>0</v>
      </c>
      <c r="VP43" s="219">
        <f>VP40*66.2378</f>
        <v>34651838.755888</v>
      </c>
      <c r="VQ43" s="219">
        <f>VQ40*67.3843</f>
        <v>35251622.159528002</v>
      </c>
      <c r="VR43" s="219">
        <f>VR40*68.8389</f>
        <v>36012585.909143999</v>
      </c>
      <c r="VS43" s="219">
        <f>VS40*65.7916</f>
        <v>34418412.367136002</v>
      </c>
      <c r="VT43" s="219">
        <f>VT40*63.7799</f>
        <v>33366005.674504001</v>
      </c>
      <c r="VU43" s="219">
        <f>VU40*63.4445</f>
        <v>33190543.52572</v>
      </c>
      <c r="VV43" s="219">
        <f>VV40*63.5428</f>
        <v>33241968.478688002</v>
      </c>
      <c r="VW43" s="219">
        <f>VW40*63.5643</f>
        <v>33253216.052328002</v>
      </c>
      <c r="VX43" s="219">
        <f>VX40*62.4031</f>
        <v>32645742.447176002</v>
      </c>
      <c r="VY43" s="219">
        <f>VY40*58.8862</f>
        <v>30805900.971152004</v>
      </c>
      <c r="VZ43" s="219">
        <f>VZ40*58.2087</f>
        <v>30451471.615752</v>
      </c>
      <c r="WA43" s="219">
        <f>WA40*56.969</f>
        <v>29802931.288240001</v>
      </c>
      <c r="WB43" s="219">
        <f>WB40*56.2996</f>
        <v>29452739.390815999</v>
      </c>
      <c r="WC43" s="219">
        <f>WC40*62.0495</f>
        <v>32460821.146020003</v>
      </c>
      <c r="WD43" s="219">
        <f>WD40*66.4029</f>
        <v>34738276.061484002</v>
      </c>
      <c r="WE43" s="219">
        <f>WE40*63.0975</f>
        <v>33009076.016100001</v>
      </c>
      <c r="WF43" s="219">
        <f>WF40*61.6069</f>
        <v>32229277.629324004</v>
      </c>
      <c r="WG43" s="219">
        <f>WG40*61.4733</f>
        <v>32159385.596268002</v>
      </c>
      <c r="WH43" s="219">
        <f>WH40*61.575</f>
        <v>32212589.337000001</v>
      </c>
      <c r="WI43" s="219">
        <f>WI40*61.9659</f>
        <v>32417086.310963999</v>
      </c>
      <c r="WJ43" s="219">
        <f>WJ40*61.1094</f>
        <v>31969013.509224001</v>
      </c>
      <c r="WK43" s="219">
        <f>WK40*60.9565</f>
        <v>31889024.797740001</v>
      </c>
      <c r="WL43" s="219">
        <f>WL40*60.2282</f>
        <v>31508019.051672</v>
      </c>
      <c r="WM43" s="219">
        <f>WM40*58.3895</f>
        <v>30546114.252420001</v>
      </c>
      <c r="WN43" s="219">
        <f>WN40*57.778</f>
        <v>30226211.720880002</v>
      </c>
      <c r="WO43" s="219">
        <f>WO40*57.0926</f>
        <v>29867648.850696001</v>
      </c>
      <c r="WP43" s="219">
        <f>WP40*56.6624</f>
        <v>29642592.319104001</v>
      </c>
      <c r="WQ43" s="219">
        <f>WQ40*56.8691</f>
        <v>29750726.175636005</v>
      </c>
      <c r="WR43" s="219">
        <f>WR40*56.7101</f>
        <v>29667546.285996001</v>
      </c>
      <c r="WS43" s="219">
        <f>WS40*56.1727</f>
        <v>29386408.721891999</v>
      </c>
      <c r="WT43" s="219">
        <f>WT40*54.7081</f>
        <v>28620212.078076001</v>
      </c>
      <c r="WU43" s="219">
        <f>WU40*53.2788</f>
        <v>27872482.416047998</v>
      </c>
      <c r="WV43" s="219">
        <f>WV40*53.3578</f>
        <v>27913810.788888</v>
      </c>
      <c r="WW43" s="219">
        <f>WW40*53.3234</f>
        <v>27895814.636663999</v>
      </c>
      <c r="WX43" s="219">
        <f>WX40*53.3641</f>
        <v>27917106.595836002</v>
      </c>
      <c r="WY43" s="219">
        <f>WY40*52.9699</f>
        <v>27710883.246804003</v>
      </c>
      <c r="WZ43" s="219">
        <f>WZ40*51.158</f>
        <v>26762998.705680002</v>
      </c>
      <c r="XA43" s="219">
        <f>XA40*52.5123</f>
        <v>27471492.570708003</v>
      </c>
      <c r="XB43" s="219">
        <f>XB40*53.7676</f>
        <v>28128195.183696002</v>
      </c>
      <c r="XC43" s="219">
        <f>XC40*55.0858</f>
        <v>28817803.551768001</v>
      </c>
      <c r="XD43" s="219">
        <f>XD40*58.5118</f>
        <v>30610094.758728001</v>
      </c>
      <c r="XE43" s="219">
        <f>XE40*62.911</f>
        <v>32911509.667560004</v>
      </c>
      <c r="XF43" s="219">
        <f>XF40*63.1427</f>
        <v>33032722.123091999</v>
      </c>
      <c r="XG43" s="219">
        <f>XG40*61.2664</f>
        <v>32051147.110943999</v>
      </c>
      <c r="XH43" s="219">
        <f>XH40*61.3045</f>
        <v>32071078.895819999</v>
      </c>
      <c r="XI43" s="219">
        <f>XI40*58.8541</f>
        <v>30789166.936236002</v>
      </c>
      <c r="XJ43" s="219">
        <f>XJ40*58.5322</f>
        <v>30620766.895512003</v>
      </c>
      <c r="XK43" s="219">
        <f>XK40*58.2568</f>
        <v>30476693.048928</v>
      </c>
      <c r="XL43" s="219">
        <f>XL40*56.5616</f>
        <v>29589859.407935999</v>
      </c>
      <c r="XM43" s="219">
        <f>XM40*56.4463</f>
        <v>29529540.909348</v>
      </c>
      <c r="XN43" s="219">
        <f>XN40*54.8491</f>
        <v>28693975.376436003</v>
      </c>
      <c r="XO43" s="219">
        <f>XO40*57.1133</f>
        <v>29878477.930668004</v>
      </c>
      <c r="XP43" s="219">
        <f>XP40*57.7608</f>
        <v>30217213.644768003</v>
      </c>
      <c r="XQ43" s="219">
        <f>XQ40*58.6741</f>
        <v>30695001.023436002</v>
      </c>
      <c r="XR43" s="219">
        <f>XR40*58.6605</f>
        <v>30687886.265580002</v>
      </c>
      <c r="XS43" s="219">
        <f>XS40*60.2198</f>
        <v>31503624.642408002</v>
      </c>
      <c r="XT43" s="219">
        <f>XT40*60.2031</f>
        <v>31494888.138276</v>
      </c>
      <c r="XU43" s="219">
        <f>XU40*61.3101</f>
        <v>32074008.501995999</v>
      </c>
      <c r="XV43" s="219">
        <f>XV40*62.0506</f>
        <v>32461396.604376003</v>
      </c>
      <c r="XW43" s="219">
        <f>XW40*60.1595</f>
        <v>31472079.061620001</v>
      </c>
      <c r="XX43" s="219">
        <f>XX40*60.2374</f>
        <v>31512831.976104002</v>
      </c>
      <c r="XY43" s="219">
        <f>XY40*60.258</f>
        <v>31523608.741680004</v>
      </c>
      <c r="XZ43" s="219">
        <f>XZ40*60.3696</f>
        <v>31581991.607616</v>
      </c>
      <c r="YA43" s="219">
        <f>YA40*60.3164</f>
        <v>31554160.348944001</v>
      </c>
      <c r="YB43" s="219">
        <f>YB40*60.3814</f>
        <v>31588164.706344001</v>
      </c>
      <c r="YC43" s="219">
        <f>YC40*60.4542</f>
        <v>31626249.586632002</v>
      </c>
      <c r="YD43" s="219">
        <f>YD40*60.6229</f>
        <v>31714503.972684003</v>
      </c>
      <c r="YE43" s="219">
        <f>YE40*60.8993</f>
        <v>31859100.963227998</v>
      </c>
      <c r="YF43" s="219">
        <f>(YF40+YF41)*61.3747</f>
        <v>55736572.104211994</v>
      </c>
      <c r="YG43" s="219">
        <f>(YG40+YG41)*61.4247</f>
        <v>55781978.902212001</v>
      </c>
      <c r="YH43" s="219">
        <f>(YH40+YH41)*60.7552</f>
        <v>55173981.876992002</v>
      </c>
      <c r="YI43" s="219">
        <f>(YI40+YI41)*59.957</f>
        <v>54449107.75372</v>
      </c>
      <c r="YJ43" s="219">
        <f>(YJ40+YJ41)*59.1321</f>
        <v>53699986.400316</v>
      </c>
      <c r="YK43" s="219">
        <f>(YK40+YK41)*59.7419</f>
        <v>31253614.143924002</v>
      </c>
      <c r="YL43" s="219">
        <f>(YL40+YL41)*59.8963</f>
        <v>31334387.571348</v>
      </c>
      <c r="YM43" s="219">
        <f>(YM40+YM41)*59.9974</f>
        <v>31387277.425704002</v>
      </c>
      <c r="YN43" s="219">
        <f>(YN40+YN41)*59.7699</f>
        <v>31268262.174804002</v>
      </c>
      <c r="YO43" s="219">
        <f>(YO40+YO41)*60.0924</f>
        <v>31436976.101904001</v>
      </c>
      <c r="YP43" s="219">
        <f>(YP40+YP41)*60.3636</f>
        <v>31578852.743856002</v>
      </c>
      <c r="YQ43" s="219">
        <f>(YQ40+YQ41)*60.3636</f>
        <v>31578852.743856002</v>
      </c>
      <c r="YR43" s="219">
        <f>(YR40+YR41)*60.2386</f>
        <v>31453160.910256002</v>
      </c>
      <c r="YS43" s="219">
        <f>(YS40+YS41)*60.237</f>
        <v>31448943.173970003</v>
      </c>
      <c r="YT43" s="219">
        <f>(YT41+YT40)*60.3713</f>
        <v>31580936.392774999</v>
      </c>
      <c r="YU43" s="219">
        <f>YU40*60.9033</f>
        <v>31796809.615473002</v>
      </c>
      <c r="YV43" s="219">
        <f>YV40*60.8544</f>
        <v>31771279.570464</v>
      </c>
      <c r="YW43" s="219">
        <f>YW40*61.1814</f>
        <v>31942001.957333997</v>
      </c>
      <c r="YX43" s="219">
        <f>YX40*60.801</f>
        <v>31743400.134810001</v>
      </c>
      <c r="YY43" s="219">
        <f>YY40*60.4696</f>
        <v>31570380.565976001</v>
      </c>
      <c r="YZ43" s="219">
        <f>YZ40*60.4568</f>
        <v>31563697.854807999</v>
      </c>
      <c r="ZA43" s="219">
        <f>ZA40*60.0676</f>
        <v>31360501.668355998</v>
      </c>
      <c r="ZB43" s="219">
        <f>ZB40*59.7751</f>
        <v>31207791.276431002</v>
      </c>
      <c r="ZC43" s="219">
        <f>ZC40*59.6663</f>
        <v>31150988.231502999</v>
      </c>
      <c r="ZD43" s="219">
        <f>ZD40*60.0316</f>
        <v>31341706.543196</v>
      </c>
      <c r="ZE43" s="219">
        <f>ZE40*60.1662</f>
        <v>31411979.427822001</v>
      </c>
      <c r="ZF43" s="219">
        <f>ZF40*60.0158</f>
        <v>31333457.571598001</v>
      </c>
      <c r="ZG43" s="219">
        <f>ZG40*60.8685</f>
        <v>31778640.994484998</v>
      </c>
      <c r="ZH43" s="219">
        <f>ZH40*59.8318</f>
        <v>31237393.598558001</v>
      </c>
      <c r="ZI43" s="219">
        <f>ZI40*58.1006</f>
        <v>30333556.913086001</v>
      </c>
      <c r="ZJ43" s="219">
        <f>ZJ40*57.999</f>
        <v>30280512.89319</v>
      </c>
      <c r="ZK43" s="219">
        <f>ZK40*58.1756</f>
        <v>30372713.423836</v>
      </c>
      <c r="ZL43" s="219">
        <f>ZL40*58.4485</f>
        <v>30515190.914285</v>
      </c>
      <c r="ZM43" s="219">
        <f>ZM40*57.413</f>
        <v>29974570.022529997</v>
      </c>
      <c r="ZN43" s="219">
        <f>ZN40*55.2987</f>
        <v>28870721.880146999</v>
      </c>
      <c r="ZO43" s="219">
        <f>ZO40*57.5664</f>
        <v>30054658.139184002</v>
      </c>
      <c r="ZP43" s="219">
        <f>ZP40*58.7913</f>
        <v>30694162.272753</v>
      </c>
      <c r="ZQ43" s="219">
        <f>ZQ40*59.4043</f>
        <v>31014201.487282999</v>
      </c>
      <c r="ZR43" s="219">
        <f>ZR40*60.2534</f>
        <v>31457505.397654001</v>
      </c>
      <c r="ZS43" s="219">
        <f>ZS40*61.2475</f>
        <v>31976511.895475</v>
      </c>
      <c r="ZT43" s="219">
        <f>ZT40*62.3126</f>
        <v>32532586.556806002</v>
      </c>
      <c r="ZU43" s="219">
        <f>ZU40*63.684</f>
        <v>33248576.408039998</v>
      </c>
      <c r="ZV43" s="219">
        <f>ZV40*63.7559</f>
        <v>33286114.449678998</v>
      </c>
      <c r="ZW43" s="219">
        <f>ZW40*63.4917</f>
        <v>33148179.114477001</v>
      </c>
      <c r="ZX43" s="219">
        <f>ZX40*63.0558</f>
        <v>32920601.473997999</v>
      </c>
      <c r="ZY43" s="219">
        <f>ZY40*61.7634</f>
        <v>32245856.480753999</v>
      </c>
      <c r="ZZ43" s="219">
        <f>ZZ40*61.7032</f>
        <v>32214426.854792003</v>
      </c>
      <c r="AAA43" s="219">
        <f>AAA40*61.5905</f>
        <v>32155587.671305001</v>
      </c>
      <c r="AAB43" s="219">
        <f>AAB40*61.5018</f>
        <v>32109278.571258001</v>
      </c>
      <c r="AAC43" s="219">
        <f>AAC40*61.1958</f>
        <v>31949520.007397998</v>
      </c>
      <c r="AAD43" s="219">
        <f>AAD40*61.1629</f>
        <v>31932343.351349</v>
      </c>
      <c r="AAE43" s="219">
        <f>AAE40*61.3326</f>
        <v>32020941.483006001</v>
      </c>
      <c r="AAF43" s="219">
        <f>AAF40*61.4277</f>
        <v>32070591.938637</v>
      </c>
      <c r="AAG43" s="219">
        <f>AAG40*61.3589</f>
        <v>32034672.366108999</v>
      </c>
      <c r="AAH43" s="219">
        <f>AAH40*61.3589</f>
        <v>32034672.366108999</v>
      </c>
      <c r="AAI43" s="219">
        <f>AAI40*61.6229</f>
        <v>32172503.283948999</v>
      </c>
      <c r="AAJ43" s="219">
        <f>AAJ40*61.4275</f>
        <v>32070487.521275003</v>
      </c>
      <c r="AAK43" s="219">
        <f>AAK40*61.6175</f>
        <v>32169684.015175</v>
      </c>
      <c r="AAL43" s="219">
        <f>AAL40*62.0955</f>
        <v>32419241.510354999</v>
      </c>
      <c r="AAM43" s="219">
        <f>AAM40*61.2367</f>
        <v>31970873.357926998</v>
      </c>
      <c r="AAN43" s="219">
        <f>AAN40*60.9774</f>
        <v>31835496.248094</v>
      </c>
      <c r="AAO43" s="219">
        <f>AAO40*61.0611</f>
        <v>31879194.914091002</v>
      </c>
      <c r="AAP43" s="219">
        <f>AAP40*61.2434</f>
        <v>31974371.339554001</v>
      </c>
      <c r="AAQ43" s="219">
        <f>AAQ40*60.2179</f>
        <v>31438971.315899</v>
      </c>
      <c r="AAR43" s="219">
        <f>AAR40*60.3982</f>
        <v>31533103.567742001</v>
      </c>
      <c r="AAS43" s="219">
        <f>AAS40*60.3116</f>
        <v>31487890.849996001</v>
      </c>
      <c r="AAT43" s="219">
        <f>AAT40*60.3116</f>
        <v>31487890.849996001</v>
      </c>
      <c r="AAU43" s="219">
        <f>AAU40*60.3894</f>
        <v>31528509.203814</v>
      </c>
      <c r="AAV43" s="219">
        <f>AAV40*60.3894</f>
        <v>31528509.203814</v>
      </c>
      <c r="AAW43" s="219">
        <f>AAW40*60.7379</f>
        <v>31710456.457099002</v>
      </c>
      <c r="AAX43" s="219">
        <f>AAX40*60.6566</f>
        <v>31668010.799445998</v>
      </c>
      <c r="AAY43" s="219">
        <f>AAY40*60.6566</f>
        <v>31668010.799445998</v>
      </c>
      <c r="AAZ43" s="219">
        <f>AAZ40*60.6566</f>
        <v>31668010.799445998</v>
      </c>
      <c r="ABA43" s="219">
        <f>ABA40*60.4797</f>
        <v>31575653.642757002</v>
      </c>
      <c r="ABB43" s="219">
        <f>ABB40*60.4797</f>
        <v>31575653.642757002</v>
      </c>
      <c r="ABC43" s="219">
        <f>ABC40*61.0742</f>
        <v>31886034.251302</v>
      </c>
      <c r="ABD43" s="219">
        <f>ABD40*60.8803</f>
        <v>31784801.618843</v>
      </c>
      <c r="ABE43" s="219">
        <f>ABE40*61.1479</f>
        <v>31924512.049199</v>
      </c>
      <c r="ABF43" s="219">
        <f>ABF40*61.7749</f>
        <v>32251860.479069002</v>
      </c>
      <c r="ABG43" s="219">
        <f>ABG40*62.1849</f>
        <v>32465916.071169</v>
      </c>
      <c r="ABH43" s="219">
        <f>ABH40*62.9103</f>
        <v>32844637.843143001</v>
      </c>
      <c r="ABI43" s="219">
        <f>ABI40*62.9372</f>
        <v>32858681.978331998</v>
      </c>
      <c r="ABJ43" s="219">
        <f>ABJ40*62.5722</f>
        <v>32668120.292682</v>
      </c>
      <c r="ABK43" s="219">
        <f>ABK40*62.3813</f>
        <v>32568453.920653</v>
      </c>
      <c r="ABL43" s="219">
        <f>ABL40*62.7674</f>
        <v>32770031.637994003</v>
      </c>
      <c r="ABM43" s="219">
        <f>ABM40*63.212</f>
        <v>33002151.43372</v>
      </c>
      <c r="ABN43" s="219">
        <f>ABN40*63.359</f>
        <v>33078898.194790002</v>
      </c>
      <c r="ABO43" s="219">
        <f>ABO40*64.3015</f>
        <v>33570965.013215005</v>
      </c>
      <c r="ABP43" s="219">
        <f>ABP40*64.6078</f>
        <v>33730880.203117996</v>
      </c>
      <c r="ABQ43" s="219">
        <f>ABQ40*66.3474</f>
        <v>34639102.417793997</v>
      </c>
      <c r="ABR43" s="219">
        <f>ABR40*69.0037</f>
        <v>36025921.611196995</v>
      </c>
      <c r="ABS43" s="219">
        <f>ABS40*70.5256</f>
        <v>36820485.527336001</v>
      </c>
      <c r="ABT43" s="219">
        <f>ABT40*72.1306</f>
        <v>37658434.857386</v>
      </c>
      <c r="ABU43" s="219">
        <f>ABU40*68.676</f>
        <v>35854833.763560005</v>
      </c>
      <c r="ABV43" s="219">
        <f>ABV40*68.4487</f>
        <v>35736163.431647003</v>
      </c>
      <c r="ABW43" s="219">
        <f>ABW40*69.9346</f>
        <v>36511932.222626001</v>
      </c>
      <c r="ABX43" s="219">
        <f>ABX40*71.3261</f>
        <v>37238416.018740997</v>
      </c>
      <c r="ABY43" s="219">
        <f>ABY40*71.9778</f>
        <v>37578659.992817998</v>
      </c>
      <c r="ABZ43" s="219">
        <f>ABZ40*70.3375</f>
        <v>36722280.998375006</v>
      </c>
      <c r="ACA43" s="219">
        <f>ACA40*70.3002</f>
        <v>36702807.160362005</v>
      </c>
      <c r="ACB43" s="219">
        <f>SUM(ACB40:ACB41)*69.6094</f>
        <v>37634100.056014001</v>
      </c>
      <c r="ACC43" s="219">
        <f>SUM(ACC40:ACC41)*69.0202</f>
        <v>37315550.955562003</v>
      </c>
      <c r="ACD43" s="219">
        <f>SUM(ACD40:ACD41)*67.7775</f>
        <v>36643689.164775006</v>
      </c>
      <c r="ACE43" s="219">
        <f>SUM(ACE40:ACE41)*67.5744</f>
        <v>35906793.365664005</v>
      </c>
      <c r="ACF43" s="219">
        <f>SUM(ACF40:ACF41)*68.2892</f>
        <v>36286614.361451998</v>
      </c>
      <c r="ACG43" s="219">
        <f>SUM(ACG40:ACG41)*68.6644</f>
        <v>36485983.188564003</v>
      </c>
      <c r="ACH43" s="219">
        <f>SUM(ACH40:ACH41)*68.8728</f>
        <v>36596720.031768002</v>
      </c>
      <c r="ACI43" s="219">
        <f>SUM(ACI40:ACI41)*68.8467</f>
        <v>36582851.358027004</v>
      </c>
      <c r="ACJ43" s="219">
        <f>SUM(ACJ40:ACJ41)*68.6656</f>
        <v>36486620.828736</v>
      </c>
      <c r="ACK43" s="219">
        <f>SUM(ACK40:ACK41)*68.6288</f>
        <v>36181260.519951999</v>
      </c>
      <c r="ACL43" s="219">
        <f>SUM(ACL40:ACL41)*68.7529</f>
        <v>36246686.324141003</v>
      </c>
      <c r="ACM43" s="219">
        <f>SUM(ACM40:ACM41)*68.9573</f>
        <v>36354446.472217001</v>
      </c>
      <c r="ACN43" s="219">
        <f>SUM(ACN40:ACN41)*69.1263</f>
        <v>36443543.659227006</v>
      </c>
      <c r="ACO43" s="219">
        <f>SUM(ACO40:ACO41)*69.3372</f>
        <v>36554730.622188002</v>
      </c>
      <c r="ACP43" s="219">
        <f>ACP41*69.5927</f>
        <v>645820.25599999994</v>
      </c>
      <c r="ACQ43" s="219">
        <f>70.5174*ACQ41</f>
        <v>654401.47199999995</v>
      </c>
      <c r="ACR43" s="219">
        <f>ACR41*70.1217</f>
        <v>650729.37600000005</v>
      </c>
      <c r="ACS43" s="219">
        <f>ACS41*70.0414</f>
        <v>649984.19199999992</v>
      </c>
      <c r="ACT43" s="219">
        <f>ACT41*70.3847</f>
        <v>653170.01599999995</v>
      </c>
      <c r="ACU43" s="219">
        <f>70.5991*ACU41</f>
        <v>655159.64800000004</v>
      </c>
      <c r="ACV43" s="219">
        <f>70.8924*ACV41</f>
        <v>657881.47199999995</v>
      </c>
      <c r="ACW43" s="219">
        <f>ACW41*71.5763</f>
        <v>664228.06400000001</v>
      </c>
      <c r="ACX43" s="219">
        <f>72.8949*ACX41</f>
        <v>676464.67200000002</v>
      </c>
      <c r="ACY43" s="219">
        <f>72.7923*ACY41</f>
        <v>675512.54399999999</v>
      </c>
      <c r="ACZ43" s="219">
        <f>73.6307*ACZ41</f>
        <v>683292.89600000007</v>
      </c>
      <c r="ADA43" s="219">
        <f>73.8645*ADA41</f>
        <v>685462.56</v>
      </c>
      <c r="ADB43" s="219">
        <f>74.2077*ADB41</f>
        <v>688647.45600000001</v>
      </c>
      <c r="ADC43" s="219">
        <f>74.7638*ADC41</f>
        <v>693808.06400000001</v>
      </c>
      <c r="ADD43" s="219">
        <f>ADD41*74.7588</f>
        <v>693761.66399999999</v>
      </c>
      <c r="ADE43" s="219">
        <f>74.0432*ADE41</f>
        <v>687120.89599999995</v>
      </c>
      <c r="ADF43" s="219">
        <f>74.8596*ADF41</f>
        <v>694697.08799999999</v>
      </c>
      <c r="ADG43" s="219">
        <f>74.7087*ADG41</f>
        <v>693296.73599999992</v>
      </c>
      <c r="ADH43" s="219">
        <f>75.4323*ADH41</f>
        <v>700011.74399999995</v>
      </c>
      <c r="ADI43" s="219">
        <f>ADI41*74.8932</f>
        <v>695008.89599999995</v>
      </c>
      <c r="ADJ43" s="219">
        <f>ADJ41*75.2513</f>
        <v>698332.06400000001</v>
      </c>
      <c r="ADK43" s="219">
        <f>ADK41*75.2513</f>
        <v>698332.06400000001</v>
      </c>
      <c r="ADL43" s="219">
        <f>75.4592*ADL41</f>
        <v>700261.37599999993</v>
      </c>
      <c r="ADM43" s="219">
        <f>75.4728*ADM41</f>
        <v>700387.58400000003</v>
      </c>
      <c r="ADN43" s="219">
        <f>ADN41*75.4577</f>
        <v>700247.45600000001</v>
      </c>
      <c r="ALC43" s="219">
        <f>ALC42*89.6966</f>
        <v>807269.4</v>
      </c>
      <c r="ALD43" s="219">
        <f>ALD42*90.4162</f>
        <v>904162</v>
      </c>
      <c r="ALE43" s="219">
        <f>ALE42*90.087</f>
        <v>900870</v>
      </c>
      <c r="ALF43" s="219">
        <f>ALF42*90.4056</f>
        <v>904056.00000000012</v>
      </c>
      <c r="ALG43" s="219">
        <f>ALG42*91.7062</f>
        <v>917062</v>
      </c>
      <c r="ALH43" s="219">
        <f>ALH42*91.9389</f>
        <v>919389</v>
      </c>
      <c r="ALI43" s="219">
        <f>ALI42*91.969</f>
        <v>118316.27911999999</v>
      </c>
      <c r="ALJ43" s="219">
        <f>ALJ42*91.7069</f>
        <v>117979.09271200001</v>
      </c>
      <c r="ALK43" s="219">
        <f>ALK42*91.7051</f>
        <v>117976.777048</v>
      </c>
      <c r="ALL43" s="219">
        <f>ALL42*90.3041</f>
        <v>116174.41856800001</v>
      </c>
      <c r="ALM43" s="219">
        <f>ALM42*89.6883</f>
        <v>115382.204184</v>
      </c>
      <c r="ALN43" s="219">
        <f>ALN42*90.404</f>
        <v>116302.93792</v>
      </c>
      <c r="ALO43" s="219">
        <f>ALO42*89.3939</f>
        <v>115003.46447200001</v>
      </c>
      <c r="ALP43" s="219">
        <f>ALP42*88.7818</f>
        <v>114216.010064</v>
      </c>
      <c r="ALQ43" s="219">
        <f>ALQ42*88.1324</f>
        <v>113380.56995200001</v>
      </c>
      <c r="ALR43" s="219">
        <f>ALR42*87.6772</f>
        <v>112794.96425600001</v>
      </c>
      <c r="ALS43" s="219">
        <f>87.6457*ALS42</f>
        <v>112754.440136</v>
      </c>
      <c r="ALT43" s="219">
        <f>88.354*ALT42</f>
        <v>113665.65392</v>
      </c>
      <c r="ALU43" s="219">
        <f>88.661*ALU42</f>
        <v>114060.60328000001</v>
      </c>
      <c r="ALV43" s="219">
        <f>88.5896*ALV42</f>
        <v>113968.74860800001</v>
      </c>
      <c r="ALW43" s="219">
        <f>87.9724*ALW42</f>
        <v>113174.73315199999</v>
      </c>
      <c r="ALX43" s="219">
        <f>87.9199 *ALX42</f>
        <v>113107.192952</v>
      </c>
      <c r="ALY43" s="219">
        <f>88.2829 *ALY42</f>
        <v>113574.185192</v>
      </c>
      <c r="ALZ43" s="219">
        <f>88.6562 *ALZ42</f>
        <v>114054.428176</v>
      </c>
      <c r="AMA43" s="219">
        <f>89.5159 *AMA42</f>
        <v>115160.415032</v>
      </c>
      <c r="AMB43" s="219">
        <f>89.609 *AMB42</f>
        <v>115280.18631999999</v>
      </c>
      <c r="AMC43" s="219">
        <f>89.2887 *AMC42</f>
        <v>114868.126776</v>
      </c>
      <c r="AMD43" s="219">
        <f>89.6678 *AMD42</f>
        <v>115355.83134400001</v>
      </c>
      <c r="AME43" s="219">
        <f>90.2299 *AME42</f>
        <v>116078.961752</v>
      </c>
      <c r="AMF43" s="219">
        <f>90.6626 *AMF42</f>
        <v>116635.621648</v>
      </c>
      <c r="AMG43" s="219">
        <f>91.2434 *AMG42</f>
        <v>117382.809232</v>
      </c>
      <c r="AMH43" s="219">
        <f>90.6842 *AMH42</f>
        <v>116663.409616</v>
      </c>
      <c r="AMI43" s="219">
        <f>91.1514 *AMI42</f>
        <v>117264.45307199999</v>
      </c>
      <c r="AMJ43" s="219">
        <f>91.2561 *AMJ42</f>
        <v>117399.147528</v>
      </c>
      <c r="AMK43" s="219">
        <f>90.8901 *AMK42</f>
        <v>116928.29584800001</v>
      </c>
      <c r="AML43" s="219">
        <f>91.0758 *AML42</f>
        <v>117167.195184</v>
      </c>
      <c r="AMM43" s="219">
        <f>91.2057 *AMM42</f>
        <v>117334.30893599999</v>
      </c>
      <c r="AMN43" s="219">
        <f>91.4316 *AMN42</f>
        <v>117624.92476800001</v>
      </c>
      <c r="AMO43" s="219">
        <f>91.8237 *AMO42</f>
        <v>118129.35357600001</v>
      </c>
      <c r="AMP43" s="219">
        <f>92.5492 *AMP42</f>
        <v>119062.694816</v>
      </c>
      <c r="AMQ43" s="219">
        <f>92.4102 *AMQ42</f>
        <v>118883.874096</v>
      </c>
      <c r="AMR43" s="219">
        <f>92.349 *AMR42</f>
        <v>118805.14152</v>
      </c>
      <c r="AMS43" s="219">
        <f>92.4387 *AMS42</f>
        <v>118920.538776</v>
      </c>
      <c r="AMT43" s="219">
        <f>92.7519 *AMT42</f>
        <v>119323.46431200001</v>
      </c>
      <c r="AMU43" s="219">
        <f>92.6321 *AMU42</f>
        <v>119169.344008</v>
      </c>
      <c r="AMV43" s="219">
        <f>92.0425 *AMV42</f>
        <v>118410.83540000001</v>
      </c>
      <c r="AMW43" s="219">
        <f>91.8692 *AMW42</f>
        <v>118187.88841600002</v>
      </c>
    </row>
    <row r="44" spans="1:1395" s="221" customFormat="1" x14ac:dyDescent="0.2">
      <c r="A44" s="478" t="s">
        <v>136</v>
      </c>
      <c r="B44" s="220"/>
      <c r="RE44" s="301"/>
      <c r="RF44" s="301"/>
      <c r="RG44" s="301"/>
      <c r="RH44" s="301"/>
      <c r="RI44" s="301"/>
      <c r="RJ44" s="301"/>
      <c r="RR44" s="301"/>
      <c r="RS44" s="301"/>
      <c r="RT44" s="301"/>
      <c r="ALL44" s="220"/>
      <c r="AMG44" s="221" t="s">
        <v>194</v>
      </c>
    </row>
    <row r="45" spans="1:1395" s="218" customFormat="1" x14ac:dyDescent="0.2">
      <c r="A45" s="479"/>
      <c r="B45" s="217" t="s">
        <v>189</v>
      </c>
      <c r="DR45" s="278"/>
      <c r="HF45" s="218">
        <v>186425.4</v>
      </c>
      <c r="HP45" s="218">
        <v>202547.52</v>
      </c>
      <c r="HQ45" s="218">
        <v>202547.52</v>
      </c>
      <c r="HR45" s="218">
        <v>202547.52</v>
      </c>
      <c r="HS45" s="218">
        <v>202547.52</v>
      </c>
      <c r="JJ45" s="218">
        <v>167998.49</v>
      </c>
      <c r="JK45" s="218">
        <v>167998.49</v>
      </c>
      <c r="JL45" s="218">
        <v>167998.49</v>
      </c>
      <c r="JM45" s="218">
        <v>167998.49</v>
      </c>
      <c r="JW45" s="218">
        <v>167998.49</v>
      </c>
      <c r="JX45" s="218">
        <v>167998.49</v>
      </c>
      <c r="JY45" s="218">
        <v>167998.49</v>
      </c>
      <c r="JZ45" s="218">
        <v>167998.49</v>
      </c>
      <c r="KA45" s="218">
        <v>167998.49</v>
      </c>
      <c r="KN45" s="218">
        <v>191997.2</v>
      </c>
      <c r="LI45" s="218">
        <v>191997.2</v>
      </c>
      <c r="LJ45" s="218">
        <v>191997.2</v>
      </c>
      <c r="MB45" s="218">
        <v>167998.49</v>
      </c>
      <c r="MC45" s="218">
        <v>167998.49</v>
      </c>
      <c r="MD45" s="218">
        <v>167998.49</v>
      </c>
      <c r="ME45" s="218">
        <v>167999.49</v>
      </c>
      <c r="MF45" s="218">
        <v>168000.49</v>
      </c>
      <c r="MG45" s="218">
        <v>168001.49</v>
      </c>
      <c r="MH45" s="218">
        <v>168002.49</v>
      </c>
      <c r="MW45" s="218">
        <v>167998.49</v>
      </c>
      <c r="MX45" s="218">
        <v>167998.49</v>
      </c>
      <c r="MY45" s="218">
        <v>167998.49</v>
      </c>
      <c r="MZ45" s="218">
        <v>167998.49</v>
      </c>
      <c r="NK45" s="218">
        <v>167998.49</v>
      </c>
      <c r="NL45" s="218">
        <v>167998.49</v>
      </c>
      <c r="NM45" s="218">
        <v>167998.49</v>
      </c>
      <c r="NN45" s="218">
        <v>167998.49</v>
      </c>
      <c r="NO45" s="218">
        <v>167998.49</v>
      </c>
      <c r="NP45" s="218">
        <v>167998.49</v>
      </c>
      <c r="NQ45" s="218">
        <v>167998.49</v>
      </c>
      <c r="PB45" s="218">
        <v>178500.25</v>
      </c>
      <c r="QF45" s="218">
        <v>382166.18</v>
      </c>
      <c r="QG45" s="218">
        <v>382166.18</v>
      </c>
      <c r="QH45" s="218">
        <v>382166.18</v>
      </c>
      <c r="QI45" s="296">
        <v>197366.85</v>
      </c>
      <c r="QJ45" s="296">
        <v>197366.85</v>
      </c>
      <c r="QK45" s="218">
        <v>433779.58</v>
      </c>
      <c r="QL45" s="218">
        <v>248980.25</v>
      </c>
      <c r="QM45" s="218">
        <v>248980.25</v>
      </c>
      <c r="QN45" s="218">
        <v>248980.25</v>
      </c>
      <c r="QO45" s="218">
        <v>248980.25</v>
      </c>
      <c r="QP45" s="218">
        <v>37781.019999999997</v>
      </c>
      <c r="QQ45" s="218">
        <v>37781.019999999997</v>
      </c>
      <c r="QR45" s="218">
        <v>37781.019999999997</v>
      </c>
      <c r="QS45" s="218">
        <v>37781.019999999997</v>
      </c>
      <c r="QT45" s="218">
        <v>37781.019999999997</v>
      </c>
      <c r="QU45" s="218">
        <v>37781.019999999997</v>
      </c>
      <c r="QV45" s="218">
        <v>37781.019999999997</v>
      </c>
      <c r="QW45" s="218">
        <v>37781.019999999997</v>
      </c>
      <c r="RE45" s="302"/>
      <c r="RF45" s="302"/>
      <c r="RG45" s="302"/>
      <c r="RH45" s="302"/>
      <c r="RI45" s="302"/>
      <c r="RJ45" s="302"/>
      <c r="RM45" s="312">
        <v>89002.02</v>
      </c>
      <c r="RN45" s="312">
        <v>89002.02</v>
      </c>
      <c r="RO45" s="312">
        <v>89002.02</v>
      </c>
      <c r="RR45" s="302"/>
      <c r="RS45" s="302"/>
      <c r="RT45" s="302"/>
      <c r="RV45" s="218">
        <v>175000</v>
      </c>
      <c r="RW45" s="218">
        <v>175000</v>
      </c>
      <c r="RX45" s="218">
        <v>375000</v>
      </c>
      <c r="RY45" s="218">
        <v>179698.91</v>
      </c>
      <c r="RZ45" s="218">
        <v>179698.91</v>
      </c>
      <c r="SA45" s="218">
        <v>179698.91</v>
      </c>
      <c r="SB45" s="218">
        <v>179698.91</v>
      </c>
      <c r="SC45" s="218">
        <v>179698.91</v>
      </c>
      <c r="SD45" s="218">
        <v>179698.91</v>
      </c>
      <c r="SI45" s="218">
        <v>247000</v>
      </c>
      <c r="SJ45" s="218">
        <v>51698.91</v>
      </c>
      <c r="SK45" s="218">
        <v>51698.91</v>
      </c>
      <c r="SL45" s="218">
        <v>51698.91</v>
      </c>
      <c r="SM45" s="218">
        <v>51698.91</v>
      </c>
      <c r="SN45" s="218">
        <v>51698.91</v>
      </c>
      <c r="SO45" s="218">
        <v>51698.91</v>
      </c>
      <c r="SP45" s="218">
        <v>51698.91</v>
      </c>
      <c r="TL45" s="218">
        <v>201600.17</v>
      </c>
      <c r="TM45" s="218">
        <v>201600.17</v>
      </c>
      <c r="TO45" s="218">
        <v>201600.17</v>
      </c>
      <c r="TX45" s="218">
        <v>521663.34</v>
      </c>
      <c r="UD45" s="218">
        <v>200.17</v>
      </c>
      <c r="UE45" s="218">
        <v>200.17</v>
      </c>
      <c r="UF45" s="296">
        <v>251600.17</v>
      </c>
      <c r="UG45" s="296">
        <f>50000</f>
        <v>50000</v>
      </c>
      <c r="UH45" s="296">
        <v>52300</v>
      </c>
      <c r="UI45" s="296">
        <v>201600.17</v>
      </c>
      <c r="UJ45" s="296">
        <v>201600.17</v>
      </c>
      <c r="UK45" s="296">
        <v>201600.17</v>
      </c>
      <c r="UL45" s="296">
        <v>201600.17</v>
      </c>
      <c r="UM45" s="296">
        <v>201600.17</v>
      </c>
      <c r="UN45" s="296"/>
      <c r="UO45" s="296"/>
      <c r="UP45" s="296"/>
      <c r="UQ45" s="296"/>
      <c r="UR45" s="296"/>
      <c r="US45" s="296"/>
      <c r="UT45" s="296"/>
      <c r="UU45" s="296"/>
      <c r="UV45" s="296"/>
      <c r="UW45" s="296"/>
      <c r="UX45" s="296"/>
      <c r="UY45" s="296"/>
      <c r="UZ45" s="296"/>
      <c r="VA45" s="296"/>
      <c r="VB45" s="296"/>
      <c r="VC45" s="296"/>
      <c r="VD45" s="296"/>
      <c r="VE45" s="296"/>
      <c r="VF45" s="296"/>
      <c r="VG45" s="296"/>
      <c r="VH45" s="296"/>
      <c r="VI45" s="296"/>
      <c r="VJ45" s="296"/>
      <c r="VK45" s="296"/>
      <c r="VL45" s="296"/>
      <c r="VM45" s="296"/>
      <c r="VN45" s="296"/>
      <c r="VO45" s="296"/>
      <c r="VP45" s="296"/>
      <c r="VQ45" s="296"/>
      <c r="VR45" s="296"/>
      <c r="VS45" s="296"/>
      <c r="VT45" s="296"/>
      <c r="VU45" s="296"/>
      <c r="VV45" s="296"/>
      <c r="VW45" s="296"/>
      <c r="VX45" s="296"/>
      <c r="VY45" s="296"/>
      <c r="VZ45" s="296"/>
      <c r="WA45" s="296"/>
      <c r="WB45" s="296"/>
      <c r="WC45" s="296"/>
      <c r="WD45" s="296"/>
      <c r="WE45" s="296"/>
      <c r="WF45" s="296"/>
      <c r="WG45" s="296"/>
      <c r="WH45" s="296"/>
      <c r="WI45" s="296"/>
      <c r="WJ45" s="296"/>
      <c r="WK45" s="296"/>
      <c r="WL45" s="296"/>
      <c r="WM45" s="296"/>
      <c r="WN45" s="296"/>
      <c r="WO45" s="296"/>
      <c r="WP45" s="296"/>
      <c r="WQ45" s="296"/>
      <c r="WR45" s="296"/>
      <c r="WS45" s="296"/>
      <c r="AEI45" s="218">
        <v>262841.06</v>
      </c>
      <c r="AEJ45" s="218">
        <v>262841.06</v>
      </c>
      <c r="AEK45" s="218">
        <v>262841.06</v>
      </c>
      <c r="AEL45" s="218">
        <v>262841.06</v>
      </c>
      <c r="AEM45" s="218">
        <v>262841.06</v>
      </c>
      <c r="AEN45" s="218">
        <v>262841.06</v>
      </c>
      <c r="AEO45" s="218">
        <v>262841.06</v>
      </c>
      <c r="AEP45" s="218">
        <v>262841.06</v>
      </c>
      <c r="AEQ45" s="218">
        <v>262841.06</v>
      </c>
      <c r="AER45" s="218">
        <v>262841.06</v>
      </c>
      <c r="AES45" s="218">
        <v>262841.06</v>
      </c>
      <c r="AET45" s="218">
        <v>262841.06</v>
      </c>
      <c r="AEU45" s="218">
        <v>262841.06</v>
      </c>
      <c r="AEV45" s="218">
        <v>262841.06</v>
      </c>
      <c r="AIH45" s="218">
        <v>251997.73</v>
      </c>
      <c r="AII45" s="218">
        <v>251997.73</v>
      </c>
      <c r="AIJ45" s="218">
        <v>251997.73</v>
      </c>
      <c r="AIK45" s="218">
        <v>251997.73</v>
      </c>
      <c r="AIL45" s="218">
        <v>251997.73</v>
      </c>
      <c r="AIM45" s="218">
        <v>251997.73</v>
      </c>
      <c r="AIN45" s="218">
        <v>251997.73</v>
      </c>
      <c r="AIP45" s="218">
        <v>521995.3</v>
      </c>
      <c r="AIQ45" s="218">
        <v>521995.3</v>
      </c>
      <c r="AIR45" s="218">
        <v>521995.3</v>
      </c>
      <c r="AIS45" s="218">
        <v>521995.3</v>
      </c>
      <c r="AIT45" s="218">
        <v>521995.3</v>
      </c>
      <c r="AIU45" s="218">
        <v>521995.3</v>
      </c>
      <c r="AIV45" s="218">
        <v>521995.3</v>
      </c>
      <c r="AJV45" s="218">
        <v>369543.88</v>
      </c>
      <c r="AJW45" s="218">
        <v>369543.88</v>
      </c>
      <c r="AJX45" s="218">
        <v>369543.88</v>
      </c>
      <c r="AJY45" s="218">
        <v>369543.88</v>
      </c>
      <c r="AJZ45" s="218">
        <v>369543.88</v>
      </c>
      <c r="ALE45" s="218">
        <v>550128.94999999995</v>
      </c>
      <c r="ARL45" s="218">
        <f>86000</f>
        <v>86000</v>
      </c>
      <c r="ARM45" s="218">
        <f>86000</f>
        <v>86000</v>
      </c>
    </row>
    <row r="46" spans="1:1395" s="218" customFormat="1" x14ac:dyDescent="0.2">
      <c r="A46" s="479"/>
      <c r="B46" s="467" t="s">
        <v>195</v>
      </c>
      <c r="RE46" s="302"/>
      <c r="RF46" s="302"/>
      <c r="RG46" s="302"/>
      <c r="RH46" s="302"/>
      <c r="RI46" s="302"/>
      <c r="RJ46" s="302"/>
      <c r="RR46" s="302"/>
      <c r="RS46" s="302"/>
      <c r="RT46" s="302"/>
      <c r="AXC46" s="218">
        <v>90000</v>
      </c>
      <c r="AYM46" s="218">
        <v>30000</v>
      </c>
      <c r="AYN46" s="218">
        <v>30000</v>
      </c>
      <c r="AYO46" s="218">
        <v>30000</v>
      </c>
      <c r="AZZ46" s="218">
        <v>336001.93</v>
      </c>
      <c r="BAA46" s="218">
        <v>336001.93</v>
      </c>
      <c r="BAB46" s="218">
        <v>336001.93</v>
      </c>
      <c r="BAC46" s="218">
        <v>336001.93</v>
      </c>
      <c r="BAD46" s="218">
        <v>336001.93</v>
      </c>
      <c r="BAE46" s="218">
        <v>336001.93</v>
      </c>
      <c r="BAF46" s="218">
        <v>336001.93</v>
      </c>
      <c r="BAG46" s="218">
        <v>336001.93</v>
      </c>
    </row>
    <row r="47" spans="1:1395" s="459" customFormat="1" x14ac:dyDescent="0.2">
      <c r="A47" s="479"/>
      <c r="B47" s="465"/>
      <c r="RE47" s="460"/>
      <c r="RF47" s="460"/>
      <c r="RG47" s="460"/>
      <c r="RH47" s="460"/>
      <c r="RI47" s="460"/>
      <c r="RJ47" s="460"/>
      <c r="RR47" s="460"/>
      <c r="RS47" s="460"/>
      <c r="RT47" s="460"/>
    </row>
    <row r="48" spans="1:1395" s="219" customFormat="1" ht="18.75" x14ac:dyDescent="0.2">
      <c r="A48" s="442" t="s">
        <v>111</v>
      </c>
      <c r="B48" s="443"/>
      <c r="JJ48" s="219">
        <f>JJ45*75.148</f>
        <v>12624750.526519999</v>
      </c>
      <c r="JK48" s="219">
        <f>JK45*75.0565</f>
        <v>12609378.664685</v>
      </c>
      <c r="JL48" s="219">
        <f>JL45*74.7703</f>
        <v>12561297.496847</v>
      </c>
      <c r="JM48" s="219">
        <f>JM45*74.97</f>
        <v>12594846.795299999</v>
      </c>
      <c r="JW48" s="219">
        <f>JW45*74.2963</f>
        <v>12481666.212586999</v>
      </c>
      <c r="JX48" s="219">
        <f>JX45*74.3332</f>
        <v>12487865.356868001</v>
      </c>
      <c r="JY48" s="219">
        <f>JY45*74.0876</f>
        <v>12446604.927723998</v>
      </c>
      <c r="JZ48" s="219">
        <f>JZ45*74.4898</f>
        <v>12514173.920402</v>
      </c>
      <c r="KA48" s="219">
        <f>KA45*74.8249</f>
        <v>12570470.214400999</v>
      </c>
      <c r="KN48" s="219">
        <f>KN45*72.9995</f>
        <v>14015699.601400001</v>
      </c>
      <c r="LI48" s="219">
        <f>LI45*72.36</f>
        <v>13892917.392000001</v>
      </c>
      <c r="LJ48" s="219">
        <f>LJ45*72.244</f>
        <v>13870645.716800001</v>
      </c>
      <c r="MB48" s="219">
        <f>MB45*71.9654</f>
        <v>12090078.532245999</v>
      </c>
      <c r="MC48" s="219">
        <f>MC45*71.8427</f>
        <v>12069465.117522998</v>
      </c>
      <c r="MD48" s="219">
        <f>MD45*71.8369</f>
        <v>12068490.726280998</v>
      </c>
      <c r="ME48" s="219">
        <f>ME45*72.3186</f>
        <v>12149487.917514</v>
      </c>
      <c r="MF48" s="219">
        <f>MF45*72.1863</f>
        <v>12127333.771287</v>
      </c>
      <c r="MG48" s="219">
        <f>MG45*72.168</f>
        <v>12124331.53032</v>
      </c>
      <c r="MH48" s="219">
        <f>MH45*72.4118</f>
        <v>12165362.705381999</v>
      </c>
      <c r="MW48" s="219">
        <f>MW45*71.6377</f>
        <v>12035025.427072998</v>
      </c>
      <c r="MX48" s="219">
        <f>MX45*71.5457</f>
        <v>12019569.565992998</v>
      </c>
      <c r="MY48" s="219">
        <f>MY45*71.349</f>
        <v>11986524.263010001</v>
      </c>
      <c r="MZ48" s="219">
        <f>MZ45*71.5973</f>
        <v>12028238.288077001</v>
      </c>
      <c r="NK48" s="219">
        <f>NK45*71.4626</f>
        <v>12005608.891473999</v>
      </c>
      <c r="NL48" s="219">
        <f>NL45*71.5671</f>
        <v>12023164.733678998</v>
      </c>
      <c r="NM48" s="219">
        <f>NM45*71.0073</f>
        <v>11929119.178977</v>
      </c>
      <c r="NN48" s="219">
        <f>NN45*71.0114</f>
        <v>11929807.972785998</v>
      </c>
      <c r="NO48" s="219">
        <f>NO45*70.8574</f>
        <v>11903936.205325998</v>
      </c>
      <c r="NP48" s="219">
        <f>NP45*70.5552</f>
        <v>11853167.061648</v>
      </c>
      <c r="NQ48" s="219">
        <f>NQ45*70.6068</f>
        <v>11861835.783732001</v>
      </c>
      <c r="PB48" s="219">
        <f>70.9373*PB45</f>
        <v>12662325.784324998</v>
      </c>
      <c r="QF48" s="219">
        <f>QF45*81.1468</f>
        <v>31011562.575223997</v>
      </c>
      <c r="QG48" s="219">
        <f>QG45*79.1189</f>
        <v>30236567.778801996</v>
      </c>
      <c r="QH48" s="219">
        <f>QH45*80.0611</f>
        <v>30596644.753597997</v>
      </c>
      <c r="QI48" s="219">
        <f>QI45*79.9033</f>
        <v>15770262.625605</v>
      </c>
      <c r="QJ48" s="219">
        <f>QJ45*77.7965</f>
        <v>15354450.146025</v>
      </c>
      <c r="QK48" s="219">
        <f>QK45*78.5489</f>
        <v>34072908.851461999</v>
      </c>
      <c r="QL48" s="219">
        <f>QL45*77.3245</f>
        <v>19252273.341125</v>
      </c>
      <c r="QM48" s="219">
        <f>QM45*77.9229</f>
        <v>19401263.122724999</v>
      </c>
      <c r="QN48" s="219">
        <f>QN45*78.2924</f>
        <v>19493261.325100001</v>
      </c>
      <c r="QO48" s="219">
        <f>QO45*78.0589</f>
        <v>19435124.436724998</v>
      </c>
      <c r="QP48" s="219">
        <f>QP45*79.5181</f>
        <v>3004274.9264619998</v>
      </c>
      <c r="QQ48" s="219">
        <f>QQ45*80.4134</f>
        <v>3038100.2736679995</v>
      </c>
      <c r="QR48" s="219">
        <f>QR45*81.6821</f>
        <v>3086033.0537419999</v>
      </c>
      <c r="QS48" s="219">
        <f>QS45*83.1031</f>
        <v>3139719.8831619998</v>
      </c>
      <c r="QT48" s="219">
        <f>QT45*86.2532</f>
        <v>3258733.874264</v>
      </c>
      <c r="QU48" s="219">
        <f>QU45*86.6178</f>
        <v>3272508.8341559996</v>
      </c>
      <c r="QV48" s="219">
        <f>QV45*87.0399</f>
        <v>3288456.2026979998</v>
      </c>
      <c r="QW48" s="219">
        <f>QW45*87.4261</f>
        <v>3303047.2326219999</v>
      </c>
      <c r="RE48" s="303"/>
      <c r="RF48" s="303"/>
      <c r="RG48" s="303"/>
      <c r="RH48" s="303"/>
      <c r="RI48" s="303"/>
      <c r="RJ48" s="303"/>
      <c r="RM48" s="219">
        <f>RM45*89.9695</f>
        <v>8007467.2383899996</v>
      </c>
      <c r="RN48" s="219">
        <f>RN45*88.5847</f>
        <v>7884217.2410940006</v>
      </c>
      <c r="RO48" s="219">
        <f>RO45*91.0029</f>
        <v>8099441.9258580003</v>
      </c>
      <c r="RR48" s="303"/>
      <c r="RS48" s="303"/>
      <c r="RT48" s="303"/>
      <c r="RV48" s="219">
        <f>RV45*89.4019</f>
        <v>15645332.5</v>
      </c>
      <c r="RW48" s="219">
        <f>RW45*88.9754</f>
        <v>15570694.999999998</v>
      </c>
      <c r="RX48" s="219">
        <f>RX45*89.6604</f>
        <v>33622650</v>
      </c>
      <c r="RY48" s="219">
        <f>RY45*89.5652</f>
        <v>16094768.813932002</v>
      </c>
      <c r="RZ48" s="219">
        <f>RZ45*88.9334</f>
        <v>15981235.042594001</v>
      </c>
      <c r="SA48" s="219">
        <f>SA45*87.3508</f>
        <v>15696843.547628002</v>
      </c>
      <c r="SB48" s="219">
        <f>SB45*89.767</f>
        <v>16131032.05397</v>
      </c>
      <c r="SC48" s="219">
        <f>SC45*89.349</f>
        <v>16055917.90959</v>
      </c>
      <c r="SD48" s="219">
        <f>SD45*89.9958</f>
        <v>16172147.164578</v>
      </c>
      <c r="SI48" s="219">
        <f>SI45*89.6584</f>
        <v>22145624.800000001</v>
      </c>
      <c r="SJ48" s="219">
        <f>SJ45*89.6877</f>
        <v>4636756.3304070011</v>
      </c>
      <c r="SK48" s="219">
        <f>SK45*89.3778</f>
        <v>4620734.8381979996</v>
      </c>
      <c r="SL48" s="219">
        <f>SL45*88.6433</f>
        <v>4582761.9888030002</v>
      </c>
      <c r="SM48" s="219">
        <f>SM45*87.3274</f>
        <v>4514731.3931339998</v>
      </c>
      <c r="SN48" s="219">
        <f>SN45*86.8942</f>
        <v>4492335.4253219999</v>
      </c>
      <c r="SO48" s="219">
        <f>SO45*86.1657</f>
        <v>4454672.7693870002</v>
      </c>
      <c r="SP48" s="219">
        <f>SP45*87.0272</f>
        <v>4499211.3803519998</v>
      </c>
      <c r="TL48" s="219">
        <f>TL45*83.1138</f>
        <v>16755756.209346</v>
      </c>
      <c r="TM48" s="219">
        <f>TM45*82.866</f>
        <v>16705799.687220002</v>
      </c>
      <c r="TO48" s="219">
        <f>TO45*82.9363</f>
        <v>16719972.179171002</v>
      </c>
      <c r="TP48" s="219">
        <f>TP45*82.9363</f>
        <v>0</v>
      </c>
      <c r="TQ48" s="219">
        <f>TQ45*82.9363</f>
        <v>0</v>
      </c>
      <c r="TX48" s="219">
        <f>TX45*91.7457</f>
        <v>47860368.292638004</v>
      </c>
      <c r="UD48" s="219">
        <f>UD45*132.9581</f>
        <v>26614.222877</v>
      </c>
      <c r="UE48" s="219">
        <f>UE45*128.9523</f>
        <v>25812.381891000001</v>
      </c>
      <c r="UF48" s="219">
        <f>UF45*127.2343</f>
        <v>32012171.509831004</v>
      </c>
      <c r="UG48" s="219">
        <f>UG45*122.4522</f>
        <v>6122610</v>
      </c>
      <c r="UH48" s="219">
        <f>UH45*118.7601</f>
        <v>6211153.2299999995</v>
      </c>
      <c r="UI48" s="219">
        <f>UI45*115.9311</f>
        <v>23371729.468287002</v>
      </c>
      <c r="UJ48" s="219">
        <f>UJ45*114.3996</f>
        <v>23062978.807932004</v>
      </c>
      <c r="UK48" s="219">
        <f>UK45*115.6002</f>
        <v>23305019.972034</v>
      </c>
      <c r="UL48" s="219">
        <f>UL45*114.7833</f>
        <v>23140332.793161001</v>
      </c>
      <c r="UM48" s="219">
        <f>UM45*113.2613</f>
        <v>22833497.334421001</v>
      </c>
      <c r="UN48" s="219">
        <f>UN45*113.2613</f>
        <v>0</v>
      </c>
      <c r="UO48" s="219">
        <f>UO45*113.2613</f>
        <v>0</v>
      </c>
      <c r="UP48" s="219">
        <f>UP45*113.2613</f>
        <v>0</v>
      </c>
      <c r="UQ48" s="219">
        <f t="shared" ref="UQ48:UR48" si="12">UQ45*113.2613</f>
        <v>0</v>
      </c>
      <c r="UR48" s="219">
        <f t="shared" si="12"/>
        <v>0</v>
      </c>
      <c r="US48" s="219">
        <f t="shared" ref="US48:UT48" si="13">US45*113.2613</f>
        <v>0</v>
      </c>
      <c r="UT48" s="219">
        <f t="shared" si="13"/>
        <v>0</v>
      </c>
      <c r="UU48" s="219">
        <f t="shared" ref="UU48:UV48" si="14">UU45*113.2613</f>
        <v>0</v>
      </c>
      <c r="UV48" s="219">
        <f t="shared" si="14"/>
        <v>0</v>
      </c>
      <c r="UW48" s="219">
        <f t="shared" ref="UW48:UX48" si="15">UW45*113.2613</f>
        <v>0</v>
      </c>
      <c r="UX48" s="219">
        <f t="shared" si="15"/>
        <v>0</v>
      </c>
      <c r="UY48" s="219">
        <f t="shared" ref="UY48:UZ48" si="16">UY45*113.2613</f>
        <v>0</v>
      </c>
      <c r="UZ48" s="219">
        <f t="shared" si="16"/>
        <v>0</v>
      </c>
      <c r="VA48" s="219">
        <f t="shared" ref="VA48:VB48" si="17">VA45*113.2613</f>
        <v>0</v>
      </c>
      <c r="VB48" s="219">
        <f t="shared" si="17"/>
        <v>0</v>
      </c>
      <c r="VC48" s="219">
        <f t="shared" ref="VC48:VD48" si="18">VC45*113.2613</f>
        <v>0</v>
      </c>
      <c r="VD48" s="219">
        <f t="shared" si="18"/>
        <v>0</v>
      </c>
      <c r="VE48" s="219">
        <f t="shared" ref="VE48:VF48" si="19">VE45*113.2613</f>
        <v>0</v>
      </c>
      <c r="VF48" s="219">
        <f t="shared" si="19"/>
        <v>0</v>
      </c>
      <c r="VG48" s="219">
        <f t="shared" ref="VG48:VH48" si="20">VG45*113.2613</f>
        <v>0</v>
      </c>
      <c r="VH48" s="219">
        <f t="shared" si="20"/>
        <v>0</v>
      </c>
      <c r="VI48" s="219">
        <f t="shared" ref="VI48:VJ48" si="21">VI45*113.2613</f>
        <v>0</v>
      </c>
      <c r="VJ48" s="219">
        <f t="shared" si="21"/>
        <v>0</v>
      </c>
      <c r="VK48" s="219">
        <f t="shared" ref="VK48:VL48" si="22">VK45*113.2613</f>
        <v>0</v>
      </c>
      <c r="VL48" s="219">
        <f t="shared" si="22"/>
        <v>0</v>
      </c>
      <c r="VM48" s="219">
        <f t="shared" ref="VM48:VN48" si="23">VM45*113.2613</f>
        <v>0</v>
      </c>
      <c r="VN48" s="219">
        <f t="shared" si="23"/>
        <v>0</v>
      </c>
      <c r="VO48" s="219">
        <f t="shared" ref="VO48:VP48" si="24">VO45*113.2613</f>
        <v>0</v>
      </c>
      <c r="VP48" s="219">
        <f t="shared" si="24"/>
        <v>0</v>
      </c>
      <c r="VQ48" s="219">
        <f t="shared" ref="VQ48:VR48" si="25">VQ45*113.2613</f>
        <v>0</v>
      </c>
      <c r="VR48" s="219">
        <f t="shared" si="25"/>
        <v>0</v>
      </c>
      <c r="VS48" s="219">
        <f t="shared" ref="VS48:VT48" si="26">VS45*113.2613</f>
        <v>0</v>
      </c>
      <c r="VT48" s="219">
        <f t="shared" si="26"/>
        <v>0</v>
      </c>
      <c r="VU48" s="219">
        <f t="shared" ref="VU48" si="27">VU45*113.2613</f>
        <v>0</v>
      </c>
      <c r="VV48" s="219">
        <f t="shared" ref="VV48:VW48" si="28">VV45*113.2613</f>
        <v>0</v>
      </c>
      <c r="VW48" s="219">
        <f t="shared" si="28"/>
        <v>0</v>
      </c>
      <c r="VX48" s="219">
        <f t="shared" ref="VX48:VY48" si="29">VX45*113.2613</f>
        <v>0</v>
      </c>
      <c r="VY48" s="219">
        <f t="shared" si="29"/>
        <v>0</v>
      </c>
      <c r="VZ48" s="219">
        <f t="shared" ref="VZ48:WA48" si="30">VZ45*113.2613</f>
        <v>0</v>
      </c>
      <c r="WA48" s="219">
        <f t="shared" si="30"/>
        <v>0</v>
      </c>
      <c r="WB48" s="219">
        <f t="shared" ref="WB48:WC48" si="31">WB45*113.2613</f>
        <v>0</v>
      </c>
      <c r="WC48" s="219">
        <f t="shared" si="31"/>
        <v>0</v>
      </c>
      <c r="WD48" s="219">
        <f t="shared" ref="WD48:WE48" si="32">WD45*113.2613</f>
        <v>0</v>
      </c>
      <c r="WE48" s="219">
        <f t="shared" si="32"/>
        <v>0</v>
      </c>
      <c r="WF48" s="219">
        <f t="shared" ref="WF48:WG48" si="33">WF45*113.2613</f>
        <v>0</v>
      </c>
      <c r="WG48" s="219">
        <f t="shared" si="33"/>
        <v>0</v>
      </c>
      <c r="WH48" s="219">
        <f t="shared" ref="WH48:WI48" si="34">WH45*113.2613</f>
        <v>0</v>
      </c>
      <c r="WI48" s="219">
        <f t="shared" si="34"/>
        <v>0</v>
      </c>
      <c r="WJ48" s="219">
        <f t="shared" ref="WJ48:WK48" si="35">WJ45*113.2613</f>
        <v>0</v>
      </c>
      <c r="WK48" s="219">
        <f t="shared" si="35"/>
        <v>0</v>
      </c>
      <c r="WL48" s="219">
        <f t="shared" ref="WL48:WM48" si="36">WL45*113.2613</f>
        <v>0</v>
      </c>
      <c r="WM48" s="219">
        <f t="shared" si="36"/>
        <v>0</v>
      </c>
      <c r="WN48" s="219">
        <f t="shared" ref="WN48:WO48" si="37">WN45*113.2613</f>
        <v>0</v>
      </c>
      <c r="WO48" s="219">
        <f t="shared" si="37"/>
        <v>0</v>
      </c>
      <c r="WP48" s="219">
        <f t="shared" ref="WP48:WQ48" si="38">WP45*113.2613</f>
        <v>0</v>
      </c>
      <c r="WQ48" s="219">
        <f t="shared" si="38"/>
        <v>0</v>
      </c>
      <c r="WR48" s="219">
        <f t="shared" ref="WR48:WS48" si="39">WR45*113.2613</f>
        <v>0</v>
      </c>
      <c r="WS48" s="219">
        <f t="shared" si="39"/>
        <v>0</v>
      </c>
      <c r="AEI48" s="219">
        <f>88.1294*AEI45</f>
        <v>23164024.913164001</v>
      </c>
      <c r="AEJ48" s="219">
        <f>90.2892*AEJ45</f>
        <v>23731709.034551997</v>
      </c>
      <c r="AEK48" s="219">
        <f>89.1737*AEK45</f>
        <v>23438509.832121998</v>
      </c>
      <c r="AEL48" s="219">
        <f>89.7271*AEL45</f>
        <v>23583966.074725997</v>
      </c>
      <c r="AEM48" s="219">
        <f>89.7599*AEM45</f>
        <v>23592587.261494</v>
      </c>
      <c r="AEN48" s="219">
        <f>90.0035*AEN45</f>
        <v>23656615.343710002</v>
      </c>
      <c r="AEO48" s="219">
        <f>90.1637*AEO45</f>
        <v>23698722.481522001</v>
      </c>
      <c r="AEP48" s="219">
        <f>89.659*AEP45</f>
        <v>23566066.598540001</v>
      </c>
      <c r="AEQ48" s="219">
        <f>89.5713*AEQ45</f>
        <v>23543015.437577996</v>
      </c>
      <c r="AER48" s="219">
        <f>89.3736*AER45</f>
        <v>23491051.760015998</v>
      </c>
      <c r="AES48" s="219">
        <f>89.4638*AES45</f>
        <v>23514760.023628</v>
      </c>
      <c r="AET48" s="219">
        <f>89.3495*AET45</f>
        <v>23484717.29047</v>
      </c>
      <c r="AEU48" s="219">
        <f>89.4589*AEU45</f>
        <v>23513472.102433998</v>
      </c>
      <c r="AEV48" s="219">
        <f>90.0332*AEV45</f>
        <v>23664421.723191999</v>
      </c>
      <c r="AIH48" s="219">
        <f>AIH45*104.4171</f>
        <v>26312872.173183002</v>
      </c>
      <c r="AII48" s="219">
        <f>AII45*104.9043</f>
        <v>26435645.467239004</v>
      </c>
      <c r="AIJ48" s="219">
        <f>AIJ45*105.0789</f>
        <v>26479644.270897001</v>
      </c>
      <c r="AIK48" s="219">
        <f>AIK45*105.2776</f>
        <v>26529716.219848003</v>
      </c>
      <c r="AIL48" s="219">
        <f>AIL45*104.8872</f>
        <v>26431336.306056004</v>
      </c>
      <c r="AIM48" s="219">
        <f>AIM45*103.5332</f>
        <v>26090131.379636001</v>
      </c>
      <c r="AIN48" s="219">
        <f>AIN45*101.5646</f>
        <v>25594048.648358002</v>
      </c>
      <c r="AIP48" s="219">
        <f>AIP45*103.2289</f>
        <v>53885000.624169998</v>
      </c>
      <c r="AIQ48" s="219">
        <f>AIQ45*103.0358</f>
        <v>53784203.331739999</v>
      </c>
      <c r="AIR48" s="219">
        <f>AIR45*103.0945</f>
        <v>53814844.455849998</v>
      </c>
      <c r="AIS48" s="219">
        <f>AIS45*102.9211</f>
        <v>53724330.470829993</v>
      </c>
      <c r="AIT48" s="219">
        <f>AIT45*103.3699</f>
        <v>53958601.96147</v>
      </c>
      <c r="AIU48" s="219">
        <f>AIU45*102.3606</f>
        <v>53431752.105180003</v>
      </c>
      <c r="AIV48" s="219">
        <f>AIV45*102.2485</f>
        <v>53373236.432050005</v>
      </c>
      <c r="AJV48" s="219">
        <f>AJV45*98.6164</f>
        <v>36443087.087632</v>
      </c>
      <c r="AJW48" s="219">
        <f>AJW45*97.9345</f>
        <v>36191095.11586</v>
      </c>
      <c r="AJX48" s="219">
        <f>AJX45*98.4365</f>
        <v>36376606.143619999</v>
      </c>
      <c r="AJY48" s="219">
        <f>AJY45*98.9995</f>
        <v>36584659.348059997</v>
      </c>
      <c r="AJZ48" s="219">
        <f>AJZ45*99.0111</f>
        <v>36588946.057067998</v>
      </c>
      <c r="ALE48" s="219">
        <f>ALE45*98.5764</f>
        <v>54229731.42678</v>
      </c>
      <c r="ARL48" s="219">
        <f>ARL45*101.9508</f>
        <v>8767768.8000000007</v>
      </c>
      <c r="ARM48" s="219">
        <f>ARM45*101.6207</f>
        <v>8739380.1999999993</v>
      </c>
      <c r="AXC48" s="219">
        <f>AXC46*92.3409</f>
        <v>8310681</v>
      </c>
      <c r="AYM48" s="219">
        <f>AYM46*89.9679</f>
        <v>2699037</v>
      </c>
      <c r="AYN48" s="219">
        <f>AYN46*91.299</f>
        <v>2738970</v>
      </c>
      <c r="AYO48" s="219">
        <f>AYO46*90.2004</f>
        <v>2706012</v>
      </c>
      <c r="AZZ48" s="219">
        <f>AZZ46*90.5635</f>
        <v>30429510.787555002</v>
      </c>
      <c r="BAA48" s="219">
        <f>BAA46*90.9716</f>
        <v>30566633.175187998</v>
      </c>
      <c r="BAB48" s="219">
        <f>BAB46*91.0821</f>
        <v>30603761.388452999</v>
      </c>
      <c r="BAC48" s="219">
        <f>BAC46*91.5138</f>
        <v>30748813.421634</v>
      </c>
      <c r="BAD48" s="219">
        <f>BAD46*91.7782</f>
        <v>30837652.331925999</v>
      </c>
      <c r="BAE48" s="219">
        <f>BAE46*91.7897</f>
        <v>30841516.354121</v>
      </c>
      <c r="BAF48" s="219">
        <f>BAF46*93.3362</f>
        <v>31361143.338866003</v>
      </c>
      <c r="BAG48" s="219">
        <f>BAG46*93.3508</f>
        <v>31366048.967044003</v>
      </c>
    </row>
    <row r="49" spans="1:1395" s="439" customFormat="1" x14ac:dyDescent="0.2">
      <c r="A49" s="478" t="s">
        <v>192</v>
      </c>
      <c r="B49" s="440"/>
      <c r="RE49" s="302"/>
      <c r="RF49" s="302"/>
      <c r="RG49" s="302"/>
      <c r="RH49" s="302"/>
      <c r="RI49" s="302"/>
      <c r="RJ49" s="302"/>
      <c r="RR49" s="302"/>
      <c r="RS49" s="302"/>
      <c r="RT49" s="302"/>
    </row>
    <row r="50" spans="1:1395" s="439" customFormat="1" x14ac:dyDescent="0.2">
      <c r="A50" s="479"/>
      <c r="B50" s="445" t="s">
        <v>190</v>
      </c>
      <c r="RE50" s="302"/>
      <c r="RF50" s="302"/>
      <c r="RG50" s="302"/>
      <c r="RH50" s="302"/>
      <c r="RI50" s="302"/>
      <c r="RJ50" s="302"/>
      <c r="RR50" s="302"/>
      <c r="RS50" s="302"/>
      <c r="RT50" s="302"/>
      <c r="ACP50" s="439">
        <v>3495975.46</v>
      </c>
      <c r="AGM50" s="439">
        <v>3498504.06</v>
      </c>
      <c r="AGN50" s="439">
        <v>3498504.06</v>
      </c>
      <c r="AGO50" s="296"/>
      <c r="AIB50" s="439">
        <v>119239.73</v>
      </c>
      <c r="AIC50" s="439">
        <v>119239.73</v>
      </c>
      <c r="AID50" s="439">
        <v>119239.73</v>
      </c>
      <c r="AIE50" s="439">
        <v>119239.73</v>
      </c>
      <c r="AIF50" s="439">
        <v>119239.73</v>
      </c>
      <c r="AIG50" s="439">
        <v>119239.73</v>
      </c>
      <c r="AIH50" s="439">
        <v>119239.73</v>
      </c>
      <c r="AII50" s="439">
        <v>119239.73</v>
      </c>
      <c r="AIJ50" s="439">
        <v>119239.73</v>
      </c>
      <c r="AIK50" s="439">
        <v>119239.73</v>
      </c>
      <c r="AIL50" s="439">
        <v>119239.73</v>
      </c>
      <c r="AIM50" s="439">
        <v>119239.73</v>
      </c>
      <c r="AIN50" s="439">
        <v>119239.73</v>
      </c>
      <c r="AIO50" s="439">
        <v>119239.73</v>
      </c>
      <c r="AIP50" s="439">
        <v>119239.73</v>
      </c>
      <c r="AIQ50" s="439">
        <v>119239.73</v>
      </c>
      <c r="AIR50" s="439">
        <v>119239.73</v>
      </c>
      <c r="AIS50" s="439">
        <v>119239.73</v>
      </c>
      <c r="AIT50" s="439">
        <v>119239.73</v>
      </c>
      <c r="AIU50" s="439">
        <v>119239.73</v>
      </c>
      <c r="AIV50" s="439">
        <v>119239.73</v>
      </c>
      <c r="AIW50" s="439">
        <v>119239.73</v>
      </c>
      <c r="AIX50" s="439">
        <v>22987.84</v>
      </c>
      <c r="AIY50" s="439">
        <v>22987.84</v>
      </c>
      <c r="AIZ50" s="439">
        <v>22987.84</v>
      </c>
      <c r="AJA50" s="439">
        <v>22987.84</v>
      </c>
      <c r="AJB50" s="439">
        <v>22987.84</v>
      </c>
      <c r="AJC50" s="439">
        <v>22987.84</v>
      </c>
      <c r="AJD50" s="439">
        <v>22987.84</v>
      </c>
      <c r="AJE50" s="439">
        <v>22987.84</v>
      </c>
      <c r="AJF50" s="439">
        <v>22987.84</v>
      </c>
      <c r="AJG50" s="439">
        <v>22987.84</v>
      </c>
      <c r="AJH50" s="439">
        <v>22987.84</v>
      </c>
      <c r="AJI50" s="439">
        <v>22987.84</v>
      </c>
      <c r="AJJ50" s="439">
        <v>22987.84</v>
      </c>
      <c r="AJK50" s="439">
        <v>22987.84</v>
      </c>
      <c r="AJL50" s="439">
        <v>22987.84</v>
      </c>
      <c r="AJM50" s="439">
        <v>22987.84</v>
      </c>
      <c r="AJN50" s="439">
        <v>22987.84</v>
      </c>
      <c r="AJO50" s="439">
        <v>22987.84</v>
      </c>
      <c r="AJP50" s="439">
        <v>22987.84</v>
      </c>
      <c r="AJQ50" s="439">
        <v>22987.84</v>
      </c>
      <c r="AJR50" s="439">
        <v>22987.84</v>
      </c>
      <c r="AJS50" s="439">
        <v>22987.84</v>
      </c>
      <c r="AJT50" s="439">
        <v>22987.84</v>
      </c>
      <c r="AJU50" s="439">
        <v>22987.84</v>
      </c>
      <c r="AJV50" s="439">
        <v>22987.84</v>
      </c>
      <c r="AJW50" s="439">
        <v>22987.84</v>
      </c>
      <c r="AJX50" s="439">
        <v>22987.84</v>
      </c>
      <c r="AJY50" s="439">
        <v>22987.84</v>
      </c>
      <c r="AJZ50" s="439">
        <v>22987.84</v>
      </c>
      <c r="AKA50" s="439">
        <v>22987.84</v>
      </c>
      <c r="AXU50" s="439">
        <v>202572</v>
      </c>
      <c r="AXV50" s="439">
        <v>202572</v>
      </c>
      <c r="AXW50" s="439">
        <v>202572</v>
      </c>
      <c r="AXX50" s="439">
        <v>202572</v>
      </c>
      <c r="AXY50" s="439">
        <v>202572</v>
      </c>
      <c r="AXZ50" s="439">
        <v>202572</v>
      </c>
      <c r="AYA50" s="439">
        <v>202572</v>
      </c>
      <c r="AYB50" s="439">
        <v>202572</v>
      </c>
      <c r="AYC50" s="439">
        <v>202572</v>
      </c>
      <c r="AYD50" s="439">
        <v>202572</v>
      </c>
      <c r="AYE50" s="439">
        <v>202572</v>
      </c>
      <c r="AYF50" s="439">
        <v>202572</v>
      </c>
      <c r="AYG50" s="439">
        <v>202572</v>
      </c>
      <c r="AYH50" s="439">
        <v>202572</v>
      </c>
      <c r="AYI50" s="439">
        <v>202572</v>
      </c>
      <c r="AYJ50" s="439">
        <v>202572</v>
      </c>
      <c r="AYK50" s="439">
        <v>202572</v>
      </c>
      <c r="AYL50" s="439">
        <v>202572</v>
      </c>
      <c r="AYM50" s="439">
        <v>202572</v>
      </c>
      <c r="AYN50" s="439">
        <v>202572</v>
      </c>
      <c r="AYO50" s="439">
        <v>202572</v>
      </c>
      <c r="AYP50" s="439">
        <v>202572</v>
      </c>
      <c r="AYQ50" s="439">
        <v>202572</v>
      </c>
      <c r="AYR50" s="439">
        <v>202572</v>
      </c>
      <c r="AYS50" s="439">
        <v>202572</v>
      </c>
      <c r="AYT50" s="439">
        <v>202572</v>
      </c>
      <c r="AYU50" s="439">
        <v>202572</v>
      </c>
      <c r="AYV50" s="439">
        <v>202572</v>
      </c>
      <c r="AYW50" s="439">
        <v>202572</v>
      </c>
      <c r="AYX50" s="439">
        <v>202572</v>
      </c>
      <c r="AYY50" s="439">
        <v>202572</v>
      </c>
      <c r="AYZ50" s="439">
        <v>202572</v>
      </c>
      <c r="AZA50" s="439">
        <v>202572</v>
      </c>
      <c r="AZB50" s="439">
        <v>202572</v>
      </c>
      <c r="AZC50" s="439">
        <v>202572</v>
      </c>
      <c r="AZD50" s="439">
        <v>202572</v>
      </c>
      <c r="AZE50" s="439">
        <v>202572</v>
      </c>
      <c r="AZF50" s="439">
        <v>202572</v>
      </c>
      <c r="AZG50" s="439">
        <v>202572</v>
      </c>
      <c r="AZH50" s="439">
        <v>202572</v>
      </c>
      <c r="AZI50" s="439">
        <v>202572</v>
      </c>
      <c r="AZJ50" s="439">
        <v>202572</v>
      </c>
      <c r="AZK50" s="439">
        <v>202572</v>
      </c>
      <c r="AZL50" s="439">
        <v>202572</v>
      </c>
      <c r="AZM50" s="439">
        <v>202572</v>
      </c>
      <c r="AZN50" s="439">
        <v>202572</v>
      </c>
      <c r="AZO50" s="439">
        <v>202572</v>
      </c>
      <c r="AZP50" s="439">
        <v>202572</v>
      </c>
      <c r="AZQ50" s="439">
        <v>202572</v>
      </c>
      <c r="AZR50" s="439">
        <v>202572</v>
      </c>
      <c r="AZS50" s="439">
        <v>202572</v>
      </c>
      <c r="AZT50" s="439">
        <v>202572</v>
      </c>
      <c r="AZU50" s="439">
        <v>202572</v>
      </c>
      <c r="AZV50" s="439">
        <v>202572</v>
      </c>
      <c r="AZW50" s="439">
        <v>202572</v>
      </c>
      <c r="AZX50" s="439">
        <v>202572</v>
      </c>
      <c r="AZY50" s="439">
        <v>202572</v>
      </c>
      <c r="AZZ50" s="439">
        <v>202572</v>
      </c>
      <c r="BAA50" s="439">
        <v>202572</v>
      </c>
      <c r="BAB50" s="439">
        <v>202572</v>
      </c>
      <c r="BAC50" s="439">
        <v>202572</v>
      </c>
      <c r="BAD50" s="439">
        <v>202572</v>
      </c>
      <c r="BAE50" s="439">
        <v>202572</v>
      </c>
      <c r="BAF50" s="439">
        <v>202572</v>
      </c>
      <c r="BAG50" s="439">
        <v>202572</v>
      </c>
      <c r="BAH50" s="439">
        <v>202572</v>
      </c>
      <c r="BAI50" s="439">
        <v>202572</v>
      </c>
      <c r="BAJ50" s="439">
        <v>202572</v>
      </c>
      <c r="BAK50" s="439">
        <v>202572</v>
      </c>
      <c r="BAL50" s="439">
        <v>202572</v>
      </c>
      <c r="BAM50" s="439">
        <v>202572</v>
      </c>
      <c r="BAN50" s="439">
        <v>202572</v>
      </c>
      <c r="BAO50" s="439">
        <v>202572</v>
      </c>
      <c r="BAP50" s="439">
        <v>202572</v>
      </c>
      <c r="BAQ50" s="439">
        <v>202572</v>
      </c>
    </row>
    <row r="51" spans="1:1395" s="459" customFormat="1" ht="24" customHeight="1" x14ac:dyDescent="0.2">
      <c r="A51" s="479"/>
      <c r="B51" s="465" t="s">
        <v>130</v>
      </c>
      <c r="RE51" s="460"/>
      <c r="RF51" s="460"/>
      <c r="RG51" s="460"/>
      <c r="RH51" s="460"/>
      <c r="RI51" s="460"/>
      <c r="RJ51" s="460"/>
      <c r="RR51" s="460"/>
      <c r="RS51" s="460"/>
      <c r="RT51" s="460"/>
      <c r="AJA51" s="459">
        <v>3526540.02</v>
      </c>
      <c r="AWT51" s="459">
        <v>0.19</v>
      </c>
      <c r="AWU51" s="459">
        <v>0.19</v>
      </c>
      <c r="AWV51" s="459">
        <v>0.19</v>
      </c>
      <c r="AWW51" s="459">
        <v>0.19</v>
      </c>
      <c r="AWX51" s="459">
        <v>0.19</v>
      </c>
      <c r="AWY51" s="459">
        <v>0.19</v>
      </c>
      <c r="AWZ51" s="459">
        <v>0.19</v>
      </c>
      <c r="AXA51" s="459">
        <v>0.19</v>
      </c>
      <c r="AXB51" s="459">
        <v>0.19</v>
      </c>
      <c r="AXC51" s="459">
        <v>0.19</v>
      </c>
      <c r="AXD51" s="459">
        <v>0.19</v>
      </c>
      <c r="AXE51" s="459">
        <v>0.19</v>
      </c>
      <c r="AXF51" s="459">
        <v>0.19</v>
      </c>
      <c r="AXG51" s="459">
        <v>0.19</v>
      </c>
      <c r="AXH51" s="459">
        <v>0.19</v>
      </c>
      <c r="AXI51" s="459">
        <v>0.19</v>
      </c>
      <c r="AXJ51" s="459">
        <v>0.19</v>
      </c>
      <c r="AXK51" s="459">
        <v>0.19</v>
      </c>
      <c r="AXL51" s="459">
        <v>0.19</v>
      </c>
      <c r="AXM51" s="459">
        <v>0.19</v>
      </c>
      <c r="AXN51" s="459">
        <v>0.19</v>
      </c>
      <c r="AXO51" s="459">
        <v>0.19</v>
      </c>
      <c r="AXP51" s="459">
        <v>0.19</v>
      </c>
      <c r="AXQ51" s="459">
        <v>0.19</v>
      </c>
      <c r="AXR51" s="459">
        <v>0.19</v>
      </c>
      <c r="AXS51" s="459">
        <v>0.19</v>
      </c>
      <c r="AXT51" s="459">
        <v>0.19</v>
      </c>
      <c r="AXU51" s="459">
        <v>0.19</v>
      </c>
      <c r="AXV51" s="459">
        <v>0.19</v>
      </c>
      <c r="AXW51" s="459">
        <v>0.19</v>
      </c>
      <c r="AXX51" s="459">
        <v>0.19</v>
      </c>
      <c r="AXY51" s="459">
        <v>0.19</v>
      </c>
      <c r="AXZ51" s="459">
        <v>0.19</v>
      </c>
      <c r="AYA51" s="459">
        <v>0.19</v>
      </c>
      <c r="AYB51" s="459">
        <v>0.19</v>
      </c>
      <c r="AYC51" s="459">
        <v>0.19</v>
      </c>
      <c r="AYD51" s="459">
        <v>0.19</v>
      </c>
      <c r="AYE51" s="459">
        <v>0.19</v>
      </c>
      <c r="AYF51" s="459">
        <v>0.19</v>
      </c>
      <c r="AYG51" s="459">
        <v>0.19</v>
      </c>
      <c r="AYH51" s="459">
        <v>0.19</v>
      </c>
      <c r="AYI51" s="459">
        <v>0.19</v>
      </c>
      <c r="AYJ51" s="459">
        <v>0.19</v>
      </c>
      <c r="AYK51" s="459">
        <v>0.19</v>
      </c>
      <c r="AYL51" s="459">
        <v>0.19</v>
      </c>
      <c r="AYM51" s="459">
        <v>0.19</v>
      </c>
      <c r="AYN51" s="459">
        <v>0.19</v>
      </c>
      <c r="AYO51" s="459">
        <v>0.19</v>
      </c>
      <c r="AYP51" s="459">
        <v>0.19</v>
      </c>
      <c r="AYQ51" s="459">
        <v>0.19</v>
      </c>
      <c r="AYR51" s="459">
        <v>0.19</v>
      </c>
      <c r="AYS51" s="459">
        <v>0.19</v>
      </c>
      <c r="AYT51" s="459">
        <v>0.19</v>
      </c>
      <c r="AYU51" s="459">
        <v>0.19</v>
      </c>
      <c r="AYV51" s="459">
        <v>0.19</v>
      </c>
      <c r="AYW51" s="459">
        <v>0.19</v>
      </c>
      <c r="AYX51" s="459">
        <v>0.19</v>
      </c>
      <c r="AYY51" s="459">
        <v>0.19</v>
      </c>
      <c r="AYZ51" s="459">
        <v>0.19</v>
      </c>
      <c r="AZA51" s="459">
        <v>0.19</v>
      </c>
      <c r="AZB51" s="459">
        <v>0.19</v>
      </c>
      <c r="AZC51" s="459">
        <v>0.19</v>
      </c>
    </row>
    <row r="52" spans="1:1395" s="219" customFormat="1" ht="18.75" x14ac:dyDescent="0.2">
      <c r="A52" s="442" t="s">
        <v>111</v>
      </c>
      <c r="B52" s="444"/>
      <c r="RE52" s="303"/>
      <c r="RF52" s="303"/>
      <c r="RG52" s="303"/>
      <c r="RH52" s="303"/>
      <c r="RI52" s="303"/>
      <c r="RJ52" s="303"/>
      <c r="RR52" s="303"/>
      <c r="RS52" s="303"/>
      <c r="RT52" s="303"/>
      <c r="ACP52" s="219">
        <f>ACP50*10.3077</f>
        <v>36035466.249042004</v>
      </c>
      <c r="AGM52" s="219">
        <v>41944964.579999998</v>
      </c>
      <c r="AGN52" s="219">
        <f>AGN50*12.1588</f>
        <v>42537611.164728001</v>
      </c>
      <c r="AIB52" s="219">
        <f>AIB50*12.972</f>
        <v>1546777.7775599998</v>
      </c>
      <c r="AIC52" s="219">
        <f>AIC50*13.055</f>
        <v>1556674.67515</v>
      </c>
      <c r="AID52" s="219">
        <f>AID50*13.1096</f>
        <v>1563185.164408</v>
      </c>
      <c r="AIE52" s="219">
        <f>AIE50*13.1311</f>
        <v>1565748.8186029999</v>
      </c>
      <c r="AIF52" s="219">
        <f>AIF50*13.1943</f>
        <v>1573284.769539</v>
      </c>
      <c r="AIG52" s="219">
        <f>AIG50*13.2479</f>
        <v>1579676.0190669999</v>
      </c>
      <c r="AIH52" s="219">
        <f>AIH50*13.2861</f>
        <v>1584230.9767529999</v>
      </c>
      <c r="AII52" s="219">
        <f>AII50*13.3402</f>
        <v>1590681.8461459999</v>
      </c>
      <c r="AIJ52" s="219">
        <f>AIJ50*13.3749</f>
        <v>1594819.464777</v>
      </c>
      <c r="AIK52" s="219">
        <f>AIK50*13.3787</f>
        <v>1595272.5757510001</v>
      </c>
      <c r="AIL52" s="219">
        <f>AIL50*13.3135</f>
        <v>1587498.1453549999</v>
      </c>
      <c r="AIM52" s="219">
        <f>AIM50*13.1975</f>
        <v>1573666.3366749999</v>
      </c>
      <c r="AIN52" s="219">
        <f>AIN50*12.9522</f>
        <v>1544416.830906</v>
      </c>
      <c r="AIO52" s="219">
        <f>AIO50*13.1735</f>
        <v>1570804.5831550001</v>
      </c>
      <c r="AIP52" s="219">
        <f>AIP50*13.1931</f>
        <v>1573141.6818629999</v>
      </c>
      <c r="AIQ52" s="219">
        <f>AIQ50*13.2672</f>
        <v>1581977.345856</v>
      </c>
      <c r="AIR52" s="219">
        <f>AIR50*13.2387</f>
        <v>1578579.0135509998</v>
      </c>
      <c r="AIS52" s="219">
        <f>AIS50*13.1695</f>
        <v>1570327.6242349998</v>
      </c>
      <c r="AIT52" s="219">
        <f>AIT50*13.2097</f>
        <v>1575121.0613809999</v>
      </c>
      <c r="AIU52" s="219">
        <f>AIU50*13.1335</f>
        <v>1566034.9939549998</v>
      </c>
      <c r="AIV52" s="219">
        <f>AIV50*13.1414</f>
        <v>1566976.9878219999</v>
      </c>
      <c r="AIW52" s="219">
        <f>AIW50*13.1394</f>
        <v>1566738.5083619999</v>
      </c>
      <c r="AIX52" s="219">
        <f>AIX50*13.1504</f>
        <v>302299.29113600001</v>
      </c>
      <c r="AIY52" s="219">
        <f>13.1852*AIY50</f>
        <v>303099.26796800003</v>
      </c>
      <c r="AIZ52" s="219">
        <f>13.2753*AIZ50</f>
        <v>305170.47235200001</v>
      </c>
      <c r="AJA52" s="219">
        <f>13.3587*(AJA50+AJA51)</f>
        <v>47417077.823381998</v>
      </c>
      <c r="AJB52" s="219">
        <f>13.4955*(AJB50+AJB51)</f>
        <v>310232.39471999998</v>
      </c>
      <c r="AJC52" s="219">
        <f>13.5556*(AJC50+AJC51)</f>
        <v>311613.963904</v>
      </c>
      <c r="AJD52" s="219">
        <f>13.5779*(AJD50+AJD51)</f>
        <v>312126.59273600002</v>
      </c>
      <c r="AJE52" s="219">
        <f>13.6183*(AJE50+AJE51)</f>
        <v>313055.30147200002</v>
      </c>
      <c r="AJF52" s="219">
        <f>13.7373*(AJF50+AJF51)</f>
        <v>315790.85443199996</v>
      </c>
      <c r="AJG52" s="219">
        <f>13.8926*(AJG50+AJG51)</f>
        <v>319360.86598399997</v>
      </c>
      <c r="AJH52" s="219">
        <f>13.6821*(AJH50+AJH51)</f>
        <v>314521.92566399998</v>
      </c>
      <c r="AJI52" s="219">
        <f>13.6982*(AJI50+AJI51)</f>
        <v>314892.02988799999</v>
      </c>
      <c r="AJJ52" s="219">
        <f>13.284*(AJJ50+AJJ51)</f>
        <v>305370.46656000003</v>
      </c>
      <c r="AJK52" s="219">
        <f>13.3026*(AJK50+AJK51)</f>
        <v>305798.04038399999</v>
      </c>
      <c r="AJL52" s="219">
        <f>13.2893*(AJL50+AJL51)</f>
        <v>305492.302112</v>
      </c>
      <c r="AJM52" s="219">
        <f>13.2855*(AJM50+AJM51)</f>
        <v>305404.94832000002</v>
      </c>
      <c r="AJN52" s="219">
        <f>13.2881*(AJN50+AJN51)</f>
        <v>305464.71670400002</v>
      </c>
      <c r="AJO52" s="219">
        <f>13.2533*(AJO50+AJO51)</f>
        <v>304664.73987200001</v>
      </c>
      <c r="AJP52" s="219">
        <f>13.0688*(AJP50+AJP51)</f>
        <v>300423.48339199997</v>
      </c>
      <c r="AJQ52" s="219">
        <f>12.9219*(AJQ50+AJQ51)</f>
        <v>297046.56969600002</v>
      </c>
      <c r="AJR52" s="219">
        <f>12.766 *(AJR50+AJR51)</f>
        <v>293462.76543999999</v>
      </c>
      <c r="AJS52" s="219">
        <f>12.7084 *(AJS50+AJS51)</f>
        <v>292138.66585599998</v>
      </c>
      <c r="AJT52" s="219">
        <f>12.7507 *(AJT50+AJT51)</f>
        <v>293111.05148800003</v>
      </c>
      <c r="AJU52" s="219">
        <f>12.7122 *(AJU50+AJU51)</f>
        <v>292226.01964799996</v>
      </c>
      <c r="AJV52" s="219">
        <f>12.7071 *(AJV50+AJV51)</f>
        <v>292108.78166400001</v>
      </c>
      <c r="AJW52" s="219">
        <f>12.5339 *(AJW50+AJW51)</f>
        <v>288127.28777599998</v>
      </c>
      <c r="AJX52" s="219">
        <f>12.7052 *(AJX50+AJX51)</f>
        <v>292065.10476800002</v>
      </c>
      <c r="AJY52" s="219">
        <f>12.7042 *(AJY50+AJY51)</f>
        <v>292042.116928</v>
      </c>
      <c r="AJZ52" s="219">
        <f>12.6911 *(AJZ50+AJZ51)</f>
        <v>291740.97622400004</v>
      </c>
      <c r="AKA52" s="219">
        <f>12.6656 *(AKA50+AKA51)</f>
        <v>291154.78630400001</v>
      </c>
      <c r="AWT52" s="219">
        <f>AWT51*11.9242</f>
        <v>2.2655980000000002</v>
      </c>
      <c r="AWU52" s="219">
        <f>AWU51*11.873</f>
        <v>2.2558699999999998</v>
      </c>
      <c r="AWV52" s="219">
        <f>AWV51*11.8167</f>
        <v>2.2451730000000003</v>
      </c>
      <c r="AWW52" s="219">
        <f>AWW51*11.6</f>
        <v>2.2039999999999997</v>
      </c>
      <c r="AWX52" s="219">
        <f>AWX51*11.2232</f>
        <v>2.1324079999999999</v>
      </c>
      <c r="AWY52" s="219">
        <f>AWY51*11.4337</f>
        <v>2.1724030000000001</v>
      </c>
      <c r="AWZ52" s="219">
        <f>AWZ51*11.6019</f>
        <v>2.204361</v>
      </c>
      <c r="AXA52" s="219">
        <f>AXA51*11.5779</f>
        <v>2.1998009999999999</v>
      </c>
      <c r="AXB52" s="219">
        <f>AXB51*11.461</f>
        <v>2.1775899999999999</v>
      </c>
      <c r="AXC52" s="219">
        <f>AXC51*11.5572</f>
        <v>2.1958679999999999</v>
      </c>
      <c r="AXD52" s="219">
        <f>AXD51*11.5225</f>
        <v>2.1892750000000003</v>
      </c>
      <c r="AXE52" s="219">
        <f>AXE51*11.497</f>
        <v>2.1844299999999999</v>
      </c>
      <c r="AXF52" s="219">
        <f>AXF51*11.4575</f>
        <v>2.1769249999999998</v>
      </c>
      <c r="AXG52" s="219">
        <f>AXG51*11.7136</f>
        <v>2.225584</v>
      </c>
      <c r="AXH52" s="219">
        <f>AXH51*11.6029</f>
        <v>2.2045509999999999</v>
      </c>
      <c r="AXI52" s="219">
        <f>AXI51*11.5258</f>
        <v>2.189902</v>
      </c>
      <c r="AXJ52" s="219">
        <f>AXJ51*11.4818</f>
        <v>2.1815419999999999</v>
      </c>
      <c r="AXK52" s="219">
        <f>AXK51*11.6044</f>
        <v>2.2048360000000002</v>
      </c>
      <c r="AXL52" s="219">
        <f>AXL51*11.7286</f>
        <v>2.228434</v>
      </c>
      <c r="AXM52" s="219">
        <f>AXM51*11.5664</f>
        <v>2.197616</v>
      </c>
      <c r="AXN52" s="219">
        <f>AXN51*11.6352</f>
        <v>2.2106879999999998</v>
      </c>
      <c r="AXO52" s="219">
        <f>AXO51*11.5336</f>
        <v>2.1913839999999998</v>
      </c>
      <c r="AXP52" s="219">
        <f>AXP51*11.4471</f>
        <v>2.1749490000000002</v>
      </c>
      <c r="AXQ52" s="219">
        <f>AXQ51*11.2274</f>
        <v>2.1332059999999999</v>
      </c>
      <c r="AXR52" s="219">
        <f>AXR51*11.164</f>
        <v>2.1211600000000002</v>
      </c>
      <c r="AXS52" s="219">
        <f>AXS51*11.2812</f>
        <v>2.1434280000000001</v>
      </c>
      <c r="AXT52" s="219">
        <f>AXT51*11.1915</f>
        <v>2.126385</v>
      </c>
      <c r="AXU52" s="219">
        <f>(AXU50+AXU51)*11.0889</f>
        <v>2246302.7576910001</v>
      </c>
      <c r="AXV52" s="219">
        <f>(AXV50+AXV51)*11.0648</f>
        <v>2241420.767912</v>
      </c>
      <c r="AXW52" s="219">
        <f>(AXW50+AXW51)*11.1123</f>
        <v>2251042.9469369999</v>
      </c>
      <c r="AXX52" s="219">
        <f>(AXX50+AXX51)*11.3388</f>
        <v>2296925.5479720002</v>
      </c>
      <c r="AXY52" s="219">
        <f>(AXY50+AXY51)*11.3979</f>
        <v>2308897.5644009998</v>
      </c>
      <c r="AXZ52" s="219">
        <f>(AXZ50+AXZ51)*11.3506</f>
        <v>2299315.8998139999</v>
      </c>
      <c r="AYA52" s="219">
        <f>(AYA50+AYA51)*11.2761</f>
        <v>2284224.2716589998</v>
      </c>
      <c r="AYB52" s="219">
        <f>(AYB50+AYB51)*11.2016</f>
        <v>2269132.6435039998</v>
      </c>
      <c r="AYC52" s="219">
        <f>(AYC50+AYC51)*11.1713</f>
        <v>2262994.7061470002</v>
      </c>
      <c r="AYD52" s="219">
        <f>(AYD50+AYD51)*11.3025</f>
        <v>2289572.1774750003</v>
      </c>
      <c r="AYE52" s="219">
        <f>(AYE50+AYE51)*11.2155</f>
        <v>2271948.3969450002</v>
      </c>
      <c r="AYF52" s="219">
        <f>(AYF50+AYF51)*11.1819</f>
        <v>2265141.9713610001</v>
      </c>
      <c r="AYG52" s="219">
        <f>(AYG50+AYG51)*11.1789</f>
        <v>2264534.2547909999</v>
      </c>
      <c r="AYH52" s="219">
        <f>(AYH50+AYH51)*11.1573</f>
        <v>2260158.695487</v>
      </c>
      <c r="AYI52" s="219">
        <f>(AYI50+AYI51)*11.1128</f>
        <v>2251144.2330320003</v>
      </c>
      <c r="AYJ52" s="219">
        <f>(AYJ50+AYJ51)*11.1143</f>
        <v>2251448.0913169999</v>
      </c>
      <c r="AYK52" s="219">
        <f>(AYK50+AYK51)*11.1593</f>
        <v>2260563.839867</v>
      </c>
      <c r="AYL52" s="219">
        <f>(AYL50+AYL51)*11.1179</f>
        <v>2252177.3512010002</v>
      </c>
      <c r="AYM52" s="219">
        <f>(AYM50+AYM51)*11.1625</f>
        <v>2261212.0708749997</v>
      </c>
      <c r="AYN52" s="219">
        <f>(AYN50+AYN51)*11.0876</f>
        <v>2246039.4138440001</v>
      </c>
      <c r="AYO52" s="219">
        <f>(AYO50+AYO51)*11.0101</f>
        <v>2230340.0691189999</v>
      </c>
      <c r="AYP52" s="219">
        <f>(AYP50+AYP51)*11.0772</f>
        <v>2243932.6630679998</v>
      </c>
      <c r="AYQ52" s="219">
        <f>(AYQ50+AYQ51)*11.0802</f>
        <v>2244540.3796379999</v>
      </c>
      <c r="AYR52" s="219">
        <f>(AYR50+AYR51)*11.1014</f>
        <v>2248834.9100660002</v>
      </c>
      <c r="AYS52" s="219">
        <f>(AYS50+AYS51)*11.0504</f>
        <v>2238503.7283760002</v>
      </c>
      <c r="AYT52" s="219">
        <f>(AYT50+AYT51)*10.894</f>
        <v>2206821.4378599999</v>
      </c>
      <c r="AYU52" s="219">
        <f>(AYU50+AYU51)*10.8897</f>
        <v>2205950.3774429997</v>
      </c>
      <c r="AYV52" s="219">
        <f>(AYV50+AYV51)*10.9452</f>
        <v>2217193.133988</v>
      </c>
      <c r="AYW52" s="219">
        <f>(AYW50+AYW51)*10.9128</f>
        <v>2210629.7950320002</v>
      </c>
      <c r="AYX52" s="219">
        <f>(AYX50+AYX51)*10.8685</f>
        <v>2201655.8470149999</v>
      </c>
      <c r="AYY52" s="219">
        <f>(AYY50+AYY51)*11.0208</f>
        <v>2232507.591552</v>
      </c>
      <c r="AYZ52" s="219">
        <f>(AYZ50+AYZ51)*11.011</f>
        <v>2230522.3840899998</v>
      </c>
      <c r="AZA52" s="219">
        <f>(AZA50+AZA51)*10.9784</f>
        <v>2223918.530696</v>
      </c>
      <c r="AZB52" s="219">
        <f>(AZB50+AZB51)*10.9784</f>
        <v>2223918.530696</v>
      </c>
      <c r="AZC52" s="219">
        <f>(AZC50+AZC51)*10.9317</f>
        <v>2214458.4094229997</v>
      </c>
      <c r="AZD52" s="219">
        <f>(AZD50+AZD51)*10.8979</f>
        <v>2207609.3988000001</v>
      </c>
      <c r="AZE52" s="219">
        <f>(AZE50+AZE51)*10.921</f>
        <v>2212288.8119999999</v>
      </c>
      <c r="AZF52" s="219">
        <f>(AZF50+AZF51)*10.8728</f>
        <v>2202524.8415999999</v>
      </c>
      <c r="AZG52" s="219">
        <f>(AZG50+AZG51)*10.8605</f>
        <v>2200033.2060000002</v>
      </c>
      <c r="AZH52" s="219">
        <f>(AZH50+AZH51)*10.9021</f>
        <v>2208460.2012</v>
      </c>
      <c r="AZI52" s="219">
        <f>(AZI50+AZI51)*10.8691</f>
        <v>2201775.3251999998</v>
      </c>
      <c r="AZJ52" s="219">
        <f>(AZJ50+AZJ51)*10.9657</f>
        <v>2221343.7804</v>
      </c>
      <c r="AZK52" s="219">
        <f>(AZK50+AZK51)*10.9069</f>
        <v>2209432.5468000001</v>
      </c>
      <c r="AZL52" s="219">
        <f>(AZL50+AZL51)*10.9343</f>
        <v>2214983.0196000002</v>
      </c>
      <c r="AZM52" s="219">
        <f>(AZM50+AZM51)*10.9433</f>
        <v>2216806.1676000003</v>
      </c>
      <c r="AZN52" s="219">
        <f>(AZN50+AZN51)*10.9298</f>
        <v>2214071.4456000002</v>
      </c>
      <c r="AZO52" s="219">
        <f>(AZO50+AZO51)*10.9384</f>
        <v>2215813.5647999998</v>
      </c>
      <c r="AZP52" s="219">
        <f>(AZP50+AZP51)*10.9465</f>
        <v>2217454.398</v>
      </c>
      <c r="AZQ52" s="219">
        <f>(AZQ50+AZQ51)*10.9852</f>
        <v>2225293.9344000001</v>
      </c>
      <c r="AZR52" s="219">
        <f>(AZR50+AZR51)*10.9947</f>
        <v>2227218.3684</v>
      </c>
      <c r="AZS52" s="219">
        <f>(AZS50+AZS51)*10.9808</f>
        <v>2224402.6176</v>
      </c>
      <c r="AZT52" s="219">
        <f>(AZT50+AZT51)*10.8597</f>
        <v>2199871.1483999998</v>
      </c>
      <c r="AZU52" s="219">
        <f>(AZU50+AZU51)*10.8494</f>
        <v>2197784.6568</v>
      </c>
      <c r="AZV52" s="219">
        <f>(AZV50+AZV51)*10.8185</f>
        <v>2191525.182</v>
      </c>
      <c r="AZW52" s="219">
        <f>(AZW50+AZW51)*10.8435</f>
        <v>2196589.4820000003</v>
      </c>
      <c r="AZX52" s="219">
        <f>(AZX50+AZX51)*10.8932</f>
        <v>2206657.3103999998</v>
      </c>
      <c r="AZY52" s="219">
        <f>(AZY50+AZY51)*10.8353</f>
        <v>2194928.3916000002</v>
      </c>
      <c r="AZZ52" s="219">
        <f>(AZZ50+AZZ51)*10.8414</f>
        <v>2196164.0808000001</v>
      </c>
      <c r="BAA52" s="219">
        <f>(BAA50+BAA51)*10.8787</f>
        <v>2203720.0164000001</v>
      </c>
      <c r="BAB52" s="219">
        <f>(BAB50+BAB51)*10.8959</f>
        <v>2207204.2547999998</v>
      </c>
      <c r="BAC52" s="219">
        <f>(BAC50+BAC51)*10.891</f>
        <v>2206211.6520000002</v>
      </c>
      <c r="BAD52" s="219">
        <f>(BAD50+BAD51)*10.8829</f>
        <v>2204570.8188</v>
      </c>
      <c r="BAE52" s="219">
        <f>(BAE50+BAE51)*10.9593</f>
        <v>2220047.3196</v>
      </c>
      <c r="BAF52" s="219">
        <f>(BAF50+BAF51)*11.0652</f>
        <v>2241499.6944000004</v>
      </c>
      <c r="BAG52" s="219">
        <f>(BAG50+BAG51)*11.0659</f>
        <v>2241641.4948</v>
      </c>
      <c r="BAH52" s="219">
        <f>(BAH50+BAH51)*11.1209</f>
        <v>2252782.9547999999</v>
      </c>
      <c r="BAI52" s="219">
        <f>(BAI50+BAI51)*11.427</f>
        <v>2314790.2439999999</v>
      </c>
      <c r="BAJ52" s="219">
        <f>(BAJ50+BAJ51)*11.3683</f>
        <v>2302899.2675999999</v>
      </c>
      <c r="BAK52" s="219">
        <f>(BAK50+BAK51)*11.3683</f>
        <v>2302899.2675999999</v>
      </c>
      <c r="BAL52" s="219">
        <f>(BAL50+BAL51)*11.0899</f>
        <v>2246503.2228000001</v>
      </c>
      <c r="BAM52" s="219">
        <f>(BAM50+BAM51)*11.067</f>
        <v>2241864.324</v>
      </c>
      <c r="BAN52" s="219">
        <f>(BAN50+BAN51)*11.1165</f>
        <v>2251891.6380000003</v>
      </c>
      <c r="BAO52" s="219">
        <f>(BAO50+BAO51)*11.121</f>
        <v>2252803.2120000003</v>
      </c>
      <c r="BAP52" s="219">
        <f>(BAP50+BAP51)*11.017</f>
        <v>2231735.7239999999</v>
      </c>
      <c r="BAQ52" s="219">
        <f>(BAQ50+BAQ51)*11.0665</f>
        <v>2241763.0379999997</v>
      </c>
    </row>
    <row r="53" spans="1:1395" s="439" customFormat="1" x14ac:dyDescent="0.2">
      <c r="A53" s="441"/>
      <c r="B53" s="440"/>
      <c r="RE53" s="302"/>
      <c r="RF53" s="302"/>
      <c r="RG53" s="302"/>
      <c r="RH53" s="302"/>
      <c r="RI53" s="302"/>
      <c r="RJ53" s="302"/>
      <c r="RR53" s="302"/>
      <c r="RS53" s="302"/>
      <c r="RT53" s="302"/>
    </row>
    <row r="54" spans="1:1395" s="218" customFormat="1" ht="12.75" customHeight="1" x14ac:dyDescent="0.2">
      <c r="A54" s="485" t="s">
        <v>80</v>
      </c>
      <c r="RE54" s="300"/>
      <c r="RF54" s="300"/>
      <c r="RG54" s="300"/>
      <c r="RH54" s="300"/>
      <c r="RI54" s="300"/>
      <c r="RJ54" s="300"/>
      <c r="RR54" s="300"/>
      <c r="RS54" s="300"/>
      <c r="RT54" s="300"/>
    </row>
    <row r="55" spans="1:1395" s="218" customFormat="1" x14ac:dyDescent="0.2">
      <c r="A55" s="481"/>
      <c r="B55" s="217" t="s">
        <v>75</v>
      </c>
      <c r="C55" s="218">
        <v>3000000</v>
      </c>
      <c r="D55" s="218">
        <v>3000000</v>
      </c>
      <c r="E55" s="218">
        <v>3000000</v>
      </c>
      <c r="W55" s="218">
        <v>3500000</v>
      </c>
      <c r="X55" s="218">
        <v>3500000</v>
      </c>
      <c r="Y55" s="218">
        <v>3500000</v>
      </c>
      <c r="Z55" s="218">
        <v>3500000</v>
      </c>
      <c r="AA55" s="218">
        <v>3500000</v>
      </c>
      <c r="EC55" s="218">
        <v>1000000</v>
      </c>
      <c r="ED55" s="218">
        <v>1000000</v>
      </c>
      <c r="EE55" s="218">
        <v>1000000</v>
      </c>
      <c r="EF55" s="218">
        <v>1000000</v>
      </c>
      <c r="EG55" s="218">
        <v>1000000</v>
      </c>
      <c r="EH55" s="218">
        <v>1000000</v>
      </c>
      <c r="EI55" s="218">
        <v>1000000</v>
      </c>
      <c r="GI55" s="218">
        <v>5800000</v>
      </c>
      <c r="GJ55" s="218">
        <v>5800000</v>
      </c>
      <c r="GK55" s="218">
        <v>5800000</v>
      </c>
      <c r="GL55" s="218">
        <v>5800000</v>
      </c>
      <c r="GM55" s="218">
        <v>5800000</v>
      </c>
      <c r="RE55" s="300"/>
      <c r="RF55" s="300"/>
      <c r="RG55" s="300"/>
      <c r="RH55" s="300"/>
      <c r="RI55" s="300"/>
      <c r="RJ55" s="300"/>
      <c r="RR55" s="300"/>
      <c r="RS55" s="300"/>
      <c r="RT55" s="300"/>
      <c r="AME55" s="218">
        <v>50000000</v>
      </c>
      <c r="AMF55" s="218">
        <v>50000000</v>
      </c>
      <c r="AMG55" s="218">
        <v>50000000</v>
      </c>
      <c r="AMH55" s="218">
        <v>50000000</v>
      </c>
      <c r="AMI55" s="218">
        <v>50000000</v>
      </c>
      <c r="AMJ55" s="218">
        <v>50000000</v>
      </c>
      <c r="AMK55" s="218">
        <v>50000000</v>
      </c>
      <c r="AML55" s="218">
        <v>50000000</v>
      </c>
      <c r="AMM55" s="218">
        <v>50000000</v>
      </c>
      <c r="AMN55" s="218">
        <v>50000000</v>
      </c>
      <c r="AMO55" s="218">
        <v>50000000</v>
      </c>
      <c r="AMP55" s="218">
        <v>50000000</v>
      </c>
      <c r="ANF55" s="218">
        <v>110000000</v>
      </c>
      <c r="ANG55" s="218">
        <v>110000000</v>
      </c>
      <c r="ANH55" s="218">
        <v>110000000</v>
      </c>
      <c r="ANI55" s="218">
        <v>110000000</v>
      </c>
      <c r="ANJ55" s="218">
        <v>110000000</v>
      </c>
      <c r="ANK55" s="218">
        <v>110000000</v>
      </c>
      <c r="ANL55" s="218">
        <v>110000000</v>
      </c>
      <c r="ANM55" s="218">
        <v>110000000</v>
      </c>
      <c r="ANN55" s="218">
        <v>110000000</v>
      </c>
      <c r="ANO55" s="218">
        <v>110000000</v>
      </c>
      <c r="ANP55" s="218">
        <v>110000000</v>
      </c>
      <c r="ANQ55" s="218">
        <v>110000000</v>
      </c>
      <c r="ANR55" s="218">
        <v>110000000</v>
      </c>
      <c r="ANS55" s="218">
        <v>110000000</v>
      </c>
      <c r="ANT55" s="218">
        <v>110000000</v>
      </c>
      <c r="ANU55" s="218">
        <v>110000000</v>
      </c>
      <c r="ANV55" s="218">
        <v>110000000</v>
      </c>
      <c r="ANW55" s="218">
        <v>110000000</v>
      </c>
      <c r="ANX55" s="218">
        <f t="shared" ref="ANX55:AOZ55" si="40">110000000+235000000</f>
        <v>345000000</v>
      </c>
      <c r="ANY55" s="218">
        <f t="shared" si="40"/>
        <v>345000000</v>
      </c>
      <c r="ANZ55" s="218">
        <f t="shared" si="40"/>
        <v>345000000</v>
      </c>
      <c r="AOA55" s="218">
        <f t="shared" si="40"/>
        <v>345000000</v>
      </c>
      <c r="AOB55" s="218">
        <f t="shared" si="40"/>
        <v>345000000</v>
      </c>
      <c r="AOC55" s="218">
        <f t="shared" si="40"/>
        <v>345000000</v>
      </c>
      <c r="AOD55" s="218">
        <f t="shared" si="40"/>
        <v>345000000</v>
      </c>
      <c r="AOE55" s="218">
        <f t="shared" si="40"/>
        <v>345000000</v>
      </c>
      <c r="AOF55" s="218">
        <f t="shared" si="40"/>
        <v>345000000</v>
      </c>
      <c r="AOG55" s="218">
        <f t="shared" si="40"/>
        <v>345000000</v>
      </c>
      <c r="AOH55" s="218">
        <f t="shared" si="40"/>
        <v>345000000</v>
      </c>
      <c r="AOI55" s="218">
        <f t="shared" si="40"/>
        <v>345000000</v>
      </c>
      <c r="AOJ55" s="218">
        <f t="shared" si="40"/>
        <v>345000000</v>
      </c>
      <c r="AOK55" s="218">
        <f t="shared" si="40"/>
        <v>345000000</v>
      </c>
      <c r="AOL55" s="218">
        <f t="shared" si="40"/>
        <v>345000000</v>
      </c>
      <c r="AOM55" s="218">
        <f t="shared" si="40"/>
        <v>345000000</v>
      </c>
      <c r="AON55" s="218">
        <f t="shared" si="40"/>
        <v>345000000</v>
      </c>
      <c r="AOO55" s="218">
        <f t="shared" si="40"/>
        <v>345000000</v>
      </c>
      <c r="AOP55" s="218">
        <f t="shared" si="40"/>
        <v>345000000</v>
      </c>
      <c r="AOQ55" s="218">
        <f t="shared" si="40"/>
        <v>345000000</v>
      </c>
      <c r="AOR55" s="218">
        <f t="shared" si="40"/>
        <v>345000000</v>
      </c>
      <c r="AOS55" s="218">
        <f t="shared" si="40"/>
        <v>345000000</v>
      </c>
      <c r="AOT55" s="218">
        <f t="shared" si="40"/>
        <v>345000000</v>
      </c>
      <c r="AOU55" s="218">
        <f t="shared" si="40"/>
        <v>345000000</v>
      </c>
      <c r="AOV55" s="218">
        <f t="shared" si="40"/>
        <v>345000000</v>
      </c>
      <c r="AOW55" s="218">
        <f t="shared" si="40"/>
        <v>345000000</v>
      </c>
      <c r="AOX55" s="218">
        <f t="shared" si="40"/>
        <v>345000000</v>
      </c>
      <c r="AOY55" s="218">
        <f t="shared" si="40"/>
        <v>345000000</v>
      </c>
      <c r="AOZ55" s="218">
        <f t="shared" si="40"/>
        <v>345000000</v>
      </c>
      <c r="APA55" s="218">
        <f>235000000</f>
        <v>235000000</v>
      </c>
      <c r="APB55" s="218">
        <f>235000000+120000000</f>
        <v>355000000</v>
      </c>
      <c r="APC55" s="218">
        <f>235000000+120000000</f>
        <v>355000000</v>
      </c>
      <c r="APD55" s="218">
        <f t="shared" ref="APD55:AQD55" si="41">235000000</f>
        <v>235000000</v>
      </c>
      <c r="APE55" s="218">
        <f t="shared" si="41"/>
        <v>235000000</v>
      </c>
      <c r="APF55" s="218">
        <f t="shared" si="41"/>
        <v>235000000</v>
      </c>
      <c r="APG55" s="218">
        <f t="shared" si="41"/>
        <v>235000000</v>
      </c>
      <c r="APH55" s="218">
        <f t="shared" si="41"/>
        <v>235000000</v>
      </c>
      <c r="API55" s="218">
        <f t="shared" si="41"/>
        <v>235000000</v>
      </c>
      <c r="APJ55" s="218">
        <f t="shared" si="41"/>
        <v>235000000</v>
      </c>
      <c r="APK55" s="218">
        <f t="shared" si="41"/>
        <v>235000000</v>
      </c>
      <c r="APL55" s="218">
        <f t="shared" si="41"/>
        <v>235000000</v>
      </c>
      <c r="APM55" s="218">
        <f t="shared" si="41"/>
        <v>235000000</v>
      </c>
      <c r="APN55" s="218">
        <f t="shared" si="41"/>
        <v>235000000</v>
      </c>
      <c r="APO55" s="218">
        <f t="shared" si="41"/>
        <v>235000000</v>
      </c>
      <c r="APP55" s="218">
        <f t="shared" si="41"/>
        <v>235000000</v>
      </c>
      <c r="APQ55" s="218">
        <f t="shared" si="41"/>
        <v>235000000</v>
      </c>
      <c r="APR55" s="218">
        <f t="shared" si="41"/>
        <v>235000000</v>
      </c>
      <c r="APS55" s="218">
        <f t="shared" si="41"/>
        <v>235000000</v>
      </c>
      <c r="APT55" s="218">
        <f t="shared" si="41"/>
        <v>235000000</v>
      </c>
      <c r="APU55" s="218">
        <f t="shared" si="41"/>
        <v>235000000</v>
      </c>
      <c r="APV55" s="218">
        <f t="shared" si="41"/>
        <v>235000000</v>
      </c>
      <c r="APW55" s="218">
        <f t="shared" si="41"/>
        <v>235000000</v>
      </c>
      <c r="APX55" s="218">
        <f t="shared" si="41"/>
        <v>235000000</v>
      </c>
      <c r="APY55" s="218">
        <f t="shared" si="41"/>
        <v>235000000</v>
      </c>
      <c r="APZ55" s="218">
        <f t="shared" si="41"/>
        <v>235000000</v>
      </c>
      <c r="AQA55" s="218">
        <f t="shared" si="41"/>
        <v>235000000</v>
      </c>
      <c r="AQB55" s="218">
        <f t="shared" si="41"/>
        <v>235000000</v>
      </c>
      <c r="AQC55" s="218">
        <f t="shared" si="41"/>
        <v>235000000</v>
      </c>
      <c r="AQD55" s="218">
        <f t="shared" si="41"/>
        <v>235000000</v>
      </c>
      <c r="AQE55" s="218">
        <f>245000000</f>
        <v>245000000</v>
      </c>
      <c r="AQF55" s="218">
        <f>245000000</f>
        <v>245000000</v>
      </c>
      <c r="AQG55" s="218">
        <f>245000000</f>
        <v>245000000</v>
      </c>
      <c r="AQH55" s="218">
        <f>245000000</f>
        <v>245000000</v>
      </c>
      <c r="AQI55" s="218">
        <f t="shared" ref="AQI55:AQN55" si="42">245000000+55000000</f>
        <v>300000000</v>
      </c>
      <c r="AQJ55" s="218">
        <f t="shared" si="42"/>
        <v>300000000</v>
      </c>
      <c r="AQK55" s="218">
        <f t="shared" si="42"/>
        <v>300000000</v>
      </c>
      <c r="AQL55" s="218">
        <f t="shared" si="42"/>
        <v>300000000</v>
      </c>
      <c r="AQM55" s="218">
        <f t="shared" si="42"/>
        <v>300000000</v>
      </c>
      <c r="AQN55" s="218">
        <f t="shared" si="42"/>
        <v>300000000</v>
      </c>
      <c r="AQO55" s="218">
        <f t="shared" ref="AQO55:ARE55" si="43">245000000</f>
        <v>245000000</v>
      </c>
      <c r="AQP55" s="218">
        <f t="shared" si="43"/>
        <v>245000000</v>
      </c>
      <c r="AQQ55" s="218">
        <f t="shared" si="43"/>
        <v>245000000</v>
      </c>
      <c r="AQR55" s="218">
        <f t="shared" si="43"/>
        <v>245000000</v>
      </c>
      <c r="AQS55" s="218">
        <f t="shared" si="43"/>
        <v>245000000</v>
      </c>
      <c r="AQT55" s="218">
        <f t="shared" si="43"/>
        <v>245000000</v>
      </c>
      <c r="AQU55" s="218">
        <f t="shared" si="43"/>
        <v>245000000</v>
      </c>
      <c r="AQV55" s="218">
        <f t="shared" si="43"/>
        <v>245000000</v>
      </c>
      <c r="AQW55" s="218">
        <f t="shared" si="43"/>
        <v>245000000</v>
      </c>
      <c r="AQX55" s="218">
        <f t="shared" si="43"/>
        <v>245000000</v>
      </c>
      <c r="AQY55" s="218">
        <f t="shared" si="43"/>
        <v>245000000</v>
      </c>
      <c r="AQZ55" s="218">
        <f t="shared" si="43"/>
        <v>245000000</v>
      </c>
      <c r="ARA55" s="218">
        <f t="shared" si="43"/>
        <v>245000000</v>
      </c>
      <c r="ARB55" s="218">
        <f t="shared" si="43"/>
        <v>245000000</v>
      </c>
      <c r="ARC55" s="218">
        <f t="shared" si="43"/>
        <v>245000000</v>
      </c>
      <c r="ARD55" s="218">
        <f t="shared" si="43"/>
        <v>245000000</v>
      </c>
      <c r="ARE55" s="218">
        <f t="shared" si="43"/>
        <v>245000000</v>
      </c>
      <c r="ARF55" s="218">
        <f t="shared" ref="ARF55:ARP55" si="44">245000000+224000000</f>
        <v>469000000</v>
      </c>
      <c r="ARG55" s="218">
        <f t="shared" si="44"/>
        <v>469000000</v>
      </c>
      <c r="ARH55" s="218">
        <f t="shared" si="44"/>
        <v>469000000</v>
      </c>
      <c r="ARI55" s="218">
        <f t="shared" si="44"/>
        <v>469000000</v>
      </c>
      <c r="ARJ55" s="218">
        <f t="shared" si="44"/>
        <v>469000000</v>
      </c>
      <c r="ARK55" s="218">
        <f t="shared" si="44"/>
        <v>469000000</v>
      </c>
      <c r="ARL55" s="218">
        <f t="shared" si="44"/>
        <v>469000000</v>
      </c>
      <c r="ARM55" s="218">
        <f t="shared" si="44"/>
        <v>469000000</v>
      </c>
      <c r="ARN55" s="218">
        <f t="shared" si="44"/>
        <v>469000000</v>
      </c>
      <c r="ARO55" s="218">
        <f t="shared" si="44"/>
        <v>469000000</v>
      </c>
      <c r="ARP55" s="218">
        <f t="shared" si="44"/>
        <v>469000000</v>
      </c>
      <c r="ARQ55" s="218">
        <f t="shared" ref="ARQ55:ARV55" si="45">245000000+224000000+123000000</f>
        <v>592000000</v>
      </c>
      <c r="ARR55" s="218">
        <f t="shared" si="45"/>
        <v>592000000</v>
      </c>
      <c r="ARS55" s="218">
        <f t="shared" si="45"/>
        <v>592000000</v>
      </c>
      <c r="ART55" s="218">
        <f t="shared" si="45"/>
        <v>592000000</v>
      </c>
      <c r="ARU55" s="218">
        <f t="shared" si="45"/>
        <v>592000000</v>
      </c>
      <c r="ARV55" s="218">
        <f t="shared" si="45"/>
        <v>592000000</v>
      </c>
      <c r="ARW55" s="218">
        <f t="shared" ref="ARW55:ASB55" si="46">224000000+123000000+290000000</f>
        <v>637000000</v>
      </c>
      <c r="ARX55" s="218">
        <f t="shared" si="46"/>
        <v>637000000</v>
      </c>
      <c r="ARY55" s="218">
        <f t="shared" si="46"/>
        <v>637000000</v>
      </c>
      <c r="ARZ55" s="218">
        <f t="shared" si="46"/>
        <v>637000000</v>
      </c>
      <c r="ASA55" s="218">
        <f t="shared" si="46"/>
        <v>637000000</v>
      </c>
      <c r="ASB55" s="218">
        <f t="shared" si="46"/>
        <v>637000000</v>
      </c>
      <c r="ASC55" s="218">
        <f t="shared" ref="ASC55:ASJ55" si="47">123000000+290000000+230000000</f>
        <v>643000000</v>
      </c>
      <c r="ASD55" s="218">
        <f t="shared" si="47"/>
        <v>643000000</v>
      </c>
      <c r="ASE55" s="218">
        <f t="shared" si="47"/>
        <v>643000000</v>
      </c>
      <c r="ASF55" s="218">
        <f t="shared" si="47"/>
        <v>643000000</v>
      </c>
      <c r="ASG55" s="218">
        <f t="shared" si="47"/>
        <v>643000000</v>
      </c>
      <c r="ASH55" s="218">
        <f t="shared" si="47"/>
        <v>643000000</v>
      </c>
      <c r="ASI55" s="218">
        <f t="shared" si="47"/>
        <v>643000000</v>
      </c>
      <c r="ASJ55" s="218">
        <f t="shared" si="47"/>
        <v>643000000</v>
      </c>
      <c r="ASK55" s="218">
        <f>123000000+290000000+230000000+20000000</f>
        <v>663000000</v>
      </c>
      <c r="ASL55" s="218">
        <f>123000000+290000000+230000000+20000000</f>
        <v>663000000</v>
      </c>
      <c r="ASM55" s="218">
        <f>123000000+290000000+230000000+20000000</f>
        <v>663000000</v>
      </c>
      <c r="ASN55" s="218">
        <f>123000000+290000000+230000000+20000000</f>
        <v>663000000</v>
      </c>
      <c r="ASO55" s="218">
        <f t="shared" ref="ASO55:ASY55" si="48">123000000+290000000+230000000+52000000</f>
        <v>695000000</v>
      </c>
      <c r="ASP55" s="218">
        <f t="shared" si="48"/>
        <v>695000000</v>
      </c>
      <c r="ASQ55" s="218">
        <f t="shared" si="48"/>
        <v>695000000</v>
      </c>
      <c r="ASR55" s="218">
        <f t="shared" si="48"/>
        <v>695000000</v>
      </c>
      <c r="ASS55" s="218">
        <f t="shared" si="48"/>
        <v>695000000</v>
      </c>
      <c r="AST55" s="218">
        <f t="shared" si="48"/>
        <v>695000000</v>
      </c>
      <c r="ASU55" s="218">
        <f t="shared" si="48"/>
        <v>695000000</v>
      </c>
      <c r="ASV55" s="218">
        <f t="shared" si="48"/>
        <v>695000000</v>
      </c>
      <c r="ASW55" s="218">
        <f t="shared" si="48"/>
        <v>695000000</v>
      </c>
      <c r="ASX55" s="218">
        <f t="shared" si="48"/>
        <v>695000000</v>
      </c>
      <c r="ASY55" s="218">
        <f t="shared" si="48"/>
        <v>695000000</v>
      </c>
      <c r="ASZ55" s="218">
        <f>123000000+290000000+52000000+260000000</f>
        <v>725000000</v>
      </c>
      <c r="ATA55" s="218">
        <f>123000000+290000000+52000000+260000000+55000000</f>
        <v>780000000</v>
      </c>
      <c r="ATB55" s="218">
        <f>123000000+290000000+52000000+260000000</f>
        <v>725000000</v>
      </c>
      <c r="ATC55" s="218">
        <f>123000000+290000000+52000000+260000000</f>
        <v>725000000</v>
      </c>
      <c r="ATD55" s="218">
        <f>123000000+290000000+52000000+260000000+230000000</f>
        <v>955000000</v>
      </c>
      <c r="ATE55" s="218">
        <f>123000000+290000000+52000000+260000000+230000000</f>
        <v>955000000</v>
      </c>
      <c r="ATF55" s="218">
        <f>123000000+290000000+52000000+260000000+230000000</f>
        <v>955000000</v>
      </c>
      <c r="ATG55" s="218">
        <f>123000000+290000000+52000000+260000000+230000000</f>
        <v>955000000</v>
      </c>
      <c r="ATH55" s="218">
        <f>290000000+52000000+260000000+230000000</f>
        <v>832000000</v>
      </c>
      <c r="ATI55" s="218">
        <f>290000000+52000000+260000000+230000000+130000000</f>
        <v>962000000</v>
      </c>
      <c r="ATJ55" s="218">
        <f>290000000+52000000+260000000+230000000+130000000</f>
        <v>962000000</v>
      </c>
      <c r="ATK55" s="218">
        <f>290000000+53000000+260000000+230000000+130000000</f>
        <v>963000000</v>
      </c>
      <c r="ATL55" s="218">
        <f>290000000+53000000+260000000+230000000+130000000</f>
        <v>963000000</v>
      </c>
      <c r="ATM55" s="218">
        <f t="shared" ref="ATM55:ATT55" si="49">53000000+260000000+230000000+130000000+315000000</f>
        <v>988000000</v>
      </c>
      <c r="ATN55" s="218">
        <f t="shared" si="49"/>
        <v>988000000</v>
      </c>
      <c r="ATO55" s="218">
        <f t="shared" si="49"/>
        <v>988000000</v>
      </c>
      <c r="ATP55" s="218">
        <f t="shared" si="49"/>
        <v>988000000</v>
      </c>
      <c r="ATQ55" s="218">
        <f t="shared" si="49"/>
        <v>988000000</v>
      </c>
      <c r="ATR55" s="218">
        <f t="shared" si="49"/>
        <v>988000000</v>
      </c>
      <c r="ATS55" s="218">
        <f t="shared" si="49"/>
        <v>988000000</v>
      </c>
      <c r="ATT55" s="218">
        <f t="shared" si="49"/>
        <v>988000000</v>
      </c>
      <c r="ATU55" s="218">
        <f>53000000+230000000+130000000+315000000+264000000</f>
        <v>992000000</v>
      </c>
      <c r="ATV55" s="218">
        <f>53000000+230000000+130000000+315000000+264000000</f>
        <v>992000000</v>
      </c>
      <c r="ATW55" s="218">
        <f>53000000+230000000+130000000+315000000+264000000</f>
        <v>992000000</v>
      </c>
      <c r="ATX55" s="218">
        <f>53000000+230000000+130000000+315000000+264000000</f>
        <v>992000000</v>
      </c>
      <c r="ATY55" s="218">
        <f>53000000+230000000+130000000+315000000+264000000</f>
        <v>992000000</v>
      </c>
      <c r="ATZ55" s="218">
        <f>53000000+130000000+315000000+264000000+270000000</f>
        <v>1032000000</v>
      </c>
      <c r="AUA55" s="218">
        <f>53000000+130000000+315000000+264000000+270000000</f>
        <v>1032000000</v>
      </c>
      <c r="AUB55" s="218">
        <f>53000000+130000000+315000000+264000000+270000000</f>
        <v>1032000000</v>
      </c>
      <c r="AUC55" s="218">
        <f>53000000+130000000+315000000+264000000+270000000</f>
        <v>1032000000</v>
      </c>
      <c r="AUD55" s="218">
        <f>53000000+130000000+315000000+264000000+270000000</f>
        <v>1032000000</v>
      </c>
      <c r="AUE55" s="218">
        <f>315000000+264000000+270000000</f>
        <v>849000000</v>
      </c>
      <c r="AUF55" s="218">
        <f>315000000+264000000+270000000</f>
        <v>849000000</v>
      </c>
      <c r="AUG55" s="218">
        <f>315000000+264000000+270000000+187000000</f>
        <v>1036000000</v>
      </c>
      <c r="AUH55" s="218">
        <f>315000000+264000000+270000000+187000000</f>
        <v>1036000000</v>
      </c>
      <c r="AUI55" s="218">
        <f>264000000+270000000+187000000</f>
        <v>721000000</v>
      </c>
      <c r="AUJ55" s="218">
        <f>264000000+270000000+187000000</f>
        <v>721000000</v>
      </c>
      <c r="AUK55" s="218">
        <f>264000000+270000000+187000000+325000000</f>
        <v>1046000000</v>
      </c>
      <c r="AUL55" s="218">
        <f>264000000+270000000+187000000+325000000</f>
        <v>1046000000</v>
      </c>
      <c r="AUM55" s="218">
        <f>264000000+270000000+187000000+325000000</f>
        <v>1046000000</v>
      </c>
      <c r="AUN55" s="218">
        <f>264000000+270000000+187000000+325000000</f>
        <v>1046000000</v>
      </c>
      <c r="AUO55" s="218">
        <f>268000000+270000000+187000000+325000000</f>
        <v>1050000000</v>
      </c>
      <c r="AUP55" s="218">
        <f>268000000+270000000+187000000+325000000</f>
        <v>1050000000</v>
      </c>
      <c r="AUQ55" s="218">
        <f>268000000+270000000+187000000+325000000</f>
        <v>1050000000</v>
      </c>
      <c r="AUR55" s="218">
        <f>268000000+270000000+187000000+325000000</f>
        <v>1050000000</v>
      </c>
      <c r="AUS55" s="218">
        <f>268000000+270000000+187000000+325000000</f>
        <v>1050000000</v>
      </c>
      <c r="AUT55" s="218">
        <f>270000000+325000000+158000000</f>
        <v>753000000</v>
      </c>
      <c r="AUU55" s="218">
        <f>270000000+325000000+158000000</f>
        <v>753000000</v>
      </c>
      <c r="AUV55" s="218">
        <f>270000000+325000000+158000000</f>
        <v>753000000</v>
      </c>
      <c r="AUW55" s="218">
        <f>270000000+325000000+158000000</f>
        <v>753000000</v>
      </c>
      <c r="AUX55" s="218">
        <f>270000000+325000000+158000000</f>
        <v>753000000</v>
      </c>
      <c r="AUY55" s="218">
        <f>325000000+158000000+268000000</f>
        <v>751000000</v>
      </c>
      <c r="AUZ55" s="218">
        <f>325000000+158000000+268000000+52000000</f>
        <v>803000000</v>
      </c>
      <c r="AVA55" s="218">
        <f t="shared" ref="AVA55:AVF55" si="50">325000000+158000000+268000000</f>
        <v>751000000</v>
      </c>
      <c r="AVB55" s="218">
        <f t="shared" si="50"/>
        <v>751000000</v>
      </c>
      <c r="AVC55" s="218">
        <f t="shared" si="50"/>
        <v>751000000</v>
      </c>
      <c r="AVD55" s="218">
        <f t="shared" si="50"/>
        <v>751000000</v>
      </c>
      <c r="AVE55" s="218">
        <f t="shared" si="50"/>
        <v>751000000</v>
      </c>
      <c r="AVF55" s="218">
        <f t="shared" si="50"/>
        <v>751000000</v>
      </c>
      <c r="AVG55" s="218">
        <f>325000000+268000000+161000000</f>
        <v>754000000</v>
      </c>
      <c r="AVH55" s="218">
        <f>325000000+268000000+161000000</f>
        <v>754000000</v>
      </c>
      <c r="AVI55" s="218">
        <f>325000000+268000000+161000000</f>
        <v>754000000</v>
      </c>
      <c r="AVJ55" s="218">
        <f>325000000+268000000+161000000</f>
        <v>754000000</v>
      </c>
      <c r="AVK55" s="218">
        <f>268000000+161000000</f>
        <v>429000000</v>
      </c>
      <c r="AVL55" s="218">
        <f>268000000+161000000</f>
        <v>429000000</v>
      </c>
      <c r="AVM55" s="218">
        <f>161000000</f>
        <v>161000000</v>
      </c>
      <c r="AVN55" s="218">
        <f t="shared" ref="AVN55:AVZ55" si="51">161000000+350000000</f>
        <v>511000000</v>
      </c>
      <c r="AVO55" s="218">
        <f t="shared" si="51"/>
        <v>511000000</v>
      </c>
      <c r="AVP55" s="218">
        <f t="shared" si="51"/>
        <v>511000000</v>
      </c>
      <c r="AVQ55" s="218">
        <f t="shared" si="51"/>
        <v>511000000</v>
      </c>
      <c r="AVR55" s="218">
        <f t="shared" si="51"/>
        <v>511000000</v>
      </c>
      <c r="AVS55" s="218">
        <f t="shared" si="51"/>
        <v>511000000</v>
      </c>
      <c r="AVT55" s="218">
        <f t="shared" si="51"/>
        <v>511000000</v>
      </c>
      <c r="AVU55" s="218">
        <f t="shared" si="51"/>
        <v>511000000</v>
      </c>
      <c r="AVV55" s="218">
        <f t="shared" si="51"/>
        <v>511000000</v>
      </c>
      <c r="AVW55" s="218">
        <f t="shared" si="51"/>
        <v>511000000</v>
      </c>
      <c r="AVX55" s="218">
        <f t="shared" si="51"/>
        <v>511000000</v>
      </c>
      <c r="AVY55" s="218">
        <f t="shared" si="51"/>
        <v>511000000</v>
      </c>
      <c r="AVZ55" s="218">
        <f t="shared" si="51"/>
        <v>511000000</v>
      </c>
      <c r="AWA55" s="218">
        <f>350000000</f>
        <v>350000000</v>
      </c>
      <c r="AWB55" s="218">
        <f>350000000+439000000</f>
        <v>789000000</v>
      </c>
      <c r="AWC55" s="218">
        <f>350000000</f>
        <v>350000000</v>
      </c>
      <c r="AWD55" s="218">
        <f t="shared" ref="AWD55:AWI55" si="52">350000000+72000000</f>
        <v>422000000</v>
      </c>
      <c r="AWE55" s="218">
        <f t="shared" si="52"/>
        <v>422000000</v>
      </c>
      <c r="AWF55" s="218">
        <f t="shared" si="52"/>
        <v>422000000</v>
      </c>
      <c r="AWG55" s="218">
        <f t="shared" si="52"/>
        <v>422000000</v>
      </c>
      <c r="AWH55" s="218">
        <f t="shared" si="52"/>
        <v>422000000</v>
      </c>
      <c r="AWI55" s="218">
        <f t="shared" si="52"/>
        <v>422000000</v>
      </c>
      <c r="AWJ55" s="218">
        <f>72000000+228000000+100000000</f>
        <v>400000000</v>
      </c>
      <c r="AWK55" s="218">
        <f>72000000+228000000+100000000+23200000</f>
        <v>423200000</v>
      </c>
      <c r="AWL55" s="218">
        <f>72000000+228000000+100000000+12500000</f>
        <v>412500000</v>
      </c>
      <c r="AWM55" s="218">
        <f>72000000+228000000+100000000+12500000</f>
        <v>412500000</v>
      </c>
      <c r="AWN55" s="218">
        <f>72000000+228000000+100000000+34900000</f>
        <v>434900000</v>
      </c>
      <c r="AWO55" s="218">
        <f>72000000+228000000+100000000+13000000+80000000</f>
        <v>493000000</v>
      </c>
      <c r="AWP55" s="218">
        <f>72000000+228000000+80000000</f>
        <v>380000000</v>
      </c>
      <c r="AWQ55" s="218">
        <f>72000000+228000000</f>
        <v>300000000</v>
      </c>
      <c r="AWR55" s="218">
        <f>72000000+228000000+42000000+50000000</f>
        <v>392000000</v>
      </c>
      <c r="AWS55" s="218">
        <f>72000000+228000000+50000000+39000000</f>
        <v>389000000</v>
      </c>
      <c r="AWT55" s="218">
        <f>72000000+228000000+50000000+18000000+50000000</f>
        <v>418000000</v>
      </c>
      <c r="AWU55" s="218">
        <f>72000000+228000000+50000000+50000000+50000000+38600000</f>
        <v>488600000</v>
      </c>
      <c r="AWV55" s="218">
        <f>72000000+228000000+50000000+100000000+32500000</f>
        <v>482500000</v>
      </c>
      <c r="AWW55" s="218">
        <f>72000000+228000000+50000000+100000000+82500000</f>
        <v>532500000</v>
      </c>
      <c r="AWX55" s="218">
        <f>72000000+228000000+278200000</f>
        <v>578200000</v>
      </c>
      <c r="AWY55" s="218">
        <f>72000000+228000000+200000000</f>
        <v>500000000</v>
      </c>
      <c r="AWZ55" s="218">
        <f t="shared" ref="AWZ55:AXE55" si="53">228000000+200000000+74000000</f>
        <v>502000000</v>
      </c>
      <c r="AXA55" s="218">
        <f t="shared" si="53"/>
        <v>502000000</v>
      </c>
      <c r="AXB55" s="218">
        <f t="shared" si="53"/>
        <v>502000000</v>
      </c>
      <c r="AXC55" s="218">
        <f t="shared" si="53"/>
        <v>502000000</v>
      </c>
      <c r="AXD55" s="218">
        <f t="shared" si="53"/>
        <v>502000000</v>
      </c>
      <c r="AXE55" s="218">
        <f t="shared" si="53"/>
        <v>502000000</v>
      </c>
      <c r="AXF55" s="218">
        <f>200000000</f>
        <v>200000000</v>
      </c>
      <c r="AXG55" s="218">
        <f>200000000+14100000</f>
        <v>214100000</v>
      </c>
      <c r="AXH55" s="218">
        <f>200000000+14100000</f>
        <v>214100000</v>
      </c>
      <c r="AXI55" s="218">
        <f>200000000+67200000</f>
        <v>267200000</v>
      </c>
      <c r="AXJ55" s="218">
        <f>200000000+27400000</f>
        <v>227400000</v>
      </c>
      <c r="AXK55" s="218">
        <f>200000000+31000000</f>
        <v>231000000</v>
      </c>
      <c r="AXL55" s="218">
        <f>200000000+31000000</f>
        <v>231000000</v>
      </c>
      <c r="AXM55" s="218">
        <f>200000000+31100000</f>
        <v>231100000</v>
      </c>
      <c r="AXN55" s="218">
        <f>200000000+27000000</f>
        <v>227000000</v>
      </c>
      <c r="AXO55" s="218">
        <f>200000000+25300000</f>
        <v>225300000</v>
      </c>
      <c r="AXP55" s="218">
        <f>200000000</f>
        <v>200000000</v>
      </c>
      <c r="AXQ55" s="218">
        <f>200000000</f>
        <v>200000000</v>
      </c>
      <c r="AXR55" s="218">
        <f>200000000</f>
        <v>200000000</v>
      </c>
      <c r="AXS55" s="218">
        <f>200000000</f>
        <v>200000000</v>
      </c>
      <c r="AXT55" s="218">
        <f>200000000</f>
        <v>200000000</v>
      </c>
      <c r="AZB55" s="218">
        <v>310000000</v>
      </c>
      <c r="AZC55" s="218">
        <v>270000000</v>
      </c>
      <c r="AZD55" s="218">
        <v>270000000</v>
      </c>
      <c r="AZE55" s="218">
        <v>270000000</v>
      </c>
      <c r="AZF55" s="218">
        <v>270000000</v>
      </c>
      <c r="AZG55" s="218">
        <v>270000000</v>
      </c>
      <c r="AZH55" s="218">
        <v>270000000</v>
      </c>
      <c r="AZI55" s="218">
        <v>270000000</v>
      </c>
      <c r="AZJ55" s="218">
        <v>270000000</v>
      </c>
      <c r="BAF55" s="218">
        <v>235000000</v>
      </c>
      <c r="BAG55" s="218">
        <v>235000000</v>
      </c>
      <c r="BAH55" s="218">
        <v>235000000</v>
      </c>
      <c r="BAI55" s="218">
        <v>235000000</v>
      </c>
      <c r="BAJ55" s="218">
        <v>235000000</v>
      </c>
      <c r="BAK55" s="218">
        <v>235000000</v>
      </c>
      <c r="BAL55" s="218">
        <v>235000000</v>
      </c>
      <c r="BAM55" s="218">
        <v>235000000</v>
      </c>
      <c r="BAN55" s="218">
        <v>235000000</v>
      </c>
      <c r="BAO55" s="218">
        <v>235000000</v>
      </c>
      <c r="BAP55" s="218">
        <v>235000000</v>
      </c>
      <c r="BAQ55" s="218">
        <v>235000000</v>
      </c>
    </row>
    <row r="56" spans="1:1395" s="218" customFormat="1" ht="17.25" customHeight="1" x14ac:dyDescent="0.2">
      <c r="A56" s="481"/>
      <c r="B56" s="217" t="s">
        <v>74</v>
      </c>
      <c r="ER56" s="218">
        <v>5000000</v>
      </c>
      <c r="ES56" s="218">
        <v>5000000</v>
      </c>
      <c r="ET56" s="218">
        <v>5000000</v>
      </c>
      <c r="EU56" s="218">
        <f>660500000+5000000</f>
        <v>665500000</v>
      </c>
      <c r="EV56" s="218">
        <f t="shared" ref="EV56:FE56" si="54">660500000+5000000+116000000</f>
        <v>781500000</v>
      </c>
      <c r="EW56" s="218">
        <f t="shared" si="54"/>
        <v>781500000</v>
      </c>
      <c r="EX56" s="218">
        <f t="shared" si="54"/>
        <v>781500000</v>
      </c>
      <c r="EY56" s="218">
        <f t="shared" si="54"/>
        <v>781500000</v>
      </c>
      <c r="EZ56" s="218">
        <f t="shared" si="54"/>
        <v>781500000</v>
      </c>
      <c r="FA56" s="218">
        <f t="shared" si="54"/>
        <v>781500000</v>
      </c>
      <c r="FB56" s="218">
        <f t="shared" si="54"/>
        <v>781500000</v>
      </c>
      <c r="FC56" s="218">
        <f t="shared" si="54"/>
        <v>781500000</v>
      </c>
      <c r="FD56" s="218">
        <f t="shared" si="54"/>
        <v>781500000</v>
      </c>
      <c r="FE56" s="218">
        <f t="shared" si="54"/>
        <v>781500000</v>
      </c>
      <c r="FF56" s="218">
        <f>660500000+116000000</f>
        <v>776500000</v>
      </c>
      <c r="FG56" s="218">
        <f>660500000+116000000</f>
        <v>776500000</v>
      </c>
      <c r="FH56" s="218">
        <v>871500000</v>
      </c>
      <c r="FI56" s="218">
        <v>871500000</v>
      </c>
      <c r="FJ56" s="218">
        <v>871500000</v>
      </c>
      <c r="FK56" s="218">
        <v>871500000</v>
      </c>
      <c r="FL56" s="218">
        <v>871500000</v>
      </c>
      <c r="FM56" s="218">
        <v>871500000</v>
      </c>
      <c r="FN56" s="218">
        <v>871500000</v>
      </c>
      <c r="FO56" s="218">
        <v>871500000</v>
      </c>
      <c r="FP56" s="218">
        <v>871500000</v>
      </c>
      <c r="FQ56" s="218">
        <v>871500000</v>
      </c>
      <c r="FR56" s="218">
        <v>871500000</v>
      </c>
      <c r="FS56" s="218">
        <v>871500000</v>
      </c>
      <c r="FT56" s="218">
        <v>871500000</v>
      </c>
      <c r="FU56" s="218">
        <v>871500000</v>
      </c>
      <c r="FV56" s="218">
        <v>871500000</v>
      </c>
      <c r="FW56" s="218">
        <v>871500000</v>
      </c>
      <c r="FX56" s="218">
        <v>871500000</v>
      </c>
      <c r="FY56" s="218">
        <v>871500000</v>
      </c>
      <c r="FZ56" s="218">
        <v>871500000</v>
      </c>
      <c r="GA56" s="218">
        <v>871500000</v>
      </c>
      <c r="GB56" s="218">
        <f>871500000+60072000</f>
        <v>931572000</v>
      </c>
      <c r="GC56" s="218">
        <v>932050000</v>
      </c>
      <c r="GD56" s="218">
        <v>932050000</v>
      </c>
      <c r="GE56" s="218">
        <v>932050000</v>
      </c>
      <c r="GF56" s="218">
        <v>932050000</v>
      </c>
      <c r="GG56" s="218">
        <v>932050000</v>
      </c>
      <c r="GH56" s="218">
        <v>932050000</v>
      </c>
      <c r="GI56" s="218">
        <v>932050000</v>
      </c>
      <c r="GJ56" s="218">
        <v>932050000</v>
      </c>
      <c r="GK56" s="218">
        <v>932050000</v>
      </c>
      <c r="GL56" s="218">
        <v>945150000</v>
      </c>
      <c r="GM56" s="218">
        <v>940650000</v>
      </c>
      <c r="GN56" s="218">
        <v>940650000</v>
      </c>
      <c r="GO56" s="218">
        <v>945650000</v>
      </c>
      <c r="GP56" s="218">
        <v>985650000</v>
      </c>
      <c r="GQ56" s="218">
        <v>985650000</v>
      </c>
      <c r="GR56" s="218">
        <v>985650000</v>
      </c>
      <c r="GS56" s="218">
        <v>985650000</v>
      </c>
      <c r="GT56" s="218">
        <v>985650000</v>
      </c>
      <c r="GU56" s="218">
        <v>985650000</v>
      </c>
      <c r="GV56" s="218">
        <v>985650000</v>
      </c>
      <c r="GW56" s="278">
        <v>980650000</v>
      </c>
      <c r="GX56" s="218">
        <v>980650000</v>
      </c>
      <c r="GY56" s="218">
        <v>1019260000</v>
      </c>
      <c r="GZ56" s="218">
        <v>1019260000</v>
      </c>
      <c r="HA56" s="218">
        <v>1019260000</v>
      </c>
      <c r="HB56" s="218">
        <v>1019260000</v>
      </c>
      <c r="HC56" s="218">
        <v>1019260000</v>
      </c>
      <c r="HD56" s="218">
        <v>1019260000</v>
      </c>
      <c r="HE56" s="218">
        <v>1019260000</v>
      </c>
      <c r="HF56" s="218">
        <v>1019260000</v>
      </c>
      <c r="HG56" s="218">
        <v>1023266000</v>
      </c>
      <c r="HH56" s="218">
        <v>1024016000</v>
      </c>
      <c r="HI56" s="218">
        <v>1024016000</v>
      </c>
      <c r="HJ56" s="218">
        <v>1024016000</v>
      </c>
      <c r="HK56" s="218">
        <v>1100516000</v>
      </c>
      <c r="HL56" s="218">
        <v>1100516000</v>
      </c>
      <c r="HM56" s="218">
        <v>1100516000</v>
      </c>
      <c r="HN56" s="218">
        <v>1100516000</v>
      </c>
      <c r="HO56" s="218">
        <v>1100516000</v>
      </c>
      <c r="HP56" s="218">
        <v>1100516000</v>
      </c>
      <c r="HQ56" s="218">
        <v>1100516000</v>
      </c>
      <c r="HR56" s="218">
        <v>1100516000</v>
      </c>
      <c r="HS56" s="218">
        <v>1100516000</v>
      </c>
      <c r="HT56" s="218">
        <v>1100516000</v>
      </c>
      <c r="HU56" s="218">
        <v>1101356000</v>
      </c>
      <c r="HV56" s="218">
        <v>1101356000</v>
      </c>
      <c r="HW56" s="218">
        <v>1101356000</v>
      </c>
      <c r="HX56" s="218">
        <v>1101356000</v>
      </c>
      <c r="HY56" s="218">
        <v>1101356000</v>
      </c>
      <c r="HZ56" s="218">
        <v>1101356000</v>
      </c>
      <c r="IA56" s="218">
        <v>1105220000</v>
      </c>
      <c r="IB56" s="218">
        <v>1105220000</v>
      </c>
      <c r="IC56" s="218">
        <v>1105220000</v>
      </c>
      <c r="ID56" s="218">
        <v>1105220000</v>
      </c>
      <c r="IE56" s="218">
        <v>1105970000</v>
      </c>
      <c r="IF56" s="218">
        <v>1105970000</v>
      </c>
      <c r="IG56" s="218">
        <v>1105970000</v>
      </c>
      <c r="IH56" s="218">
        <v>1105970000</v>
      </c>
      <c r="II56" s="218">
        <v>1107200000</v>
      </c>
      <c r="IJ56" s="218">
        <v>1170700000</v>
      </c>
      <c r="IK56" s="218">
        <v>1170700000</v>
      </c>
      <c r="IL56" s="218">
        <v>1170700000</v>
      </c>
      <c r="IM56" s="218">
        <v>1170700000</v>
      </c>
      <c r="IN56" s="218">
        <v>1170700000</v>
      </c>
      <c r="IO56" s="218">
        <v>1170700000</v>
      </c>
      <c r="IP56" s="218">
        <v>1184200000</v>
      </c>
      <c r="IQ56" s="218">
        <v>1184200000</v>
      </c>
      <c r="IR56" s="218">
        <v>1170700000</v>
      </c>
      <c r="IS56" s="218">
        <v>1170700000</v>
      </c>
      <c r="IT56" s="218">
        <v>1170700000</v>
      </c>
      <c r="IU56" s="218">
        <v>1170700000</v>
      </c>
      <c r="IV56" s="218">
        <v>1170700000</v>
      </c>
      <c r="IW56" s="218">
        <v>1190030000</v>
      </c>
      <c r="IX56" s="218">
        <v>1190030000</v>
      </c>
      <c r="IY56" s="218">
        <v>1190030000</v>
      </c>
      <c r="IZ56" s="218">
        <v>1190030000</v>
      </c>
      <c r="JA56" s="218">
        <v>1071230000</v>
      </c>
      <c r="JB56" s="218">
        <v>191030000</v>
      </c>
      <c r="JC56" s="218">
        <v>191030000</v>
      </c>
      <c r="JD56" s="218">
        <v>191030000</v>
      </c>
      <c r="JE56" s="218">
        <v>1013300000</v>
      </c>
      <c r="JF56" s="218">
        <v>1192300000</v>
      </c>
      <c r="JG56" s="218">
        <v>1192300000</v>
      </c>
      <c r="JH56" s="218">
        <v>1192300000</v>
      </c>
      <c r="JI56" s="218">
        <v>1192300000</v>
      </c>
      <c r="JJ56" s="218">
        <v>1192300000</v>
      </c>
      <c r="JK56" s="218">
        <v>1352300000</v>
      </c>
      <c r="JL56" s="218">
        <v>1352300000</v>
      </c>
      <c r="JM56" s="218">
        <v>1352300000</v>
      </c>
      <c r="JN56" s="218">
        <v>1352300000</v>
      </c>
      <c r="JO56" s="218">
        <v>1352300000</v>
      </c>
      <c r="JP56" s="218">
        <v>1352300000</v>
      </c>
      <c r="JQ56" s="218">
        <v>1352300000</v>
      </c>
      <c r="JR56" s="218">
        <v>1352300000</v>
      </c>
      <c r="JS56" s="218">
        <v>1352300000</v>
      </c>
      <c r="JT56" s="218">
        <v>1352300000</v>
      </c>
      <c r="JU56" s="218">
        <v>1353000000</v>
      </c>
      <c r="JV56" s="218">
        <v>1353000000</v>
      </c>
      <c r="JW56" s="218">
        <v>1353000000</v>
      </c>
      <c r="JX56" s="218">
        <v>1353000000</v>
      </c>
      <c r="JY56" s="218">
        <v>1353000000</v>
      </c>
      <c r="JZ56" s="218">
        <v>1355000000</v>
      </c>
      <c r="KA56" s="218">
        <v>1355000000</v>
      </c>
      <c r="KB56" s="218">
        <v>1355000000</v>
      </c>
      <c r="KC56" s="218">
        <v>1355000000</v>
      </c>
      <c r="KD56" s="218">
        <v>1355000000</v>
      </c>
      <c r="KE56" s="218">
        <v>1355000000</v>
      </c>
      <c r="KF56" s="218">
        <v>1355000000</v>
      </c>
      <c r="KG56" s="218">
        <v>1355000000</v>
      </c>
      <c r="KH56" s="218">
        <v>1355000000</v>
      </c>
      <c r="KI56" s="218">
        <v>1363200000</v>
      </c>
      <c r="KJ56" s="218">
        <v>1363200000</v>
      </c>
      <c r="KK56" s="218">
        <v>1363200000</v>
      </c>
      <c r="KL56" s="218">
        <v>1363200000</v>
      </c>
      <c r="KM56" s="218">
        <v>1363200000</v>
      </c>
      <c r="KN56" s="218">
        <v>1364600000</v>
      </c>
      <c r="KO56" s="218">
        <v>1364600000</v>
      </c>
      <c r="KP56" s="218">
        <v>1364600000</v>
      </c>
      <c r="KQ56" s="218">
        <v>1364600000</v>
      </c>
      <c r="KR56" s="218">
        <v>1366700000</v>
      </c>
      <c r="KS56" s="218">
        <v>1451700000</v>
      </c>
      <c r="KT56" s="218">
        <v>1451700000</v>
      </c>
      <c r="KU56" s="218">
        <v>1451700000</v>
      </c>
      <c r="KV56" s="218">
        <v>1451700000</v>
      </c>
      <c r="KW56" s="218">
        <v>1451700000</v>
      </c>
      <c r="KX56" s="218">
        <v>1451700000</v>
      </c>
      <c r="KY56" s="218">
        <v>1451700000</v>
      </c>
      <c r="KZ56" s="218">
        <v>1451700000</v>
      </c>
      <c r="LA56" s="218">
        <v>1451700000</v>
      </c>
      <c r="LB56" s="218">
        <v>1453800000</v>
      </c>
      <c r="LC56" s="218">
        <v>1453800000</v>
      </c>
      <c r="LD56" s="218">
        <v>1453800000</v>
      </c>
      <c r="LE56" s="218">
        <v>1461800000</v>
      </c>
      <c r="LF56" s="218">
        <v>1461800000</v>
      </c>
      <c r="LG56" s="218">
        <v>1461800000</v>
      </c>
      <c r="LH56" s="218">
        <v>1461800000</v>
      </c>
      <c r="LI56" s="218">
        <v>1461800000</v>
      </c>
      <c r="LJ56" s="218">
        <v>1461800000</v>
      </c>
      <c r="LK56" s="218">
        <v>1461800000</v>
      </c>
      <c r="LL56" s="218">
        <v>1454338164.5</v>
      </c>
      <c r="LM56" s="218">
        <v>1454340525.45</v>
      </c>
      <c r="LN56" s="218">
        <v>1454437632.3499999</v>
      </c>
      <c r="LO56" s="218">
        <v>1454809995.23</v>
      </c>
      <c r="LP56" s="218">
        <v>1454809995.23</v>
      </c>
      <c r="LQ56" s="218">
        <v>1456603015.03</v>
      </c>
      <c r="LR56" s="218">
        <v>1456572066.05</v>
      </c>
      <c r="LS56" s="218">
        <v>1457052478.9087501</v>
      </c>
      <c r="LT56" s="218">
        <v>1456991675.15115</v>
      </c>
      <c r="LU56" s="218">
        <v>1456997889.0486751</v>
      </c>
      <c r="LV56" s="218">
        <v>1457121961.581075</v>
      </c>
      <c r="LW56" s="218">
        <v>1457034556.1795249</v>
      </c>
      <c r="LX56" s="218">
        <v>1456802844.5627251</v>
      </c>
      <c r="LY56" s="218">
        <v>1456654378.63095</v>
      </c>
      <c r="LZ56" s="218">
        <v>1456691816.079675</v>
      </c>
      <c r="MA56" s="218">
        <v>1617257916.9182</v>
      </c>
      <c r="MB56" s="218">
        <v>1617282772.5083001</v>
      </c>
      <c r="MC56" s="218">
        <v>1617220325.4059</v>
      </c>
      <c r="MD56" s="218">
        <v>1617259200.7813251</v>
      </c>
      <c r="ME56" s="218">
        <v>1617320466.72965</v>
      </c>
      <c r="MF56" s="218">
        <v>1617244975.5778999</v>
      </c>
      <c r="MG56" s="218">
        <v>1617283902.3078499</v>
      </c>
      <c r="MH56" s="218">
        <v>1617473400.5051</v>
      </c>
      <c r="MI56" s="218">
        <v>1617550380.9380751</v>
      </c>
      <c r="MJ56" s="218">
        <v>1617717334.4988501</v>
      </c>
      <c r="MK56" s="218">
        <v>1617805304.800175</v>
      </c>
      <c r="ML56" s="218">
        <f>deposits!C19+33482582.65</f>
        <v>33482582.649999999</v>
      </c>
      <c r="MM56" s="218">
        <v>1617603519.155225</v>
      </c>
      <c r="MN56" s="218">
        <v>1617659887.4855001</v>
      </c>
      <c r="MO56" s="218">
        <v>1617559945.459625</v>
      </c>
      <c r="MP56" s="218">
        <v>1617432718.4899249</v>
      </c>
      <c r="MQ56" s="218">
        <v>1631090847.05885</v>
      </c>
      <c r="MR56" s="218">
        <v>1631150247.0495501</v>
      </c>
      <c r="MS56" s="218">
        <v>1631048095.50845</v>
      </c>
      <c r="MT56" s="218">
        <v>1630989569.047025</v>
      </c>
      <c r="MU56" s="218">
        <v>1633339569.047025</v>
      </c>
      <c r="MV56" s="218">
        <v>1633348047.4194</v>
      </c>
      <c r="MW56" s="218">
        <v>1633165222.8805499</v>
      </c>
      <c r="MX56" s="218">
        <v>1632861183.3087749</v>
      </c>
      <c r="MY56" s="218">
        <v>1632728509.627125</v>
      </c>
      <c r="MZ56" s="218">
        <v>1634265464.6621251</v>
      </c>
      <c r="NA56" s="218">
        <v>1634066813.8281751</v>
      </c>
      <c r="NB56" s="218">
        <v>1634213463.978225</v>
      </c>
      <c r="NC56" s="218">
        <v>1634350813.6106999</v>
      </c>
      <c r="ND56" s="218">
        <v>1634339766.034575</v>
      </c>
      <c r="NE56" s="218">
        <v>1634339766.034575</v>
      </c>
      <c r="NF56" s="218">
        <v>1638328352.1798749</v>
      </c>
      <c r="NG56" s="218">
        <v>1638466369.805325</v>
      </c>
      <c r="NH56" s="218">
        <v>1638418171.5429749</v>
      </c>
      <c r="NI56" s="218">
        <v>1638512101.6320751</v>
      </c>
      <c r="NJ56" s="218">
        <v>1638658957.3184249</v>
      </c>
      <c r="NK56" s="218">
        <v>1638605569.2644999</v>
      </c>
      <c r="NL56" s="218">
        <v>1638622423.2411001</v>
      </c>
      <c r="NM56" s="218">
        <v>1638209089.7418001</v>
      </c>
      <c r="NN56" s="218">
        <v>1638222449.6013</v>
      </c>
      <c r="NO56" s="218">
        <v>1638123586.641</v>
      </c>
      <c r="NP56" s="218">
        <v>1593083757</v>
      </c>
      <c r="NQ56" s="218">
        <v>1593023895</v>
      </c>
      <c r="NR56" s="218">
        <v>1638043421</v>
      </c>
      <c r="NS56" s="218">
        <v>1638100457</v>
      </c>
      <c r="NT56" s="218">
        <v>1638178253</v>
      </c>
      <c r="NU56" s="218">
        <v>1638171676</v>
      </c>
      <c r="NV56" s="218">
        <v>1626192743</v>
      </c>
      <c r="NW56" s="218">
        <v>1626177276</v>
      </c>
      <c r="NX56" s="218">
        <v>1626379678</v>
      </c>
      <c r="NY56" s="218">
        <v>1626306764</v>
      </c>
      <c r="NZ56" s="218">
        <v>1626403126.4957559</v>
      </c>
      <c r="OA56" s="218">
        <v>1626422761.7559519</v>
      </c>
      <c r="OB56" s="218">
        <v>1626637564.2874401</v>
      </c>
      <c r="OC56" s="218">
        <v>1627054130.713068</v>
      </c>
      <c r="OD56" s="218">
        <v>1627266614.1193359</v>
      </c>
      <c r="OE56" s="218">
        <v>1627343093.7154801</v>
      </c>
      <c r="OF56" s="218">
        <v>1627286507.060112</v>
      </c>
      <c r="OG56" s="218">
        <v>1627369531.7429881</v>
      </c>
      <c r="OH56" s="218">
        <v>1627369531.7429881</v>
      </c>
      <c r="OI56" s="218">
        <v>1627459410.7292919</v>
      </c>
      <c r="OJ56" s="218">
        <v>1627548568.2099719</v>
      </c>
      <c r="OK56" s="218">
        <v>1627343196.7877121</v>
      </c>
      <c r="OL56" s="218">
        <v>1627697507.585212</v>
      </c>
      <c r="OM56" s="218">
        <v>1633911826.6514759</v>
      </c>
      <c r="ON56" s="218">
        <v>1634227279.2175119</v>
      </c>
      <c r="OO56" s="218">
        <v>1634317879.70944</v>
      </c>
      <c r="OP56" s="218">
        <v>1634049376.5450799</v>
      </c>
      <c r="OQ56" s="218">
        <v>1633717793.174736</v>
      </c>
      <c r="OR56" s="218">
        <v>1633710062.7573359</v>
      </c>
      <c r="OS56" s="218">
        <v>1633900179.48926</v>
      </c>
      <c r="OT56" s="218">
        <v>1634048242.7505281</v>
      </c>
      <c r="OU56" s="218">
        <v>1634126526.1107321</v>
      </c>
      <c r="OV56" s="218">
        <v>1634166208.9200521</v>
      </c>
      <c r="OW56" s="218">
        <v>1045166208.9200521</v>
      </c>
      <c r="OX56" s="218">
        <v>1045235164.24326</v>
      </c>
      <c r="OY56" s="218">
        <v>1044941047.629248</v>
      </c>
      <c r="OZ56" s="218">
        <v>1044496857.845444</v>
      </c>
      <c r="PA56" s="218">
        <v>1044125900.882476</v>
      </c>
      <c r="PB56" s="218">
        <v>1045446442.159084</v>
      </c>
      <c r="PC56" s="218">
        <v>1047031950.543008</v>
      </c>
      <c r="PD56" s="218">
        <v>1080413936.2348001</v>
      </c>
      <c r="PE56" s="218">
        <v>1079998400.531492</v>
      </c>
      <c r="PF56" s="218">
        <v>1080990535.4407041</v>
      </c>
      <c r="PG56" s="218">
        <v>1150981362.0120561</v>
      </c>
      <c r="PH56" s="218">
        <v>1151122808.3956521</v>
      </c>
      <c r="PI56" s="218">
        <v>1152566690.7354059</v>
      </c>
      <c r="PJ56" s="189">
        <v>1152815144.387547</v>
      </c>
      <c r="PK56" s="218">
        <v>1153625247.79021</v>
      </c>
      <c r="PL56" s="218">
        <v>1154748724.5479989</v>
      </c>
      <c r="PM56" s="218">
        <v>1237009987.780345</v>
      </c>
      <c r="PN56" s="218">
        <v>1236705925.6176791</v>
      </c>
      <c r="PO56" s="218">
        <v>1244645168.638701</v>
      </c>
      <c r="PP56" s="218">
        <v>1331388179.726805</v>
      </c>
      <c r="PQ56" s="218">
        <v>1317475642.1719799</v>
      </c>
      <c r="PR56" s="218">
        <v>1404849140.724818</v>
      </c>
      <c r="PS56" s="218">
        <v>1406146796.649205</v>
      </c>
      <c r="PT56" s="218">
        <v>1406846306.329325</v>
      </c>
      <c r="PU56" s="218">
        <v>1408669552.9823649</v>
      </c>
      <c r="PV56" s="218">
        <v>1409086489.6479199</v>
      </c>
      <c r="PW56" s="218">
        <v>1430358943.9981849</v>
      </c>
      <c r="PX56" s="218">
        <v>1367844324.503705</v>
      </c>
      <c r="PY56" s="218">
        <v>1370726558.0102301</v>
      </c>
      <c r="PZ56" s="218">
        <v>1374793752.1031301</v>
      </c>
      <c r="QA56" s="218">
        <v>1462972822.86465</v>
      </c>
      <c r="QB56" s="218">
        <v>1463728726.541635</v>
      </c>
      <c r="QC56" s="218">
        <v>1463215374.2446251</v>
      </c>
      <c r="QD56" s="218">
        <v>1463593319.98225</v>
      </c>
      <c r="QE56" s="218">
        <v>1468948762.8601551</v>
      </c>
      <c r="QF56" s="218">
        <v>1470965088.62605</v>
      </c>
      <c r="QG56" s="218">
        <v>1539811625.17184</v>
      </c>
      <c r="QH56" s="218">
        <v>1600334621.4739201</v>
      </c>
      <c r="QI56" s="218">
        <v>1600237345.0406399</v>
      </c>
      <c r="QJ56" s="218">
        <v>1658074579.1231999</v>
      </c>
      <c r="QK56" s="218">
        <v>1704325153.4335999</v>
      </c>
      <c r="QL56" s="218">
        <v>1706772109.94368</v>
      </c>
      <c r="QM56" s="218">
        <v>1707365806.9574399</v>
      </c>
      <c r="QN56" s="218">
        <v>1802085567.7823999</v>
      </c>
      <c r="QO56" s="218">
        <v>1802006540.4288001</v>
      </c>
      <c r="QP56" s="218">
        <v>1803194428.75264</v>
      </c>
      <c r="QQ56" s="218">
        <v>1902951702.7839999</v>
      </c>
      <c r="QR56" s="218">
        <v>1908185261.4000001</v>
      </c>
      <c r="QS56" s="218">
        <v>1921406697.8199999</v>
      </c>
      <c r="QT56" s="218">
        <v>1916342812.17344</v>
      </c>
      <c r="QU56" s="218">
        <v>1952074567.0969601</v>
      </c>
      <c r="QV56" s="218">
        <v>1952369359.92256</v>
      </c>
      <c r="QW56" s="218">
        <v>1952454834.2444799</v>
      </c>
      <c r="QX56" s="218">
        <v>1818716148.4147201</v>
      </c>
      <c r="QY56" s="218">
        <v>1819237081.0624001</v>
      </c>
      <c r="QZ56" s="218">
        <v>1821876931.8993161</v>
      </c>
      <c r="RA56" s="218">
        <v>1822454135.8430319</v>
      </c>
      <c r="RB56" s="218">
        <v>1964842649.282954</v>
      </c>
      <c r="RC56" s="218">
        <v>1967032704.138242</v>
      </c>
      <c r="RD56" s="218">
        <v>1966750076.9935541</v>
      </c>
      <c r="RE56" s="300">
        <v>1969175561.3581259</v>
      </c>
      <c r="RF56" s="300">
        <v>1976443935.724194</v>
      </c>
      <c r="RG56" s="300">
        <v>2075686799.2585959</v>
      </c>
      <c r="RH56" s="300">
        <v>2102183807.7893929</v>
      </c>
      <c r="RI56" s="300">
        <v>2100944861.1108651</v>
      </c>
      <c r="RJ56" s="300">
        <v>1703428312.6799271</v>
      </c>
      <c r="RK56" s="218">
        <v>1753924815.3415999</v>
      </c>
      <c r="RL56" s="218">
        <v>1755016390</v>
      </c>
      <c r="RM56" s="218">
        <v>1757939337.3020461</v>
      </c>
      <c r="RN56" s="218">
        <v>1907250651.9717519</v>
      </c>
      <c r="RO56" s="218">
        <v>1911158682.070611</v>
      </c>
      <c r="RP56" s="218">
        <v>1899161916.9079249</v>
      </c>
      <c r="RQ56" s="218">
        <v>1899244242.749887</v>
      </c>
      <c r="RR56" s="300">
        <v>1899577292.932287</v>
      </c>
      <c r="RS56" s="300">
        <v>1899295136.980885</v>
      </c>
      <c r="RT56" s="300">
        <v>1900764542.782191</v>
      </c>
      <c r="RU56" s="218">
        <v>1976302048.2030671</v>
      </c>
      <c r="RV56" s="218">
        <v>1978653948.2654779</v>
      </c>
      <c r="RW56" s="218">
        <v>1981508933.374588</v>
      </c>
      <c r="RX56" s="218">
        <v>1981859816.169487</v>
      </c>
      <c r="RY56" s="218">
        <v>1984368068.344445</v>
      </c>
      <c r="RZ56" s="218">
        <v>1984291031.326725</v>
      </c>
      <c r="SA56" s="218">
        <v>2138018593.044363</v>
      </c>
      <c r="SB56" s="218">
        <v>1167385216.4200001</v>
      </c>
      <c r="SC56" s="218">
        <v>1168029241.2893529</v>
      </c>
      <c r="SD56" s="218">
        <v>1169433516.0673881</v>
      </c>
      <c r="SE56" s="218">
        <v>1169904796.8517761</v>
      </c>
      <c r="SF56" s="218">
        <v>1169248117.1640291</v>
      </c>
      <c r="SG56" s="218">
        <v>1168477001.4219198</v>
      </c>
      <c r="SH56" s="218">
        <v>1168148635.5461869</v>
      </c>
      <c r="SI56" s="218">
        <v>1270650982.8391032</v>
      </c>
      <c r="SJ56" s="218">
        <v>1170480682.414254</v>
      </c>
      <c r="SK56" s="218">
        <v>640869446.29396486</v>
      </c>
      <c r="SL56" s="218">
        <v>640924223.23065615</v>
      </c>
      <c r="SM56" s="218">
        <v>640327491.21059704</v>
      </c>
      <c r="SN56" s="188">
        <v>641118516.5517869</v>
      </c>
      <c r="SO56" s="218">
        <v>640586826.70757723</v>
      </c>
      <c r="SP56" s="218">
        <v>641599389.64953995</v>
      </c>
      <c r="SQ56" s="218">
        <v>812265746.48073578</v>
      </c>
      <c r="SR56" s="218">
        <f>deposits!C19+deposits!C21*74.491</f>
        <v>0</v>
      </c>
      <c r="SS56" s="218">
        <v>811856173.45187104</v>
      </c>
      <c r="ST56" s="218">
        <v>811848594.5183239</v>
      </c>
      <c r="SU56" s="218">
        <v>814179481.61627817</v>
      </c>
      <c r="SV56" s="218">
        <v>819119178.30191994</v>
      </c>
      <c r="SW56" s="218">
        <v>819470478.95706606</v>
      </c>
      <c r="SX56" s="218">
        <v>949214163.83334398</v>
      </c>
      <c r="SY56" s="218">
        <v>1579409927.0784459</v>
      </c>
      <c r="SZ56" s="218">
        <v>1579677815.159647</v>
      </c>
      <c r="TA56" s="218">
        <v>1579806713.9416051</v>
      </c>
      <c r="TB56" s="218">
        <v>1690457530.5799708</v>
      </c>
      <c r="TC56" s="218">
        <v>1693994348.7697129</v>
      </c>
      <c r="TD56" s="218">
        <v>1700324012.5818911</v>
      </c>
      <c r="TE56" s="218">
        <v>1700081272.3130379</v>
      </c>
      <c r="TF56" s="218">
        <f>deposits!C19+(deposits!C3*70.1345)</f>
        <v>0</v>
      </c>
      <c r="TG56" s="218">
        <v>1868036934.0497208</v>
      </c>
      <c r="TH56" s="218">
        <v>1850199073.5038252</v>
      </c>
      <c r="TI56" s="218">
        <v>1855654908.363708</v>
      </c>
      <c r="TJ56" s="218">
        <v>1856268766.6697021</v>
      </c>
      <c r="TK56" s="218">
        <v>1616066542.8012061</v>
      </c>
      <c r="TL56" s="218">
        <v>1487401903.0341239</v>
      </c>
      <c r="TM56" s="218">
        <v>873267049.59002209</v>
      </c>
      <c r="TN56" s="218">
        <v>873480719.58127594</v>
      </c>
      <c r="TO56" s="218">
        <v>873174367.16883397</v>
      </c>
      <c r="TP56" s="218">
        <v>854164056.95999002</v>
      </c>
      <c r="TQ56" s="218">
        <v>702937842.40778399</v>
      </c>
      <c r="TR56" s="218">
        <v>1028628269.1055541</v>
      </c>
      <c r="TS56" s="218">
        <v>1028683054.9461999</v>
      </c>
      <c r="TT56" s="218">
        <v>1027750288.216876</v>
      </c>
      <c r="TU56" s="218">
        <v>869917140.72765207</v>
      </c>
      <c r="TV56" s="218">
        <v>470016651.83116603</v>
      </c>
      <c r="TW56" s="218">
        <v>48769771.516793966</v>
      </c>
      <c r="TY56" s="218">
        <v>53861164.941358089</v>
      </c>
      <c r="TZ56" s="218">
        <v>58299328.646775961</v>
      </c>
      <c r="UA56" s="218">
        <v>55198555.809815884</v>
      </c>
      <c r="UB56" s="218">
        <v>55198555.809815884</v>
      </c>
      <c r="UC56" s="218">
        <v>60557248.409598112</v>
      </c>
      <c r="UD56" s="218">
        <v>62797170.752690077</v>
      </c>
      <c r="UE56" s="218">
        <v>60905198.524378061</v>
      </c>
      <c r="UF56" s="218">
        <v>60093801.809942007</v>
      </c>
      <c r="UG56" s="218">
        <v>58156340.451182008</v>
      </c>
      <c r="UH56" s="218">
        <v>56366927.432114005</v>
      </c>
      <c r="UI56" s="218">
        <v>54671048.829208016</v>
      </c>
      <c r="UJ56" s="218">
        <v>54671048.829208016</v>
      </c>
      <c r="UK56" s="218">
        <v>54608814.273445964</v>
      </c>
      <c r="UL56" s="218">
        <v>54291746.687594056</v>
      </c>
      <c r="UM56" s="218">
        <v>53815832.310212016</v>
      </c>
      <c r="UN56" s="218">
        <v>50103668.866772056</v>
      </c>
      <c r="UO56" s="218">
        <v>49903349.760211945</v>
      </c>
      <c r="UP56" s="218">
        <v>48886469.462249994</v>
      </c>
      <c r="UQ56" s="218">
        <v>45011442.411862016</v>
      </c>
      <c r="UR56" s="218">
        <v>43864198.195333958</v>
      </c>
      <c r="US56" s="218">
        <v>43511866.100098014</v>
      </c>
      <c r="UV56" s="218">
        <v>43592471.69351995</v>
      </c>
      <c r="UW56" s="218">
        <v>43197246.253713012</v>
      </c>
      <c r="UX56" s="218">
        <v>39880636.952296972</v>
      </c>
      <c r="UY56" s="218">
        <v>39146041.67275095</v>
      </c>
      <c r="UZ56" s="218">
        <v>41399877.894595981</v>
      </c>
      <c r="VA56" s="218">
        <v>41644533.790773988</v>
      </c>
      <c r="VB56" s="218">
        <v>41759435.245221019</v>
      </c>
      <c r="VC56" s="218">
        <v>42513015.152879953</v>
      </c>
      <c r="VD56" s="218">
        <v>41862255.57268703</v>
      </c>
      <c r="VE56" s="218">
        <v>41553271.597779036</v>
      </c>
      <c r="VF56" s="218">
        <v>41331418.175037026</v>
      </c>
      <c r="VG56" s="218">
        <v>40312733.364058971</v>
      </c>
      <c r="VH56" s="218">
        <v>39223915.257490039</v>
      </c>
      <c r="VI56" s="218">
        <v>38442564.447550058</v>
      </c>
      <c r="VJ56" s="218">
        <v>38367305.825361013</v>
      </c>
      <c r="VK56" s="218">
        <v>38026210.110339046</v>
      </c>
      <c r="VL56" s="218">
        <v>38113811.355764031</v>
      </c>
      <c r="VM56" s="218">
        <v>37144863.132487059</v>
      </c>
      <c r="VN56" s="218">
        <v>37144863.132487059</v>
      </c>
      <c r="VO56" s="218">
        <v>36304048.07415998</v>
      </c>
      <c r="WX56" s="218">
        <v>510000000</v>
      </c>
      <c r="WY56" s="218">
        <v>510000000</v>
      </c>
      <c r="WZ56" s="218">
        <v>510000000</v>
      </c>
      <c r="XA56" s="218">
        <v>510000000</v>
      </c>
      <c r="XB56" s="218">
        <v>510000000</v>
      </c>
      <c r="XC56" s="218">
        <v>510000000</v>
      </c>
      <c r="XD56" s="218">
        <v>510000000</v>
      </c>
      <c r="XE56" s="218">
        <v>510000000</v>
      </c>
      <c r="XF56" s="218">
        <v>510000000</v>
      </c>
      <c r="XG56" s="218">
        <v>510000000</v>
      </c>
      <c r="XH56" s="218">
        <v>510000000</v>
      </c>
      <c r="XI56" s="218">
        <v>510000000</v>
      </c>
      <c r="XJ56" s="218">
        <v>510000000</v>
      </c>
      <c r="XK56" s="218">
        <v>510000000</v>
      </c>
      <c r="XL56" s="218">
        <v>510000000</v>
      </c>
      <c r="XM56" s="218">
        <v>510000000</v>
      </c>
      <c r="XN56" s="218">
        <v>510000000</v>
      </c>
      <c r="XO56" s="218">
        <v>510000000</v>
      </c>
      <c r="XP56" s="218">
        <v>510000000</v>
      </c>
      <c r="XQ56" s="218">
        <v>510000000</v>
      </c>
      <c r="XR56" s="218">
        <v>510000000</v>
      </c>
      <c r="XS56" s="218" t="e">
        <f>deposits!#REF!</f>
        <v>#REF!</v>
      </c>
      <c r="XT56" s="218">
        <v>479000000</v>
      </c>
      <c r="XU56" s="218">
        <v>479700000</v>
      </c>
      <c r="XV56" s="218">
        <v>479700000</v>
      </c>
      <c r="XW56" s="218">
        <v>470000000</v>
      </c>
      <c r="XX56" s="218">
        <v>470000000</v>
      </c>
      <c r="XY56" s="218">
        <v>470000000</v>
      </c>
      <c r="XZ56" s="218">
        <v>470000000</v>
      </c>
      <c r="YA56" s="218">
        <v>470000000</v>
      </c>
      <c r="YB56" s="218">
        <v>470000000</v>
      </c>
      <c r="YC56" s="218">
        <v>470000000</v>
      </c>
      <c r="YD56" s="218">
        <v>470000000</v>
      </c>
      <c r="YE56" s="218">
        <v>470000000</v>
      </c>
      <c r="YF56" s="218">
        <v>470000000</v>
      </c>
      <c r="YG56" s="218">
        <v>470000000</v>
      </c>
      <c r="YH56" s="218">
        <v>470000000</v>
      </c>
      <c r="YI56" s="218">
        <v>470000000</v>
      </c>
      <c r="YJ56" s="218">
        <v>470000000</v>
      </c>
      <c r="YK56" s="218">
        <v>470000000</v>
      </c>
      <c r="YL56" s="218">
        <v>470000000</v>
      </c>
      <c r="YM56" s="218">
        <v>470000000</v>
      </c>
      <c r="YN56" s="218">
        <v>470000000</v>
      </c>
      <c r="YO56" s="218">
        <v>470000000</v>
      </c>
      <c r="YP56" s="218">
        <v>590000000</v>
      </c>
      <c r="YQ56" s="218">
        <v>590000000</v>
      </c>
      <c r="YR56" s="218">
        <v>590000000</v>
      </c>
      <c r="YS56" s="218">
        <v>590000000</v>
      </c>
      <c r="YT56" s="218">
        <v>593000000</v>
      </c>
      <c r="YU56" s="218">
        <v>593000000</v>
      </c>
      <c r="YV56" s="218">
        <v>593000000</v>
      </c>
      <c r="YW56" s="218">
        <v>593000000</v>
      </c>
      <c r="YX56" s="218">
        <v>593000000</v>
      </c>
      <c r="YY56" s="218">
        <v>593000000</v>
      </c>
      <c r="YZ56" s="218">
        <v>593000000</v>
      </c>
      <c r="ZA56" s="218">
        <v>593000000</v>
      </c>
      <c r="ZB56" s="218">
        <v>593000000</v>
      </c>
      <c r="ZC56" s="218">
        <v>593000000</v>
      </c>
      <c r="ZD56" s="218">
        <v>593000000</v>
      </c>
      <c r="ZE56" s="218">
        <v>593000000</v>
      </c>
      <c r="ZF56" s="218">
        <v>593000000</v>
      </c>
      <c r="ZG56" s="218">
        <v>593000000</v>
      </c>
      <c r="ZH56" s="218">
        <v>593000000</v>
      </c>
      <c r="ZI56" s="218">
        <v>593000000</v>
      </c>
      <c r="ZJ56" s="218">
        <v>593000000</v>
      </c>
      <c r="ZK56" s="218">
        <v>593000000</v>
      </c>
      <c r="ZL56" s="218">
        <v>593000000</v>
      </c>
      <c r="ZM56" s="218">
        <v>593000000</v>
      </c>
      <c r="ZN56" s="218">
        <v>593000000</v>
      </c>
      <c r="ZO56" s="218">
        <v>593000000</v>
      </c>
      <c r="ZP56" s="218">
        <v>593000000</v>
      </c>
      <c r="ZQ56" s="218">
        <v>520000000</v>
      </c>
      <c r="ZR56" s="218">
        <v>620000000</v>
      </c>
      <c r="ZS56" s="218">
        <v>620000000</v>
      </c>
      <c r="ZT56" s="218">
        <v>620000000</v>
      </c>
      <c r="ZU56" s="218">
        <v>620000000</v>
      </c>
      <c r="ZV56" s="218">
        <v>620000000</v>
      </c>
      <c r="ZW56" s="218">
        <v>620000000</v>
      </c>
      <c r="ZX56" s="218">
        <v>620000000</v>
      </c>
      <c r="ZY56" s="218">
        <v>620000000</v>
      </c>
      <c r="ZZ56" s="218">
        <v>620000000</v>
      </c>
      <c r="AAA56" s="218">
        <v>620000000</v>
      </c>
      <c r="AAB56" s="218">
        <v>620000000</v>
      </c>
      <c r="AAC56" s="218">
        <v>620000000</v>
      </c>
      <c r="AAD56" s="218">
        <v>620000000</v>
      </c>
      <c r="AAE56" s="218">
        <v>620000000</v>
      </c>
      <c r="AAF56" s="218" t="e">
        <f>deposits!#REF!</f>
        <v>#REF!</v>
      </c>
      <c r="AAG56" s="218" t="e">
        <f>deposits!#REF!</f>
        <v>#REF!</v>
      </c>
      <c r="AAH56" s="218" t="e">
        <f>deposits!#REF!</f>
        <v>#REF!</v>
      </c>
      <c r="AAI56" s="218">
        <v>300000000</v>
      </c>
      <c r="AAJ56" s="218">
        <v>300000000</v>
      </c>
      <c r="AAK56" s="218">
        <v>300000000</v>
      </c>
      <c r="ACQ56" s="218">
        <f>10.4259*3495975.46</f>
        <v>36448690.548413999</v>
      </c>
      <c r="ACR56" s="218">
        <f>3495975.46*10.3905</f>
        <v>36324933.017129995</v>
      </c>
      <c r="ACS56" s="218">
        <f>10.4037*3495975.46</f>
        <v>36371079.893201999</v>
      </c>
      <c r="ACT56" s="218">
        <f>10.4217*3495975.46</f>
        <v>36434007.451481998</v>
      </c>
      <c r="ACU56" s="218">
        <f>3495975.46*10.3815</f>
        <v>36293469.237989999</v>
      </c>
      <c r="ACV56" s="218">
        <f>3495975.46*10.4331</f>
        <v>36473861.571726002</v>
      </c>
      <c r="ACW56" s="218">
        <f>10.5391*3495975.46</f>
        <v>36844434.970486</v>
      </c>
      <c r="ACX56" s="218">
        <f>3495975.46*10.7524</f>
        <v>37590126.536104001</v>
      </c>
      <c r="ACY56" s="218">
        <f>3495975.46*10.6916</f>
        <v>37377571.228135996</v>
      </c>
      <c r="ACZ56" s="218">
        <f>10.7717*3495975.46</f>
        <v>37657598.862481996</v>
      </c>
      <c r="ADA56" s="218">
        <f>10.8227*3495975.46</f>
        <v>37835893.610941999</v>
      </c>
      <c r="ADB56" s="218">
        <f>3495975.46*10.8473</f>
        <v>37921894.607257999</v>
      </c>
      <c r="ADC56" s="185">
        <f>3495975.46*10.8855</f>
        <v>38055440.869829997</v>
      </c>
      <c r="ADD56" s="218">
        <f>3495975.46*10.8409</f>
        <v>37899520.364313997</v>
      </c>
      <c r="ADE56" s="218">
        <f>3495975.46*10.7797</f>
        <v>37685566.666161999</v>
      </c>
      <c r="ADF56" s="218">
        <f>10.8562*3495975.46</f>
        <v>37953008.788851999</v>
      </c>
      <c r="ADG56" s="218">
        <f>10.8398*3495975.46</f>
        <v>37895674.791308001</v>
      </c>
      <c r="ADH56" s="218">
        <f>3495975.46*10.7928</f>
        <v>37731363.944688</v>
      </c>
      <c r="ADI56" s="218">
        <f>3495975.46*10.7467</f>
        <v>37570199.475982003</v>
      </c>
      <c r="ADJ56" s="218">
        <f>3495975.46*10.9077</f>
        <v>38133051.525041997</v>
      </c>
      <c r="ADK56" s="218">
        <f>3495975.46*10.9089</f>
        <v>38137246.695593998</v>
      </c>
      <c r="ADL56" s="218">
        <f>3495975.46*10.9137</f>
        <v>38154027.377801999</v>
      </c>
      <c r="ADM56" s="218">
        <f>3495975.46*10.8754</f>
        <v>38020131.517684005</v>
      </c>
      <c r="ADN56" s="218">
        <f>3495975.46*10.8672</f>
        <v>37991464.518912002</v>
      </c>
      <c r="ADO56" s="218">
        <f>3495975.46*10.8623</f>
        <v>37974334.239157997</v>
      </c>
      <c r="ADP56" s="218">
        <f>10.8995*3495975.46</f>
        <v>38104384.526270002</v>
      </c>
      <c r="ADQ56" s="218">
        <f>10.9313*3495975.46</f>
        <v>38215556.545897998</v>
      </c>
      <c r="ADR56" s="218">
        <f>10.9296*3495975.46</f>
        <v>38209613.387616001</v>
      </c>
      <c r="ADS56" s="218">
        <f>10.9704*3495975.46</f>
        <v>38352249.186384</v>
      </c>
      <c r="ADT56" s="218">
        <f>11.0485*3495975.46</f>
        <v>38625284.86981</v>
      </c>
      <c r="ADU56" s="218">
        <f>11.1226*3495975.46</f>
        <v>38884336.651395999</v>
      </c>
      <c r="ADV56" s="218">
        <f>11.2057*3495975.46</f>
        <v>39174852.212122001</v>
      </c>
      <c r="ADW56" s="218">
        <f>11.1652*3495975.46</f>
        <v>39033265.205991998</v>
      </c>
      <c r="ADX56" s="218">
        <f>11.1547*3495975.46</f>
        <v>38996557.463661999</v>
      </c>
      <c r="ADY56" s="218">
        <f>11.1662*3495975.46</f>
        <v>39036761.181451999</v>
      </c>
      <c r="ADZ56" s="218">
        <f>11.1146*3495975.46</f>
        <v>38856368.847715996</v>
      </c>
      <c r="AEA56" s="218">
        <f>11.1098*3495975.46</f>
        <v>38839588.165508002</v>
      </c>
      <c r="AEB56" s="218">
        <f>11.1127*3495975.46</f>
        <v>38849726.494341999</v>
      </c>
      <c r="AEC56" s="218">
        <f>11.1622*3495975.46</f>
        <v>39022777.279611997</v>
      </c>
      <c r="AED56" s="218">
        <f>11.1847*3495975.46</f>
        <v>39101436.727462001</v>
      </c>
      <c r="AEE56" s="218">
        <f>11.2411*3495975.46</f>
        <v>39298609.743405998</v>
      </c>
      <c r="AEF56" s="218">
        <f>11.3028*3495975.46</f>
        <v>39514311.429288</v>
      </c>
      <c r="AEG56" s="218">
        <f>11.5308*3495975.46</f>
        <v>40311393.834167995</v>
      </c>
      <c r="AEH56" s="218">
        <f>11.5445*3495975.46</f>
        <v>40359288.697969995</v>
      </c>
      <c r="AEI56" s="218">
        <f>11.7039*3495975.46</f>
        <v>40916547.186294004</v>
      </c>
      <c r="AEJ56" s="218">
        <f>11.9582*3495975.46</f>
        <v>41805573.745771997</v>
      </c>
      <c r="AEK56" s="218">
        <f>11.8746*3495975.46</f>
        <v>41513310.197315998</v>
      </c>
      <c r="AEL56" s="218">
        <f>11.9248*3495975.46</f>
        <v>41688808.165408</v>
      </c>
      <c r="AEM56" s="218">
        <f>11.9142*3495975.46</f>
        <v>41651750.825531997</v>
      </c>
      <c r="AEN56" s="218">
        <f>11.8566*3495975.46</f>
        <v>41450382.639036</v>
      </c>
      <c r="AEO56" s="218">
        <f>11.8803*3495975.46</f>
        <v>41533237.257437997</v>
      </c>
      <c r="AEP56" s="218">
        <f>11.852*3495975.46</f>
        <v>41434301.151919998</v>
      </c>
      <c r="AEQ56" s="218">
        <f>11.8482*3495975.46</f>
        <v>41421016.445171997</v>
      </c>
      <c r="AER56" s="218">
        <f>11.8178*3495975.46</f>
        <v>41314738.791188002</v>
      </c>
      <c r="AES56" s="218">
        <f>11.847*3495975.46</f>
        <v>41416821.274619997</v>
      </c>
      <c r="AET56" s="218">
        <f>11.8111*3495975.46</f>
        <v>41291315.755605996</v>
      </c>
      <c r="AEU56" s="218">
        <f>11.77*3495975.46</f>
        <v>41147631.1642</v>
      </c>
      <c r="AEV56" s="218">
        <f>11.7664*3495975.46</f>
        <v>41135045.652543999</v>
      </c>
      <c r="AEW56" s="218">
        <f>11.7626*3495975.46</f>
        <v>41121760.945796005</v>
      </c>
      <c r="AEX56" s="218">
        <f>11.7609*3495975.46</f>
        <v>41115817.787514001</v>
      </c>
      <c r="AEY56" s="218">
        <f>11.5659*3495975.46</f>
        <v>40434102.572813995</v>
      </c>
      <c r="AEZ56" s="218">
        <f>11.4884*3495975.46</f>
        <v>40163164.474664003</v>
      </c>
      <c r="AFA56" s="218">
        <f>11.4456*3495975.46</f>
        <v>40013536.724976003</v>
      </c>
      <c r="AFB56" s="218">
        <f>11.3488*3495975.46</f>
        <v>39675126.300448</v>
      </c>
      <c r="AFC56" s="218">
        <f>11.3488*3495975.46</f>
        <v>39675126.300448</v>
      </c>
      <c r="AFD56" s="218">
        <f>11.039*3495975.46</f>
        <v>38592073.102940001</v>
      </c>
      <c r="AFE56" s="218">
        <f>10.9119*3495975.46</f>
        <v>38147734.621973999</v>
      </c>
      <c r="AFF56" s="218">
        <f>11.0844*3495975.46</f>
        <v>38750790.388824001</v>
      </c>
      <c r="AFG56" s="218">
        <f>11.3467*3495975.46</f>
        <v>39667784.751982003</v>
      </c>
      <c r="AFH56" s="218">
        <f>11.464*3495975.46</f>
        <v>40077862.673440002</v>
      </c>
      <c r="AFI56" s="218">
        <f>11.5124*3495975.46</f>
        <v>40247067.885703996</v>
      </c>
      <c r="AFJ56" s="218">
        <f>11.3554*3495975.46</f>
        <v>39698199.738483995</v>
      </c>
      <c r="AFK56" s="218">
        <f>11.366*3495975.46</f>
        <v>39735257.078359999</v>
      </c>
      <c r="AFL56" s="218">
        <f>11.3499*3495975.46</f>
        <v>39678971.873453997</v>
      </c>
      <c r="AFM56" s="218">
        <f>11.3504*3495975.46</f>
        <v>39680719.861184001</v>
      </c>
      <c r="AFN56" s="218">
        <f>11.3243*3495975.46</f>
        <v>39589474.901677996</v>
      </c>
      <c r="AFO56" s="218">
        <f>11.2816*3495975.46</f>
        <v>39440196.749536</v>
      </c>
      <c r="AFP56" s="218">
        <f>11.3044*3495975.46</f>
        <v>39519904.990024</v>
      </c>
      <c r="AFQ56" s="218">
        <f>11.2901*3495975.46</f>
        <v>39469912.540945999</v>
      </c>
      <c r="AFR56" s="218">
        <f>11.3615*3495975.46</f>
        <v>39719525.188790001</v>
      </c>
      <c r="AFS56" s="218">
        <f>11.3697*3495975.46</f>
        <v>39748192.187561996</v>
      </c>
      <c r="AFT56" s="218">
        <f>11.3629*3495975.46</f>
        <v>39724419.554434001</v>
      </c>
      <c r="AFU56" s="218">
        <f>11.4139*3495975.46</f>
        <v>39902714.302893996</v>
      </c>
      <c r="AFV56" s="218">
        <f>11.415*3495975.46</f>
        <v>39906559.875899993</v>
      </c>
      <c r="AFW56" s="218">
        <f>11.3892*3495975.46</f>
        <v>39816363.709031999</v>
      </c>
      <c r="AFX56" s="218">
        <f>11.4163*3495975.46</f>
        <v>39911104.643997997</v>
      </c>
      <c r="AFY56" s="218">
        <f>11.4896*3495975.46</f>
        <v>40167359.645215996</v>
      </c>
      <c r="AFZ56" s="218">
        <f>11.5716*3495975.46</f>
        <v>40454029.632936001</v>
      </c>
      <c r="AGA56" s="218">
        <f>11.6681*3495975.46+100000000</f>
        <v>140791391.264826</v>
      </c>
      <c r="AGB56" s="218">
        <f>11.7626*3495975.46+100000000</f>
        <v>141121760.94579601</v>
      </c>
      <c r="AGC56" s="218">
        <f>11.4356*3495975.46+101000000</f>
        <v>140978576.97037601</v>
      </c>
      <c r="AGD56" s="218">
        <f>11.733*3495975.46+101000000</f>
        <v>142018280.07218</v>
      </c>
      <c r="AGE56" s="218">
        <f>11.7153*3495975.46+101000000</f>
        <v>141956401.30653799</v>
      </c>
      <c r="AGF56" s="218">
        <f>11.7255*3495975.46+101000000</f>
        <v>141992060.25623</v>
      </c>
      <c r="AGG56" s="218">
        <f>11.7059*3495975.46+99600000</f>
        <v>140523539.137214</v>
      </c>
      <c r="AGH56" s="218">
        <f>11.6221*3495975.46+99600000</f>
        <v>140230576.393666</v>
      </c>
      <c r="AGI56" s="218">
        <f>11.6455*3495975.46+99600000</f>
        <v>140312382.21943</v>
      </c>
      <c r="AGJ56" s="218">
        <f>11.6875*3495975.46+99600000</f>
        <v>140459213.18875</v>
      </c>
      <c r="AGK56" s="218">
        <f>11.768*3495975.46+99600000</f>
        <v>140740639.21327999</v>
      </c>
      <c r="AGL56" s="218">
        <f>11.7958*3495975.46+28600000</f>
        <v>69837827.331068009</v>
      </c>
      <c r="AGM56" s="218">
        <v>28600000</v>
      </c>
      <c r="AGN56" s="218">
        <v>28600000</v>
      </c>
      <c r="AGO56" s="218">
        <f>28600000+3498504.06*12.2923</f>
        <v>71604661.456737995</v>
      </c>
      <c r="AGP56" s="218">
        <f>28600000+3498504.06*12.3722</f>
        <v>71884191.931131989</v>
      </c>
      <c r="AGQ56" s="218">
        <f>3498504.06*12.4484</f>
        <v>43550777.940504</v>
      </c>
      <c r="AGR56" s="218">
        <v>271000000</v>
      </c>
      <c r="AGS56" s="218">
        <v>271000000</v>
      </c>
      <c r="AGT56" s="218">
        <v>271000000</v>
      </c>
      <c r="AGU56" s="218">
        <v>271000000</v>
      </c>
      <c r="AGV56" s="218">
        <v>271000000</v>
      </c>
      <c r="AGW56" s="218">
        <v>271000000</v>
      </c>
      <c r="AGX56" s="218">
        <v>271000000</v>
      </c>
      <c r="AGY56" s="218">
        <v>271000000</v>
      </c>
      <c r="AGZ56" s="218">
        <v>271000000</v>
      </c>
      <c r="AHA56" s="218">
        <v>271000000</v>
      </c>
      <c r="AHB56" s="218">
        <v>271000000</v>
      </c>
      <c r="AHC56" s="218">
        <v>271000000</v>
      </c>
      <c r="AHD56" s="218">
        <v>271000000</v>
      </c>
      <c r="AHE56" s="218">
        <v>271000000</v>
      </c>
      <c r="AHF56" s="218">
        <v>271000000</v>
      </c>
      <c r="AHG56" s="218">
        <v>271000000</v>
      </c>
      <c r="AHH56" s="218">
        <v>271000000</v>
      </c>
      <c r="AHI56" s="218">
        <v>271000000</v>
      </c>
      <c r="AHJ56" s="218">
        <v>271000000</v>
      </c>
      <c r="AHK56" s="218">
        <v>271000000</v>
      </c>
      <c r="AHL56" s="218">
        <v>271000000</v>
      </c>
      <c r="AHM56" s="218">
        <v>271000000</v>
      </c>
      <c r="AHN56" s="218">
        <v>271000000</v>
      </c>
      <c r="AHO56" s="218">
        <v>271000000</v>
      </c>
      <c r="AHP56" s="218">
        <v>241000000</v>
      </c>
      <c r="AHQ56" s="218">
        <v>241000000</v>
      </c>
      <c r="AHR56" s="218">
        <v>241000000</v>
      </c>
      <c r="AHS56" s="218">
        <v>271000000</v>
      </c>
      <c r="AHT56" s="218">
        <v>271000000</v>
      </c>
      <c r="AHU56" s="218">
        <v>271000000</v>
      </c>
      <c r="AHV56" s="218">
        <v>271000000</v>
      </c>
      <c r="AHW56" s="218">
        <v>241000000</v>
      </c>
      <c r="AHX56" s="218">
        <v>271250000</v>
      </c>
      <c r="AHY56" s="218">
        <v>271250000</v>
      </c>
      <c r="AHZ56" s="218">
        <v>271250000</v>
      </c>
      <c r="AIA56" s="218">
        <v>271250000</v>
      </c>
      <c r="AIB56" s="218">
        <v>271250000</v>
      </c>
      <c r="AIC56" s="218">
        <v>271250000</v>
      </c>
      <c r="AID56" s="218">
        <v>271250000</v>
      </c>
      <c r="AIE56" s="218">
        <v>272350000</v>
      </c>
      <c r="AIF56" s="218">
        <v>272350000</v>
      </c>
      <c r="AIG56" s="218">
        <v>442350000</v>
      </c>
      <c r="AIH56" s="218">
        <v>442350000</v>
      </c>
      <c r="AII56" s="218">
        <v>442350000</v>
      </c>
      <c r="AIJ56" s="218">
        <v>442350000</v>
      </c>
      <c r="AIK56" s="218">
        <v>444350000</v>
      </c>
      <c r="AIL56" s="218">
        <v>444350000</v>
      </c>
      <c r="AIM56" s="218">
        <v>444350000</v>
      </c>
      <c r="AIN56" s="218">
        <v>444350000</v>
      </c>
      <c r="AIO56" s="218">
        <v>444350000</v>
      </c>
      <c r="AIP56" s="218">
        <v>444350000</v>
      </c>
      <c r="AIQ56" s="218">
        <v>444350000</v>
      </c>
      <c r="AIR56" s="218">
        <v>444350000</v>
      </c>
      <c r="AIS56" s="218">
        <v>444350000</v>
      </c>
      <c r="AIT56" s="218">
        <v>444350000</v>
      </c>
      <c r="AIU56" s="218">
        <v>444350000</v>
      </c>
      <c r="AIV56" s="218">
        <v>444350000</v>
      </c>
      <c r="AIW56" s="218">
        <v>444350000</v>
      </c>
      <c r="AIX56" s="218">
        <v>444350000</v>
      </c>
      <c r="AIY56" s="218">
        <v>444350000</v>
      </c>
      <c r="AIZ56" s="218">
        <v>444350000</v>
      </c>
      <c r="AJA56" s="218">
        <v>444350000</v>
      </c>
      <c r="AJB56" s="218">
        <v>444350000</v>
      </c>
      <c r="AJC56" s="218">
        <v>444350000</v>
      </c>
      <c r="AJD56" s="218">
        <v>444350000</v>
      </c>
      <c r="AJE56" s="218">
        <v>444350000</v>
      </c>
      <c r="AJF56" s="218">
        <v>444350000</v>
      </c>
      <c r="AJG56" s="218">
        <v>444350000</v>
      </c>
      <c r="AJH56" s="218">
        <v>444350000</v>
      </c>
      <c r="AJI56" s="218">
        <v>444350000</v>
      </c>
      <c r="AJJ56" s="218">
        <v>444350000</v>
      </c>
      <c r="AJK56" s="218">
        <v>444350000</v>
      </c>
      <c r="AJL56" s="218">
        <v>444350000</v>
      </c>
      <c r="AJM56" s="218">
        <v>444350000</v>
      </c>
      <c r="AJN56" s="218">
        <v>444350000</v>
      </c>
      <c r="AJO56" s="218">
        <v>444350000</v>
      </c>
      <c r="AJP56" s="218">
        <v>594950000</v>
      </c>
      <c r="AJQ56" s="218">
        <v>594950000</v>
      </c>
      <c r="AJR56" s="218">
        <v>594950000</v>
      </c>
      <c r="AJS56" s="218">
        <v>594950000</v>
      </c>
      <c r="AJT56" s="218">
        <v>594950000</v>
      </c>
      <c r="AJU56" s="218">
        <v>594950000</v>
      </c>
      <c r="AJV56" s="218">
        <v>594950000</v>
      </c>
      <c r="AJW56" s="218">
        <v>594950000</v>
      </c>
      <c r="AJX56" s="218">
        <v>594950000</v>
      </c>
      <c r="AJY56" s="218">
        <v>594950000</v>
      </c>
      <c r="AJZ56" s="218">
        <v>594950000</v>
      </c>
      <c r="AKA56" s="218">
        <v>594950000</v>
      </c>
      <c r="AKB56" s="218">
        <v>594950000</v>
      </c>
      <c r="AKC56" s="218">
        <v>87100000</v>
      </c>
      <c r="AKD56" s="218">
        <v>100000000</v>
      </c>
      <c r="AKE56" s="218">
        <v>100000000</v>
      </c>
      <c r="AKF56" s="218">
        <v>100000000</v>
      </c>
      <c r="AKG56" s="218">
        <v>100000000</v>
      </c>
      <c r="AKH56" s="218">
        <v>100000000</v>
      </c>
      <c r="AKI56" s="218">
        <v>100000000</v>
      </c>
      <c r="AKJ56" s="218">
        <v>100000000</v>
      </c>
      <c r="AKK56" s="218">
        <v>100000000</v>
      </c>
      <c r="AKL56" s="218">
        <v>100000000</v>
      </c>
      <c r="AKM56" s="218">
        <v>100000000</v>
      </c>
      <c r="AKN56" s="218">
        <v>100000000</v>
      </c>
      <c r="AKO56" s="218">
        <v>100000000</v>
      </c>
      <c r="AKP56" s="218">
        <v>100000000</v>
      </c>
      <c r="AKQ56" s="218">
        <v>100000000</v>
      </c>
      <c r="AKR56" s="218">
        <v>100000000</v>
      </c>
      <c r="AKS56" s="218">
        <v>100000000</v>
      </c>
      <c r="AKT56" s="218">
        <v>100000000</v>
      </c>
      <c r="AKU56" s="218">
        <v>100000000</v>
      </c>
      <c r="AKV56" s="218">
        <v>100000000</v>
      </c>
      <c r="AKW56" s="218">
        <v>100000000</v>
      </c>
      <c r="AKX56" s="218">
        <v>100000000</v>
      </c>
      <c r="AKY56" s="218">
        <v>100000000</v>
      </c>
      <c r="AKZ56" s="218">
        <v>100000000</v>
      </c>
      <c r="ALA56" s="218">
        <v>100000000</v>
      </c>
      <c r="ALB56" s="218">
        <v>100000000</v>
      </c>
      <c r="ALC56" s="218">
        <v>100000000</v>
      </c>
      <c r="ALD56" s="218">
        <v>100000000</v>
      </c>
      <c r="ALE56" s="218">
        <v>100000000</v>
      </c>
      <c r="ALF56" s="218">
        <v>100000000</v>
      </c>
      <c r="ALG56" s="218">
        <v>100000000</v>
      </c>
      <c r="ALH56" s="218">
        <v>100000000</v>
      </c>
      <c r="ALI56" s="218">
        <v>100000000</v>
      </c>
      <c r="ALJ56" s="218">
        <v>100000000</v>
      </c>
      <c r="ALK56" s="218">
        <v>100000000</v>
      </c>
      <c r="ALL56" s="218">
        <v>152000000</v>
      </c>
      <c r="ALM56" s="218">
        <v>100000000</v>
      </c>
      <c r="ALN56" s="218">
        <v>100000000</v>
      </c>
      <c r="ALO56" s="218">
        <v>100000000</v>
      </c>
      <c r="ALP56" s="218">
        <v>100000000</v>
      </c>
      <c r="ALQ56" s="218">
        <v>102000000</v>
      </c>
      <c r="ALR56" s="218">
        <v>102000000</v>
      </c>
      <c r="ALS56" s="218">
        <v>102000000</v>
      </c>
      <c r="ALT56" s="218">
        <v>102000000</v>
      </c>
      <c r="ALU56" s="218">
        <v>102000000</v>
      </c>
      <c r="ALV56" s="218">
        <v>102000000</v>
      </c>
      <c r="ALW56" s="218">
        <v>102000000</v>
      </c>
      <c r="ALX56" s="218">
        <v>102000000</v>
      </c>
      <c r="ALY56" s="218">
        <v>102000000</v>
      </c>
      <c r="ALZ56" s="218">
        <v>102000000</v>
      </c>
      <c r="AMA56" s="218">
        <v>102000000</v>
      </c>
      <c r="AMB56" s="218">
        <v>102000000</v>
      </c>
      <c r="AMC56" s="218">
        <v>102000000</v>
      </c>
      <c r="AMD56" s="218">
        <v>102000000</v>
      </c>
      <c r="AME56" s="218">
        <v>102000000</v>
      </c>
      <c r="AMF56" s="218">
        <v>102000000</v>
      </c>
      <c r="AMG56" s="218">
        <v>102000000</v>
      </c>
      <c r="AMH56" s="218">
        <v>102000000</v>
      </c>
      <c r="AMI56" s="218">
        <v>102000000</v>
      </c>
      <c r="AMJ56" s="218">
        <v>102000000</v>
      </c>
      <c r="AMK56" s="218">
        <v>102000000</v>
      </c>
      <c r="AML56" s="218">
        <v>102000000</v>
      </c>
      <c r="AMM56" s="218">
        <v>102000000</v>
      </c>
      <c r="APD56" s="218">
        <v>120000000</v>
      </c>
      <c r="APE56" s="218">
        <v>120000000</v>
      </c>
      <c r="APF56" s="218">
        <v>120000000</v>
      </c>
      <c r="APG56" s="218">
        <v>120000000</v>
      </c>
      <c r="APH56" s="218">
        <v>120000000</v>
      </c>
      <c r="API56" s="218">
        <v>120000000</v>
      </c>
      <c r="APJ56" s="218">
        <v>120000000</v>
      </c>
      <c r="APK56" s="218">
        <v>120000000</v>
      </c>
      <c r="APL56" s="218">
        <v>120000000</v>
      </c>
      <c r="APM56" s="218">
        <v>120000000</v>
      </c>
      <c r="APN56" s="218">
        <v>120000000</v>
      </c>
      <c r="APO56" s="218">
        <v>120000000</v>
      </c>
      <c r="APP56" s="218">
        <v>120000000</v>
      </c>
      <c r="APQ56" s="218">
        <v>120000000</v>
      </c>
      <c r="APR56" s="218">
        <v>120000000</v>
      </c>
      <c r="APS56" s="218">
        <v>120000000</v>
      </c>
      <c r="APT56" s="218">
        <v>120000000</v>
      </c>
      <c r="APU56" s="218">
        <v>120000000</v>
      </c>
      <c r="APV56" s="218">
        <v>120000000</v>
      </c>
      <c r="APW56" s="218">
        <v>120000000</v>
      </c>
      <c r="APX56" s="218">
        <v>120000000</v>
      </c>
      <c r="APY56" s="218">
        <v>120000000</v>
      </c>
      <c r="APZ56" s="218">
        <v>120000000</v>
      </c>
      <c r="AQA56" s="218">
        <v>120000000</v>
      </c>
      <c r="AQB56" s="218">
        <v>120000000</v>
      </c>
      <c r="AQC56" s="218">
        <v>120000000</v>
      </c>
      <c r="AQD56" s="218">
        <v>120000000</v>
      </c>
      <c r="AQE56" s="218">
        <v>120000000</v>
      </c>
      <c r="AQF56" s="218">
        <v>120000000</v>
      </c>
      <c r="AQG56" s="218">
        <f t="shared" ref="AQG56:AQS56" si="55">120000000+220000000</f>
        <v>340000000</v>
      </c>
      <c r="AQH56" s="218">
        <f t="shared" si="55"/>
        <v>340000000</v>
      </c>
      <c r="AQI56" s="218">
        <f t="shared" si="55"/>
        <v>340000000</v>
      </c>
      <c r="AQJ56" s="218">
        <f t="shared" si="55"/>
        <v>340000000</v>
      </c>
      <c r="AQK56" s="218">
        <f t="shared" si="55"/>
        <v>340000000</v>
      </c>
      <c r="AQL56" s="218">
        <f t="shared" si="55"/>
        <v>340000000</v>
      </c>
      <c r="AQM56" s="218">
        <f t="shared" si="55"/>
        <v>340000000</v>
      </c>
      <c r="AQN56" s="218">
        <f t="shared" si="55"/>
        <v>340000000</v>
      </c>
      <c r="AQO56" s="218">
        <f t="shared" si="55"/>
        <v>340000000</v>
      </c>
      <c r="AQP56" s="218">
        <f t="shared" si="55"/>
        <v>340000000</v>
      </c>
      <c r="AQQ56" s="218">
        <f t="shared" si="55"/>
        <v>340000000</v>
      </c>
      <c r="AQR56" s="218">
        <f t="shared" si="55"/>
        <v>340000000</v>
      </c>
      <c r="AQS56" s="218">
        <f t="shared" si="55"/>
        <v>340000000</v>
      </c>
      <c r="AQT56" s="218">
        <f>220000000</f>
        <v>220000000</v>
      </c>
      <c r="AQU56" s="218">
        <f t="shared" ref="AQU56:AQZ56" si="56">121000000+220000000</f>
        <v>341000000</v>
      </c>
      <c r="AQV56" s="218">
        <f t="shared" si="56"/>
        <v>341000000</v>
      </c>
      <c r="AQW56" s="218">
        <f t="shared" si="56"/>
        <v>341000000</v>
      </c>
      <c r="AQX56" s="218">
        <f t="shared" si="56"/>
        <v>341000000</v>
      </c>
      <c r="AQY56" s="218">
        <f t="shared" si="56"/>
        <v>341000000</v>
      </c>
      <c r="AQZ56" s="218">
        <f t="shared" si="56"/>
        <v>341000000</v>
      </c>
      <c r="ARA56" s="218">
        <f>121000000+220000000+500000000</f>
        <v>841000000</v>
      </c>
      <c r="ARB56" s="218">
        <f>121000000+220000000</f>
        <v>341000000</v>
      </c>
      <c r="ARC56" s="218">
        <f>121000000+220000000</f>
        <v>341000000</v>
      </c>
      <c r="ARD56" s="218">
        <f>121000000+223000000</f>
        <v>344000000</v>
      </c>
      <c r="ARE56" s="218">
        <f>121000000+223000000</f>
        <v>344000000</v>
      </c>
      <c r="ARF56" s="218">
        <f t="shared" ref="ARF56:ARP56" si="57">121000000</f>
        <v>121000000</v>
      </c>
      <c r="ARG56" s="218">
        <f t="shared" si="57"/>
        <v>121000000</v>
      </c>
      <c r="ARH56" s="218">
        <f t="shared" si="57"/>
        <v>121000000</v>
      </c>
      <c r="ARI56" s="218">
        <f t="shared" si="57"/>
        <v>121000000</v>
      </c>
      <c r="ARJ56" s="218">
        <f t="shared" si="57"/>
        <v>121000000</v>
      </c>
      <c r="ARK56" s="218">
        <f t="shared" si="57"/>
        <v>121000000</v>
      </c>
      <c r="ARL56" s="218">
        <f t="shared" si="57"/>
        <v>121000000</v>
      </c>
      <c r="ARM56" s="218">
        <f t="shared" si="57"/>
        <v>121000000</v>
      </c>
      <c r="ARN56" s="218">
        <f t="shared" si="57"/>
        <v>121000000</v>
      </c>
      <c r="ARO56" s="218">
        <f t="shared" si="57"/>
        <v>121000000</v>
      </c>
      <c r="ARP56" s="218">
        <f t="shared" si="57"/>
        <v>121000000</v>
      </c>
      <c r="AZK56" s="218">
        <v>230000000</v>
      </c>
      <c r="AZL56" s="218">
        <v>230000000</v>
      </c>
      <c r="AZM56" s="218">
        <v>230000000</v>
      </c>
      <c r="AZN56" s="218">
        <v>230000000</v>
      </c>
      <c r="AZO56" s="218">
        <v>230000000</v>
      </c>
      <c r="AZP56" s="218">
        <v>230000000</v>
      </c>
      <c r="AZQ56" s="218">
        <v>230000000</v>
      </c>
      <c r="AZR56" s="218">
        <v>230000000</v>
      </c>
      <c r="AZS56" s="218">
        <v>230000000</v>
      </c>
      <c r="AZT56" s="218">
        <v>230000000</v>
      </c>
      <c r="AZU56" s="218">
        <v>230000000</v>
      </c>
      <c r="AZV56" s="218">
        <v>230000000</v>
      </c>
      <c r="AZW56" s="218">
        <v>230000000</v>
      </c>
      <c r="AZX56" s="218">
        <v>230000000</v>
      </c>
      <c r="AZY56" s="218">
        <v>230000000</v>
      </c>
      <c r="AZZ56" s="218">
        <v>230000000</v>
      </c>
      <c r="BAA56" s="218">
        <v>230000000</v>
      </c>
      <c r="BAB56" s="218">
        <v>230000000</v>
      </c>
      <c r="BAC56" s="218">
        <v>230000000</v>
      </c>
      <c r="BAD56" s="218">
        <v>230000000</v>
      </c>
      <c r="BAE56" s="218">
        <v>230000000</v>
      </c>
      <c r="BAP56" s="218">
        <v>200000000</v>
      </c>
      <c r="BAQ56" s="218">
        <v>200000000</v>
      </c>
    </row>
    <row r="57" spans="1:1395" s="218" customFormat="1" ht="17.25" customHeight="1" x14ac:dyDescent="0.2">
      <c r="A57" s="481"/>
      <c r="B57" s="217" t="s">
        <v>197</v>
      </c>
      <c r="GW57" s="278"/>
      <c r="PJ57" s="189"/>
      <c r="RE57" s="300"/>
      <c r="RF57" s="300"/>
      <c r="RG57" s="300"/>
      <c r="RH57" s="300"/>
      <c r="RI57" s="300"/>
      <c r="RJ57" s="300"/>
      <c r="RR57" s="300"/>
      <c r="RS57" s="300"/>
      <c r="RT57" s="300"/>
      <c r="SN57" s="188"/>
      <c r="ADC57" s="185"/>
      <c r="AXU57" s="218">
        <v>200000000</v>
      </c>
      <c r="AXV57" s="218">
        <v>200000000</v>
      </c>
      <c r="AXW57" s="218">
        <v>200000000</v>
      </c>
      <c r="AXX57" s="218">
        <v>200000000</v>
      </c>
      <c r="AXY57" s="218">
        <v>200000000</v>
      </c>
      <c r="AXZ57" s="218">
        <v>200000000</v>
      </c>
      <c r="AYA57" s="218">
        <v>200000000</v>
      </c>
      <c r="AYB57" s="218">
        <v>200000000</v>
      </c>
      <c r="AYC57" s="218">
        <v>200000000</v>
      </c>
      <c r="AYD57" s="218">
        <v>200000000</v>
      </c>
      <c r="AYE57" s="218">
        <v>200000000</v>
      </c>
      <c r="AYF57" s="218">
        <v>200000000</v>
      </c>
      <c r="AYG57" s="218">
        <v>200000000</v>
      </c>
      <c r="AYH57" s="218">
        <v>200000000</v>
      </c>
      <c r="AYI57" s="218">
        <v>200000000</v>
      </c>
      <c r="AYJ57" s="218">
        <v>200000000</v>
      </c>
      <c r="AYK57" s="218">
        <v>200000000</v>
      </c>
      <c r="AYL57" s="218">
        <v>200000000</v>
      </c>
      <c r="AYM57" s="218">
        <v>200000000</v>
      </c>
      <c r="AYN57" s="218">
        <v>200000000</v>
      </c>
      <c r="AYO57" s="218">
        <v>200000000</v>
      </c>
      <c r="AYP57" s="218">
        <v>200000000</v>
      </c>
      <c r="AYQ57" s="218">
        <v>200000000</v>
      </c>
      <c r="AYR57" s="218">
        <v>200000000</v>
      </c>
      <c r="AYS57" s="218">
        <v>200000000</v>
      </c>
      <c r="AYT57" s="218">
        <f>200000000+20000000</f>
        <v>220000000</v>
      </c>
      <c r="AYU57" s="218">
        <f t="shared" ref="AYU57:AZI57" si="58">200000000</f>
        <v>200000000</v>
      </c>
      <c r="AYV57" s="218">
        <f t="shared" si="58"/>
        <v>200000000</v>
      </c>
      <c r="AYW57" s="218">
        <f t="shared" si="58"/>
        <v>200000000</v>
      </c>
      <c r="AYX57" s="218">
        <f t="shared" si="58"/>
        <v>200000000</v>
      </c>
      <c r="AYY57" s="218">
        <f t="shared" si="58"/>
        <v>200000000</v>
      </c>
      <c r="AYZ57" s="218">
        <f t="shared" si="58"/>
        <v>200000000</v>
      </c>
      <c r="AZA57" s="218">
        <f t="shared" si="58"/>
        <v>200000000</v>
      </c>
      <c r="AZB57" s="218">
        <f t="shared" si="58"/>
        <v>200000000</v>
      </c>
      <c r="AZC57" s="218">
        <f t="shared" si="58"/>
        <v>200000000</v>
      </c>
      <c r="AZD57" s="218">
        <f t="shared" si="58"/>
        <v>200000000</v>
      </c>
      <c r="AZE57" s="218">
        <f t="shared" si="58"/>
        <v>200000000</v>
      </c>
      <c r="AZF57" s="218">
        <f t="shared" si="58"/>
        <v>200000000</v>
      </c>
      <c r="AZG57" s="218">
        <f t="shared" si="58"/>
        <v>200000000</v>
      </c>
      <c r="AZH57" s="218">
        <f t="shared" si="58"/>
        <v>200000000</v>
      </c>
      <c r="AZI57" s="218">
        <f t="shared" si="58"/>
        <v>200000000</v>
      </c>
      <c r="AZJ57" s="218">
        <f>200000000</f>
        <v>200000000</v>
      </c>
    </row>
    <row r="58" spans="1:1395" s="218" customFormat="1" ht="21" customHeight="1" x14ac:dyDescent="0.2">
      <c r="A58" s="481"/>
      <c r="B58" s="445" t="s">
        <v>130</v>
      </c>
      <c r="RE58" s="300"/>
      <c r="RF58" s="300"/>
      <c r="RG58" s="300"/>
      <c r="RH58" s="300"/>
      <c r="RI58" s="300"/>
      <c r="RJ58" s="300"/>
      <c r="RR58" s="300"/>
      <c r="RS58" s="300"/>
      <c r="RT58" s="300"/>
      <c r="SB58" s="218">
        <v>971350000</v>
      </c>
      <c r="SC58" s="218">
        <v>974150000</v>
      </c>
      <c r="SD58" s="218">
        <v>974150000</v>
      </c>
      <c r="SE58" s="218">
        <v>1049150000</v>
      </c>
      <c r="SF58" s="218">
        <v>1052800000</v>
      </c>
      <c r="SG58" s="218">
        <v>1054600000</v>
      </c>
      <c r="SH58" s="218">
        <v>1055950000</v>
      </c>
      <c r="SI58" s="218">
        <v>1055950000</v>
      </c>
      <c r="SJ58" s="218">
        <v>955000000</v>
      </c>
      <c r="SK58" s="218">
        <v>1579000000</v>
      </c>
      <c r="SL58" s="218">
        <v>1579000000</v>
      </c>
      <c r="SM58" s="218">
        <v>1579000000</v>
      </c>
      <c r="SN58" s="218">
        <v>1579000000</v>
      </c>
      <c r="SO58" s="218">
        <v>1583400000</v>
      </c>
      <c r="SP58" s="218">
        <v>1583400000</v>
      </c>
      <c r="SQ58" s="218">
        <v>1584700000</v>
      </c>
      <c r="SR58" s="218">
        <f>deposits!C20</f>
        <v>200000000</v>
      </c>
      <c r="SS58" s="218">
        <f>deposits!C20</f>
        <v>200000000</v>
      </c>
      <c r="ST58" s="218">
        <f>deposits!C20</f>
        <v>200000000</v>
      </c>
      <c r="SU58" s="218">
        <v>1586700000</v>
      </c>
      <c r="SV58" s="218">
        <v>1586700000</v>
      </c>
      <c r="SW58" s="218">
        <v>1586700000</v>
      </c>
      <c r="SX58" s="218">
        <v>1594700000</v>
      </c>
      <c r="SY58" s="218">
        <v>964700000</v>
      </c>
      <c r="SZ58" s="218">
        <v>964700000</v>
      </c>
      <c r="TA58" s="218">
        <v>969900000</v>
      </c>
      <c r="TB58" s="218">
        <v>975900000</v>
      </c>
      <c r="TC58" s="218">
        <v>975900000</v>
      </c>
      <c r="TD58" s="218">
        <v>975900000</v>
      </c>
      <c r="TE58" s="218">
        <v>975900000</v>
      </c>
      <c r="TF58" s="218">
        <v>975900000</v>
      </c>
      <c r="TG58" s="218">
        <v>809900000</v>
      </c>
      <c r="TH58" s="218">
        <v>809900000</v>
      </c>
      <c r="TI58" s="218">
        <v>809900000</v>
      </c>
      <c r="TJ58" s="218">
        <v>809900000</v>
      </c>
      <c r="TK58" s="218">
        <v>253000000</v>
      </c>
      <c r="TL58" s="218">
        <v>253000000</v>
      </c>
      <c r="TM58" s="218">
        <v>1023000000</v>
      </c>
      <c r="TN58" s="218">
        <v>1023000000</v>
      </c>
      <c r="TO58" s="218">
        <v>1023000000</v>
      </c>
      <c r="TP58" s="218">
        <v>1023000000</v>
      </c>
      <c r="TQ58" s="218">
        <v>1381000000</v>
      </c>
      <c r="TR58" s="218">
        <v>1111000000</v>
      </c>
      <c r="TS58" s="218">
        <v>858000000</v>
      </c>
      <c r="TT58" s="218">
        <v>912000000</v>
      </c>
      <c r="TU58" s="218">
        <v>1073000000</v>
      </c>
      <c r="TV58" s="218">
        <v>1073000000</v>
      </c>
      <c r="TW58" s="218">
        <v>1073000000</v>
      </c>
      <c r="TX58" s="218">
        <v>1073000000</v>
      </c>
      <c r="TY58" s="218">
        <v>1073000000</v>
      </c>
      <c r="TZ58" s="218">
        <v>1073000000</v>
      </c>
      <c r="UA58" s="218">
        <v>1073000000</v>
      </c>
      <c r="UB58" s="218">
        <v>1073000000</v>
      </c>
      <c r="UC58" s="218">
        <v>1073000000</v>
      </c>
      <c r="UD58" s="218">
        <v>1073000000</v>
      </c>
      <c r="UE58" s="218">
        <v>994000000</v>
      </c>
      <c r="UF58" s="218">
        <v>925000000</v>
      </c>
      <c r="UG58" s="218">
        <v>925000000</v>
      </c>
      <c r="UH58" s="218">
        <v>925000000</v>
      </c>
      <c r="UI58" s="218">
        <v>895000000</v>
      </c>
      <c r="UJ58" s="218">
        <v>895000000</v>
      </c>
      <c r="UK58" s="218">
        <v>895000000</v>
      </c>
      <c r="UL58" s="218">
        <v>895000000</v>
      </c>
      <c r="UM58" s="218">
        <v>895000000</v>
      </c>
      <c r="UN58" s="218">
        <v>895000000</v>
      </c>
      <c r="UO58" s="218">
        <v>895000000</v>
      </c>
      <c r="UP58" s="218">
        <v>895000000</v>
      </c>
      <c r="UQ58" s="218">
        <v>879000000</v>
      </c>
      <c r="UR58" s="218">
        <v>877000000</v>
      </c>
      <c r="US58" s="218">
        <v>877000000</v>
      </c>
      <c r="UT58" s="218">
        <v>874000000</v>
      </c>
      <c r="UU58" s="218">
        <v>874000001</v>
      </c>
      <c r="UV58" s="218">
        <v>843000000</v>
      </c>
      <c r="UW58" s="218">
        <v>844000000</v>
      </c>
      <c r="UX58" s="218">
        <v>822000000</v>
      </c>
      <c r="UY58" s="218">
        <v>823000000</v>
      </c>
      <c r="UZ58" s="218">
        <v>833000000</v>
      </c>
      <c r="VA58" s="218">
        <v>768000000</v>
      </c>
      <c r="VB58" s="218">
        <v>768000000</v>
      </c>
      <c r="VC58" s="218">
        <v>761000000</v>
      </c>
      <c r="VD58" s="218">
        <v>761000000</v>
      </c>
      <c r="VE58" s="218">
        <v>769580000</v>
      </c>
      <c r="VF58" s="218">
        <v>768580000</v>
      </c>
      <c r="VG58" s="218">
        <v>750580000</v>
      </c>
      <c r="VH58" s="218">
        <v>750580000</v>
      </c>
      <c r="VI58" s="218">
        <v>750580000</v>
      </c>
      <c r="VJ58" s="218">
        <v>750580000</v>
      </c>
      <c r="VK58" s="218">
        <v>750580000</v>
      </c>
      <c r="VL58" s="218">
        <v>750580000</v>
      </c>
      <c r="VM58" s="218">
        <v>750580000</v>
      </c>
      <c r="VN58" s="218">
        <v>750580000</v>
      </c>
      <c r="VO58" s="218">
        <v>726000000</v>
      </c>
      <c r="VP58" s="218">
        <v>726000000</v>
      </c>
      <c r="VQ58" s="218">
        <v>726000001</v>
      </c>
      <c r="VR58" s="218">
        <v>725000000</v>
      </c>
      <c r="VS58" s="218">
        <v>697000000</v>
      </c>
      <c r="VT58" s="218">
        <v>700000000</v>
      </c>
      <c r="VU58" s="218">
        <v>697000000</v>
      </c>
      <c r="VV58" s="218">
        <v>676000000</v>
      </c>
      <c r="VW58" s="218">
        <v>677000000</v>
      </c>
      <c r="VX58" s="218">
        <v>677000000</v>
      </c>
      <c r="VY58" s="218">
        <v>506000000</v>
      </c>
      <c r="VZ58" s="218">
        <v>506000000</v>
      </c>
      <c r="WA58" s="218">
        <v>506000000</v>
      </c>
      <c r="WB58" s="218">
        <v>506000000</v>
      </c>
      <c r="WC58" s="218">
        <v>506000000</v>
      </c>
      <c r="WD58" s="218">
        <v>506000000</v>
      </c>
      <c r="WE58" s="218">
        <v>506000000</v>
      </c>
      <c r="WF58" s="218">
        <v>506000000</v>
      </c>
      <c r="WG58" s="218">
        <v>506000000</v>
      </c>
      <c r="WH58" s="218">
        <v>506000000</v>
      </c>
      <c r="WI58" s="218">
        <v>506000000</v>
      </c>
      <c r="WJ58" s="218">
        <v>506000000</v>
      </c>
      <c r="WK58" s="218">
        <v>506000000</v>
      </c>
      <c r="WL58" s="218">
        <v>506000000</v>
      </c>
      <c r="WM58" s="218">
        <v>506000000</v>
      </c>
      <c r="WN58" s="218">
        <v>506000000</v>
      </c>
      <c r="WO58" s="218">
        <v>506000000</v>
      </c>
      <c r="WP58" s="218">
        <v>506000000</v>
      </c>
      <c r="WQ58" s="218">
        <v>506000000</v>
      </c>
      <c r="WR58" s="218">
        <v>506000000</v>
      </c>
      <c r="WS58" s="218">
        <v>506000000</v>
      </c>
      <c r="WT58" s="218">
        <v>506000000</v>
      </c>
      <c r="WU58" s="218">
        <v>506000000</v>
      </c>
      <c r="WV58" s="218">
        <v>506000000</v>
      </c>
      <c r="WW58" s="218">
        <v>506000000</v>
      </c>
      <c r="ZB58" s="427"/>
      <c r="ZD58" s="427"/>
      <c r="AAF58" s="218">
        <v>305000000</v>
      </c>
      <c r="AAG58" s="218">
        <v>305000000</v>
      </c>
      <c r="AAH58" s="218">
        <v>305800000</v>
      </c>
      <c r="AAI58" s="218">
        <v>305800000</v>
      </c>
      <c r="AAJ58" s="218">
        <v>305800000</v>
      </c>
      <c r="AAK58" s="218">
        <v>306300000</v>
      </c>
      <c r="AAL58" s="218">
        <v>596300000</v>
      </c>
      <c r="AAM58" s="218">
        <v>596300000</v>
      </c>
      <c r="AAN58" s="218">
        <v>596300000</v>
      </c>
      <c r="AAO58" s="218">
        <v>596300000</v>
      </c>
      <c r="AAP58" s="218">
        <v>596300000</v>
      </c>
      <c r="AAQ58" s="218">
        <v>676300000</v>
      </c>
      <c r="AAR58" s="218">
        <v>676300000</v>
      </c>
      <c r="AAS58" s="218">
        <v>676300000</v>
      </c>
      <c r="AAT58" s="218">
        <v>676300000</v>
      </c>
      <c r="AAU58" s="218">
        <v>743300000</v>
      </c>
      <c r="AAV58" s="218">
        <v>743300000</v>
      </c>
      <c r="AAW58" s="218">
        <v>743300000</v>
      </c>
      <c r="AAX58" s="218">
        <v>743300000</v>
      </c>
      <c r="AAY58" s="218">
        <v>743700000</v>
      </c>
      <c r="AAZ58" s="218">
        <v>743700000</v>
      </c>
      <c r="ABA58" s="218">
        <v>744200000</v>
      </c>
      <c r="ABB58" s="218">
        <v>744200000</v>
      </c>
      <c r="ABC58" s="218">
        <v>742900000</v>
      </c>
      <c r="ABD58" s="218">
        <v>815500000</v>
      </c>
      <c r="ABE58" s="218">
        <v>815500000</v>
      </c>
      <c r="ABF58" s="218">
        <v>815500000</v>
      </c>
      <c r="ABG58" s="218">
        <v>815500000</v>
      </c>
      <c r="ABH58" s="218">
        <v>815500000</v>
      </c>
      <c r="ABI58" s="218">
        <v>525500000</v>
      </c>
      <c r="ABJ58" s="218">
        <v>799500000</v>
      </c>
      <c r="ABK58" s="218">
        <v>799500000</v>
      </c>
      <c r="ABL58" s="218">
        <v>799500000</v>
      </c>
      <c r="ABM58" s="218">
        <v>799500000</v>
      </c>
      <c r="ABN58" s="218">
        <v>800100000</v>
      </c>
      <c r="ABO58" s="218">
        <v>800100000</v>
      </c>
      <c r="ABP58" s="218">
        <v>820500000</v>
      </c>
      <c r="ABQ58" s="218">
        <v>820500000</v>
      </c>
      <c r="ABR58" s="218">
        <v>820500000</v>
      </c>
      <c r="ABS58" s="218">
        <v>820500000</v>
      </c>
      <c r="ABT58" s="218">
        <v>820500000</v>
      </c>
      <c r="ABU58" s="218">
        <v>1020500000</v>
      </c>
      <c r="ABV58" s="218">
        <v>1020500000</v>
      </c>
      <c r="ABW58" s="218">
        <v>1020500000</v>
      </c>
      <c r="ABX58" s="218">
        <v>1020500000</v>
      </c>
      <c r="ABY58" s="218">
        <v>1020500000</v>
      </c>
      <c r="ABZ58" s="218">
        <v>1015800000</v>
      </c>
      <c r="ACA58" s="218">
        <v>1015800000</v>
      </c>
      <c r="ACB58" s="218">
        <v>1015800000</v>
      </c>
      <c r="ACC58" s="218">
        <v>1015800000</v>
      </c>
      <c r="ACD58" s="218">
        <v>1008600000</v>
      </c>
      <c r="ACE58" s="218">
        <v>1008600000</v>
      </c>
      <c r="ACF58" s="218">
        <v>1008600000</v>
      </c>
      <c r="ACG58" s="218">
        <v>1008600000</v>
      </c>
      <c r="ACH58" s="218">
        <v>1010000000</v>
      </c>
      <c r="ACI58" s="218">
        <v>1010000000</v>
      </c>
      <c r="ACJ58" s="218">
        <v>1010000000</v>
      </c>
      <c r="ACK58" s="218">
        <v>1010000000</v>
      </c>
      <c r="ACL58" s="218">
        <v>1010000000</v>
      </c>
      <c r="ACM58" s="218">
        <v>1010000000</v>
      </c>
      <c r="ACN58" s="218">
        <v>1011300000</v>
      </c>
      <c r="ACO58" s="218">
        <v>1011300000</v>
      </c>
      <c r="ACP58" s="218">
        <v>1011300000</v>
      </c>
      <c r="ACQ58" s="218">
        <v>1011300000</v>
      </c>
      <c r="ACR58" s="218">
        <v>1011300000</v>
      </c>
      <c r="ACS58" s="218">
        <v>1011300000</v>
      </c>
      <c r="ACT58" s="218">
        <v>1011300000</v>
      </c>
      <c r="ACU58" s="218">
        <v>1011300000</v>
      </c>
      <c r="ACV58" s="218">
        <v>1011300000</v>
      </c>
      <c r="ACW58" s="218">
        <v>1011300000</v>
      </c>
      <c r="ACX58" s="218">
        <v>1114300000</v>
      </c>
      <c r="ACY58" s="218">
        <v>1114300000</v>
      </c>
      <c r="ACZ58" s="218">
        <v>1114300000</v>
      </c>
      <c r="ADA58" s="218">
        <v>969700000</v>
      </c>
      <c r="ADB58" s="218">
        <v>1115700000</v>
      </c>
      <c r="ADC58" s="218">
        <v>1115700000</v>
      </c>
      <c r="ADD58" s="218">
        <v>1115700000</v>
      </c>
      <c r="ADE58" s="218">
        <v>1115700000</v>
      </c>
      <c r="ADF58" s="218">
        <v>1116300000</v>
      </c>
      <c r="ADG58" s="218">
        <v>1116300000</v>
      </c>
      <c r="ADH58" s="218">
        <v>1116300000</v>
      </c>
      <c r="ADI58" s="218">
        <v>1116300000</v>
      </c>
      <c r="ADJ58" s="218">
        <v>1116300000</v>
      </c>
      <c r="ADK58" s="218">
        <v>1116300000</v>
      </c>
      <c r="ADL58" s="218">
        <v>1119300000</v>
      </c>
      <c r="ADM58" s="218">
        <v>1119300000</v>
      </c>
      <c r="ADN58" s="218">
        <v>1119300000</v>
      </c>
      <c r="ADO58" s="218">
        <v>1120800000</v>
      </c>
      <c r="ADP58" s="218">
        <v>1120800000</v>
      </c>
      <c r="ADQ58" s="218">
        <v>1120800000</v>
      </c>
      <c r="ADR58" s="218">
        <v>1120800000</v>
      </c>
      <c r="ADS58" s="218">
        <v>1120800000</v>
      </c>
      <c r="ADT58" s="218">
        <v>1120800000</v>
      </c>
      <c r="ADU58" s="218">
        <v>1121800000</v>
      </c>
      <c r="ADV58" s="218">
        <v>1121800000</v>
      </c>
      <c r="ADW58" s="218">
        <v>1121800000</v>
      </c>
      <c r="ADX58" s="218">
        <v>1121800000</v>
      </c>
      <c r="ADY58" s="218">
        <v>1121800000</v>
      </c>
      <c r="ADZ58" s="218">
        <v>1121800000</v>
      </c>
      <c r="AEA58" s="218">
        <v>1121800000</v>
      </c>
      <c r="AEB58" s="218">
        <v>1121800000</v>
      </c>
      <c r="AEC58" s="218">
        <v>1121800000</v>
      </c>
      <c r="AED58" s="218">
        <v>1122000000</v>
      </c>
      <c r="AEE58" s="218">
        <v>1122000000</v>
      </c>
      <c r="AEF58" s="218">
        <v>1122000000</v>
      </c>
      <c r="AEG58" s="218">
        <v>1122000000</v>
      </c>
      <c r="AEH58" s="218">
        <v>1122000000</v>
      </c>
      <c r="AEI58" s="218">
        <v>1122000000</v>
      </c>
      <c r="AEJ58" s="218">
        <v>1122000000</v>
      </c>
      <c r="AEK58" s="218">
        <v>1122000000</v>
      </c>
      <c r="AEL58" s="218">
        <v>1122000000</v>
      </c>
      <c r="AEM58" s="218">
        <v>1122000000</v>
      </c>
      <c r="AEN58" s="218">
        <v>1122000000</v>
      </c>
      <c r="AEO58" s="218">
        <v>1122000000</v>
      </c>
      <c r="AEP58" s="218">
        <v>1124000000</v>
      </c>
      <c r="AEQ58" s="218">
        <v>1124000000</v>
      </c>
      <c r="AER58" s="218">
        <v>1124000000</v>
      </c>
      <c r="AES58" s="449">
        <v>1129800000</v>
      </c>
      <c r="AET58" s="449">
        <v>1129800000</v>
      </c>
      <c r="AEU58" s="449">
        <v>1129800000</v>
      </c>
      <c r="AEV58" s="449">
        <v>1129800000</v>
      </c>
      <c r="AEW58" s="449">
        <v>1129800000</v>
      </c>
      <c r="AEX58" s="218">
        <v>1131300000</v>
      </c>
      <c r="AEY58" s="218">
        <v>1131300000</v>
      </c>
      <c r="AEZ58" s="218">
        <v>1131300000</v>
      </c>
      <c r="AFA58" s="218">
        <v>1131300000</v>
      </c>
      <c r="AFB58" s="218">
        <v>1131300000</v>
      </c>
      <c r="AFC58" s="218">
        <v>1133000000</v>
      </c>
      <c r="AFD58" s="218">
        <v>1133000000</v>
      </c>
      <c r="AFE58" s="218">
        <v>1133000000</v>
      </c>
      <c r="AFF58" s="218">
        <v>1133000000</v>
      </c>
      <c r="AFG58" s="218">
        <v>1133000000</v>
      </c>
      <c r="AFH58" s="218">
        <v>1133000000</v>
      </c>
      <c r="AFI58" s="218">
        <v>1133000000</v>
      </c>
      <c r="AFJ58" s="218">
        <v>1133000000</v>
      </c>
      <c r="AFK58" s="218">
        <v>886500000</v>
      </c>
      <c r="AFL58" s="218">
        <v>886500000</v>
      </c>
      <c r="AFM58" s="218">
        <v>886500000</v>
      </c>
      <c r="AFN58" s="218">
        <v>1036500000</v>
      </c>
      <c r="AFO58" s="218">
        <v>1036500000</v>
      </c>
      <c r="AFP58" s="218">
        <v>1036500001</v>
      </c>
      <c r="AFQ58" s="218">
        <v>1206500000</v>
      </c>
      <c r="AFR58" s="218">
        <v>1206500000</v>
      </c>
      <c r="AFS58" s="218">
        <v>1206500000</v>
      </c>
      <c r="AFT58" s="218">
        <v>1206500000</v>
      </c>
      <c r="AFU58" s="218">
        <v>1206500000</v>
      </c>
      <c r="AFV58" s="218">
        <v>1206500000</v>
      </c>
      <c r="AFW58" s="218">
        <v>1206500000</v>
      </c>
      <c r="AFX58" s="218">
        <v>1186500000</v>
      </c>
      <c r="AFY58" s="218">
        <v>1186500000</v>
      </c>
      <c r="AFZ58" s="218">
        <v>1186500000</v>
      </c>
      <c r="AGA58" s="218">
        <v>1086500000</v>
      </c>
      <c r="AGB58" s="218">
        <v>1086500000</v>
      </c>
      <c r="AGC58" s="218">
        <v>1086500000</v>
      </c>
      <c r="AGD58" s="218">
        <v>1086500000</v>
      </c>
      <c r="AGE58" s="218">
        <v>1086500000</v>
      </c>
      <c r="AGF58" s="218">
        <v>1086500000</v>
      </c>
      <c r="AGG58" s="218">
        <v>1086500000</v>
      </c>
      <c r="AGH58" s="218">
        <v>1086500000</v>
      </c>
      <c r="AGI58" s="218">
        <v>1086500000</v>
      </c>
      <c r="AGJ58" s="218">
        <v>1086500000</v>
      </c>
      <c r="AGK58" s="218">
        <v>1086500000</v>
      </c>
      <c r="AGL58" s="218">
        <v>86000000</v>
      </c>
      <c r="AGM58" s="218">
        <v>241000000</v>
      </c>
      <c r="AGN58" s="218">
        <v>241000000</v>
      </c>
      <c r="AGO58" s="218">
        <v>241000000</v>
      </c>
      <c r="AGP58" s="218">
        <v>241000000</v>
      </c>
      <c r="AGQ58" s="218">
        <v>241000000</v>
      </c>
      <c r="AGR58" s="218">
        <f>3498504.06*12.7551</f>
        <v>44623769.135706</v>
      </c>
      <c r="AGS58" s="218">
        <f>3498504.06*12.6377</f>
        <v>44213044.759062</v>
      </c>
      <c r="AGT58" s="218">
        <f>3498504.06*12.6231</f>
        <v>44161966.599786006</v>
      </c>
      <c r="AGU58" s="218">
        <f>3498504.06*12.5491</f>
        <v>43903077.299346</v>
      </c>
      <c r="AGV58" s="218">
        <f>3498504.06*12.5829</f>
        <v>44021326.736574002</v>
      </c>
      <c r="AGW58" s="218">
        <f>3498504.06*12.581</f>
        <v>44014679.57886</v>
      </c>
      <c r="AGX58" s="218">
        <f>3498504.06*12.6072</f>
        <v>44106340.385232002</v>
      </c>
      <c r="AGY58" s="218">
        <f>3498504.06*12.5927</f>
        <v>44055612.076362006</v>
      </c>
      <c r="AGZ58" s="218">
        <f>3498504.06*12.6351</f>
        <v>44203948.648506001</v>
      </c>
      <c r="AHA58" s="218">
        <f>3498504.06*12.6303</f>
        <v>44187155.829018004</v>
      </c>
      <c r="AHB58" s="218">
        <f>3498504.06*12.6455</f>
        <v>44240333.090730004</v>
      </c>
      <c r="AHC58" s="218">
        <f>3498504.06*12.5784</f>
        <v>44005583.468304001</v>
      </c>
      <c r="AHD58" s="218">
        <f>3498504.06*12.5784</f>
        <v>44005583.468304001</v>
      </c>
      <c r="AHE58" s="218">
        <f>3498504.06*12.5988</f>
        <v>44076952.951128006</v>
      </c>
      <c r="AHF58" s="218">
        <f>3498504.06*12.5766</f>
        <v>43999286.160995997</v>
      </c>
      <c r="AHG58" s="218">
        <f>3498504.06*12.5897</f>
        <v>44045116.564182006</v>
      </c>
      <c r="AHH58" s="218">
        <f>3498504.06*12.6891</f>
        <v>44392867.867746003</v>
      </c>
      <c r="AHI58" s="218">
        <f>3498504.06*12.7949</f>
        <v>44763009.597294003</v>
      </c>
      <c r="AHJ58" s="218">
        <f>3498504.06*12.7855</f>
        <v>44730123.659130007</v>
      </c>
      <c r="AHK58" s="218">
        <f>3498504.06*12.9223</f>
        <v>45208719.014537998</v>
      </c>
      <c r="AHL58" s="218">
        <f>3498504.06*13.0395</f>
        <v>45618743.690370001</v>
      </c>
      <c r="AHM58" s="218">
        <f>3498504.06*13.1755</f>
        <v>46094540.242529996</v>
      </c>
      <c r="AHN58" s="218">
        <f>3498504.06*13.41</f>
        <v>46914939.444600001</v>
      </c>
      <c r="AHO58" s="218">
        <f>3498504.06*13.277</f>
        <v>46449638.404619999</v>
      </c>
      <c r="AHP58" s="218">
        <f>3498504.06*13.4741</f>
        <v>47139193.554846004</v>
      </c>
      <c r="AHQ58" s="218">
        <f>3498504.06*13.459</f>
        <v>47086366.143540002</v>
      </c>
      <c r="AHR58" s="218">
        <f>3498504.06*13.5351</f>
        <v>47352602.302506</v>
      </c>
      <c r="AHS58" s="218">
        <f>3498504.06*13.8741</f>
        <v>48538595.178846002</v>
      </c>
      <c r="AHT58" s="218">
        <f>3498504.06*13.3227</f>
        <v>46609520.040161997</v>
      </c>
      <c r="AHU58" s="218">
        <f>3498504.06*13.2065</f>
        <v>46202993.868390001</v>
      </c>
      <c r="AHV58" s="218">
        <f>3498504.06*12.7875</f>
        <v>44737120.66725</v>
      </c>
      <c r="AHW58" s="218">
        <f>3498504.06*12.7545</f>
        <v>44621670.033270001</v>
      </c>
      <c r="AHX58" s="218">
        <f>3498504.06*12.862</f>
        <v>44997759.219719999</v>
      </c>
      <c r="AHY58" s="218">
        <f>3498504.06*12.8734</f>
        <v>45037642.166004002</v>
      </c>
      <c r="AHZ58" s="218">
        <f>3498504.06*12.9215</f>
        <v>45205920.211290002</v>
      </c>
      <c r="AIA58" s="218">
        <f>3498504.06*12.9407</f>
        <v>45273091.489242002</v>
      </c>
      <c r="AIB58" s="218">
        <f>3498504.06*12.972</f>
        <v>45382594.666319996</v>
      </c>
      <c r="AIC58" s="218">
        <f>3498504.06*12.972</f>
        <v>45382594.666319996</v>
      </c>
      <c r="AID58" s="218">
        <f>3498504.06*13.1096</f>
        <v>45863988.824976005</v>
      </c>
      <c r="AIE58" s="218">
        <f>3498504.06*13.1311</f>
        <v>45939206.662266001</v>
      </c>
      <c r="AIF58" s="218">
        <f>3498504.06*13.1943</f>
        <v>46160312.118858002</v>
      </c>
      <c r="AIG58" s="218">
        <f>3498504.06*13.2479</f>
        <v>46347831.936474003</v>
      </c>
      <c r="AIH58" s="218">
        <f>3498504.06*13.2861</f>
        <v>46481474.791565999</v>
      </c>
      <c r="AII58" s="218">
        <f>3498504.06*13.3402</f>
        <v>46670743.861212</v>
      </c>
      <c r="AIJ58" s="218">
        <f>3498504.06*13.3749</f>
        <v>46792141.952094004</v>
      </c>
      <c r="AIK58" s="218">
        <f>3498504.06*13.3787</f>
        <v>46805436.267522</v>
      </c>
      <c r="AIL58" s="218">
        <f>3498504.06*13.3135</f>
        <v>46577333.802809998</v>
      </c>
      <c r="AIM58" s="218">
        <f>3498504.06*13.1975</f>
        <v>46171507.33185</v>
      </c>
      <c r="AIN58" s="218">
        <f>3498504.06*12.9522</f>
        <v>45313324.285931997</v>
      </c>
      <c r="AIO58" s="218">
        <f>3498504.06*13.1735</f>
        <v>46087543.234410003</v>
      </c>
      <c r="AIP58" s="218">
        <f>3498504.06*13.1931</f>
        <v>46156113.913985997</v>
      </c>
      <c r="AIQ58" s="218">
        <f>3498504.06*13.2672</f>
        <v>46415353.064832002</v>
      </c>
      <c r="AIR58" s="218">
        <f>3498504.06*13.2387</f>
        <v>46315645.699121997</v>
      </c>
      <c r="AIS58" s="218">
        <f>3498504.06*13.1695</f>
        <v>46073549.218169995</v>
      </c>
      <c r="AIT58" s="218">
        <f>3498504.06*13.2097</f>
        <v>46214189.081381999</v>
      </c>
      <c r="AIU58" s="218">
        <f>3498504.06*13.1335</f>
        <v>45947603.072010003</v>
      </c>
      <c r="AIV58" s="218">
        <f>3498504.06*13.1414</f>
        <v>45975241.254084006</v>
      </c>
      <c r="AIW58" s="218">
        <f>3498504.06*13.1394</f>
        <v>45968244.245963998</v>
      </c>
      <c r="AIX58" s="218">
        <f>3498504.06*13.1504</f>
        <v>46006727.790624</v>
      </c>
      <c r="AIY58" s="218">
        <f>3498504.06*13.1852</f>
        <v>46128475.731912002</v>
      </c>
      <c r="AIZ58" s="218">
        <f>3498504.06*13.2753</f>
        <v>46443690.947718002</v>
      </c>
      <c r="AJB58" s="218">
        <f>3526540.02*13.4955</f>
        <v>47592420.839910001</v>
      </c>
      <c r="AJC58" s="218">
        <f>3526540.02*13.5556</f>
        <v>47804365.895112</v>
      </c>
      <c r="AJD58" s="218">
        <f>3526540.02*13.5779</f>
        <v>47883007.737558</v>
      </c>
      <c r="AJE58" s="218">
        <f>3526540.02*13.6183</f>
        <v>48025479.954365999</v>
      </c>
      <c r="AJF58" s="218">
        <f>3526540.02*13.7373</f>
        <v>48445138.216745995</v>
      </c>
      <c r="AJG58" s="218">
        <f>3526540.02*13.8926</f>
        <v>48992809.881852001</v>
      </c>
      <c r="AJH58" s="218">
        <f>3526540.02*13.6821</f>
        <v>48250473.207642004</v>
      </c>
      <c r="AJI58" s="218">
        <f>3526540.02*13.6982</f>
        <v>48307250.501964003</v>
      </c>
      <c r="AJJ58" s="218">
        <f>3526540.02*13.284</f>
        <v>46846557.62568</v>
      </c>
      <c r="AJK58" s="218">
        <f>3526540.02*13.3026</f>
        <v>46912151.270052001</v>
      </c>
      <c r="AJL58" s="218">
        <f>3526540.02*13.2893</f>
        <v>46865248.287785999</v>
      </c>
      <c r="AJM58" s="218">
        <f>3526540.02*13.2855</f>
        <v>46851847.435710005</v>
      </c>
      <c r="AJN58" s="218">
        <f>3526540.02*13.2881</f>
        <v>46861016.439762004</v>
      </c>
      <c r="AJO58" s="218">
        <f>3526540.02*13.2533</f>
        <v>46738292.847066</v>
      </c>
      <c r="AJP58" s="218">
        <f>3526540.02*13.0688</f>
        <v>46087646.213376001</v>
      </c>
      <c r="AJQ58" s="218">
        <f>3526540.02*12.9219</f>
        <v>45569597.484438002</v>
      </c>
      <c r="AJR58" s="218">
        <f>3526540.02*12.766</f>
        <v>45019809.895319998</v>
      </c>
      <c r="AJS58" s="218">
        <f>3526540.02*12.7084</f>
        <v>44816681.190168001</v>
      </c>
      <c r="AJT58" s="218">
        <f>3526540.02*12.7507</f>
        <v>44965853.833014004</v>
      </c>
      <c r="AJU58" s="218">
        <f>3526540.02*12.7122</f>
        <v>44830082.042243995</v>
      </c>
      <c r="AJV58" s="218">
        <f>3526540.02*12.7071</f>
        <v>44812096.688142002</v>
      </c>
      <c r="AJW58" s="218">
        <f>3526540.02*12.5339</f>
        <v>44201299.956677996</v>
      </c>
      <c r="AJX58" s="218">
        <f>3526540.02*12.7052</f>
        <v>44805396.262103997</v>
      </c>
      <c r="AJY58" s="218">
        <f>3526540.02*12.7042</f>
        <v>44801869.722084001</v>
      </c>
      <c r="AJZ58" s="218">
        <f>3526540.02*12.6911</f>
        <v>44755672.047821999</v>
      </c>
      <c r="AKA58" s="218">
        <f>3526540.02*12.6656</f>
        <v>44665745.277311996</v>
      </c>
      <c r="AKB58" s="218">
        <f>3526540.02*12.663</f>
        <v>44656576.273260005</v>
      </c>
      <c r="AKC58" s="218">
        <f>3526540.02*12.5998</f>
        <v>44433698.943995997</v>
      </c>
      <c r="AKD58" s="218">
        <f>3526540.02*12.5979</f>
        <v>44426998.517958</v>
      </c>
      <c r="AKE58" s="218">
        <f>3526540.02*12.6122</f>
        <v>44477428.040243998</v>
      </c>
      <c r="AKF58" s="218">
        <f>3526540.02*12.4948</f>
        <v>44063412.241895996</v>
      </c>
      <c r="AKG58" s="218">
        <f>3526540.02*12.3348</f>
        <v>43499165.838695996</v>
      </c>
      <c r="AKH58" s="218">
        <f>3526540.02*12.2479</f>
        <v>43192709.510958001</v>
      </c>
      <c r="AKI58" s="218">
        <f>3526540.02*12.3104</f>
        <v>43413118.262208</v>
      </c>
      <c r="AKJ58" s="218">
        <f>3526540.02*12.323</f>
        <v>43457552.66646</v>
      </c>
      <c r="AKK58" s="218">
        <f>3526540.02*12.3009</f>
        <v>43379616.132018</v>
      </c>
      <c r="AKL58" s="218">
        <f>3526540.02*12.3026</f>
        <v>43385611.250051998</v>
      </c>
      <c r="AKM58" s="218">
        <f>3526540.02*12.3225</f>
        <v>43455789.396449998</v>
      </c>
      <c r="AKN58" s="218">
        <f>3526540.02*12.3949</f>
        <v>43711110.893898003</v>
      </c>
      <c r="AKO58" s="218">
        <f>3526540.02*12.3842</f>
        <v>43673376.915684</v>
      </c>
      <c r="AKP58" s="218">
        <f>3526540.02*12.3685</f>
        <v>43618010.237369999</v>
      </c>
      <c r="AKQ58" s="218">
        <f>3526540.02*12.4527</f>
        <v>43914944.907054</v>
      </c>
      <c r="AKR58" s="218">
        <f>3526540.02*12.3927</f>
        <v>43703352.505853996</v>
      </c>
      <c r="AKS58" s="218">
        <f>3526540.02*12.5479</f>
        <v>44250671.516957998</v>
      </c>
      <c r="AKT58" s="218">
        <f>3526540.02*12.6897</f>
        <v>44750734.891794004</v>
      </c>
      <c r="AKU58" s="218">
        <f>3526540.02*12.8073</f>
        <v>45165455.998145998</v>
      </c>
      <c r="AKV58" s="218">
        <f>3526540.02*12.9511</f>
        <v>45672572.453022003</v>
      </c>
      <c r="AKW58" s="218">
        <f>3526540.02*12.922</f>
        <v>45569950.138440005</v>
      </c>
      <c r="AKX58" s="218">
        <f>3526540.02*12.7893</f>
        <v>45101978.277786002</v>
      </c>
      <c r="AKY58" s="218">
        <f>3526540.02*12.6503</f>
        <v>44611789.215006001</v>
      </c>
      <c r="AKZ58" s="218">
        <f>3526540.02*12.5636</f>
        <v>44306038.195271999</v>
      </c>
      <c r="ALA58" s="218">
        <f>3526540.02*12.4993</f>
        <v>44079281.671985999</v>
      </c>
      <c r="ALB58" s="218">
        <f>3526540.02*12.5457</f>
        <v>44242913.128913999</v>
      </c>
      <c r="ALC58" s="218">
        <f>3526540.02*12.6091</f>
        <v>44466495.766181998</v>
      </c>
      <c r="ALD58" s="218">
        <f>3526540.02*12.6578</f>
        <v>44638238.265156001</v>
      </c>
      <c r="ALE58" s="218">
        <f>3526540.02*12.579</f>
        <v>44360346.911580004</v>
      </c>
      <c r="ALF58" s="218">
        <f>3551274.11*12.6577</f>
        <v>44950962.302147001</v>
      </c>
      <c r="ALG58" s="218">
        <f>3551274.11*12.8124</f>
        <v>45500344.406963997</v>
      </c>
      <c r="ALH58" s="218">
        <f>3551274.11*12.8598</f>
        <v>45668674.799778</v>
      </c>
      <c r="ALI58" s="218">
        <f>3551274.11*12.8379</f>
        <v>45590901.896768995</v>
      </c>
      <c r="ALJ58" s="218">
        <f>3551274.11*12.7937</f>
        <v>45433935.581106998</v>
      </c>
      <c r="ALK58" s="218">
        <f>3551274.11*12.8011</f>
        <v>45460215.009521</v>
      </c>
      <c r="ALL58" s="218">
        <f>3551274.11*12.6749</f>
        <v>45012044.216838993</v>
      </c>
      <c r="ALM58" s="218">
        <f>3551274.11*12.5762</f>
        <v>44661533.462182</v>
      </c>
      <c r="ALN58" s="218">
        <f>3551274.11*12.5861</f>
        <v>44696691.075870998</v>
      </c>
      <c r="ALO58" s="218">
        <f>3551274.11*12.4305</f>
        <v>44144112.824354999</v>
      </c>
      <c r="ALP58" s="218">
        <f>3551274.11*12.363</f>
        <v>43904401.821929999</v>
      </c>
      <c r="ALQ58" s="218">
        <f>3551274.11*12.2428</f>
        <v>43477538.673908003</v>
      </c>
      <c r="ALR58" s="218">
        <f>3551274.11*12.152</f>
        <v>43155082.984719999</v>
      </c>
      <c r="ALS58" s="218">
        <f>12.1217*3551274.11</f>
        <v>43047479.379187003</v>
      </c>
      <c r="ALT58" s="218">
        <f>12.1935*3551274.11</f>
        <v>43302460.860284999</v>
      </c>
      <c r="ALU58" s="218">
        <f>12.249*3551274.11</f>
        <v>43499556.57339</v>
      </c>
      <c r="ALV58" s="218">
        <f>12.2706*3551274.11</f>
        <v>43576264.094165996</v>
      </c>
      <c r="ALW58" s="218">
        <f>12.1803*3551274.11</f>
        <v>43255584.042033002</v>
      </c>
      <c r="ALX58" s="218">
        <f>12.2274 *3551274.11</f>
        <v>43422849.052613996</v>
      </c>
      <c r="ALY58" s="218">
        <f>12.2887 *3551274.11</f>
        <v>43640542.155556999</v>
      </c>
      <c r="ALZ58" s="218">
        <f>12.327 *3551274.11</f>
        <v>43776555.95397</v>
      </c>
      <c r="AMA58" s="218">
        <f>12.4375 *3551274.11</f>
        <v>44168971.743124999</v>
      </c>
      <c r="AMB58" s="218">
        <f>12.449 *3551274.11</f>
        <v>44209811.395389996</v>
      </c>
      <c r="AMC58" s="218">
        <f>12.4066 *3551274.11</f>
        <v>44059237.373125993</v>
      </c>
      <c r="AMD58" s="218">
        <f>12.458 *3551274.11</f>
        <v>44241772.862379998</v>
      </c>
      <c r="AME58" s="218">
        <f>12.5357 *3551274.11</f>
        <v>44517706.860726997</v>
      </c>
      <c r="AMF58" s="218">
        <f>12.6002 *3551274.11</f>
        <v>44746764.040821992</v>
      </c>
      <c r="AMG58" s="218">
        <f>12.6335 *3551274.11</f>
        <v>44865021.468684994</v>
      </c>
      <c r="AMH58" s="218">
        <f>12.5926 *3551274.11</f>
        <v>44719774.357585996</v>
      </c>
      <c r="AMI58" s="218">
        <f>12.6484 *3551274.11</f>
        <v>44917935.452923998</v>
      </c>
      <c r="AMJ58" s="218">
        <f>12.6352 *3551274.11</f>
        <v>44871058.634671994</v>
      </c>
      <c r="AMK58" s="218">
        <f>12.5407 *3551274.11</f>
        <v>44535463.231276996</v>
      </c>
      <c r="AML58" s="218">
        <f>12.5526 *3551274.11</f>
        <v>44577723.393185996</v>
      </c>
      <c r="AMM58" s="218">
        <f>12.5814 *3551274.11</f>
        <v>44680000.087554</v>
      </c>
      <c r="AMN58" s="218">
        <f>12.5833 *3551274.11</f>
        <v>44686747.508362994</v>
      </c>
      <c r="AMO58" s="218">
        <f>12.6566 *3551274.11</f>
        <v>44947055.900625996</v>
      </c>
      <c r="AMP58" s="218">
        <f>12.7418 *3551274.11</f>
        <v>45249624.454797998</v>
      </c>
      <c r="AMQ58" s="218">
        <f>12.7662 *3551274.11</f>
        <v>45336275.543081999</v>
      </c>
      <c r="AMR58" s="218">
        <f>12.797 *3551274.11</f>
        <v>45445654.785669997</v>
      </c>
      <c r="AMS58" s="218">
        <f>12.8039 *3551274.11</f>
        <v>45470158.577028997</v>
      </c>
      <c r="AMT58" s="218">
        <f>12.7951 *3551274.11</f>
        <v>45438907.364860997</v>
      </c>
      <c r="AMU58" s="218">
        <f>12.7809 *3551274.11</f>
        <v>45388479.272499003</v>
      </c>
      <c r="AMV58" s="218">
        <f>12.7357 *3551274.11</f>
        <v>45227961.682726994</v>
      </c>
      <c r="AMW58" s="218">
        <f>12.7085 *3551274.11</f>
        <v>45131367.026935004</v>
      </c>
      <c r="AMX58" s="218">
        <f>12.5675 *3551274.11</f>
        <v>44630637.377425</v>
      </c>
      <c r="AMY58" s="218">
        <f>12.6316 *3551274.11</f>
        <v>44858274.047876</v>
      </c>
      <c r="AMZ58" s="218">
        <f>12.6478 *3551274.11</f>
        <v>44915804.688457996</v>
      </c>
      <c r="ANA58" s="218">
        <f>12.618 *3551274.11</f>
        <v>44809976.719980001</v>
      </c>
      <c r="ANB58" s="218">
        <f>12.5061 *3551274.11</f>
        <v>44412589.147070996</v>
      </c>
      <c r="ANC58" s="218">
        <f>12.5756 *3551274.11</f>
        <v>44659402.697715998</v>
      </c>
      <c r="AND58" s="218">
        <f>12.5938 *3551274.11</f>
        <v>44724035.886518002</v>
      </c>
      <c r="ANE58" s="218">
        <f>12.644 *3551274.11</f>
        <v>44902309.846840002</v>
      </c>
      <c r="ANF58" s="218">
        <f>3580625.35*12.7041</f>
        <v>45488622.508935004</v>
      </c>
      <c r="ANG58" s="218">
        <f>3580625.35*12.7151</f>
        <v>45528009.387785003</v>
      </c>
      <c r="ANH58" s="218">
        <f>3580625.35*12.7328</f>
        <v>45591386.456479996</v>
      </c>
      <c r="ANI58" s="218">
        <f>3580625.35*12.7501</f>
        <v>45653331.275035001</v>
      </c>
      <c r="ANJ58" s="218">
        <f>3580625.35*12.7729</f>
        <v>45734969.533014998</v>
      </c>
      <c r="ANK58" s="218">
        <f>3580625.35*12.8337</f>
        <v>45952671.554295003</v>
      </c>
      <c r="ANL58" s="218">
        <f>3580625.35*12.7519</f>
        <v>45659776.400665</v>
      </c>
      <c r="ANM58" s="218">
        <f>3580625.35*12.7445</f>
        <v>45633279.773074999</v>
      </c>
      <c r="ANN58" s="218">
        <f>3580625.35*12.7893</f>
        <v>45793691.788755007</v>
      </c>
      <c r="ANO58" s="218">
        <f>3580625.35*12.7844</f>
        <v>45776146.724540003</v>
      </c>
      <c r="ANP58" s="218">
        <f>3580625.35*12.7477</f>
        <v>45644737.774195001</v>
      </c>
      <c r="ANQ58" s="218">
        <f>3580625.35*12.6979</f>
        <v>45466422.631765001</v>
      </c>
      <c r="ANR58" s="218">
        <f>3580625.35*12.671</f>
        <v>45370103.80985</v>
      </c>
      <c r="ANS58" s="218">
        <f>3580625.35*12.6872</f>
        <v>45428109.940520003</v>
      </c>
      <c r="ANT58" s="218">
        <f>3580625.35*12.7211</f>
        <v>45549493.139885001</v>
      </c>
      <c r="ANU58" s="218">
        <f>3580625.35*12.7145</f>
        <v>45525861.012575001</v>
      </c>
      <c r="ANV58" s="218">
        <f>3580625.35*12.7143</f>
        <v>45525144.887505002</v>
      </c>
      <c r="ANW58" s="218">
        <f>3580625.35*12.7602</f>
        <v>45689495.591069996</v>
      </c>
      <c r="ANX58" s="218">
        <f>3580625.35*12.7696</f>
        <v>45723153.469360001</v>
      </c>
      <c r="ANY58" s="218">
        <f>3580625.35*12.8004</f>
        <v>45833436.730140001</v>
      </c>
      <c r="ANZ58" s="218">
        <f>3580625.35*12.873</f>
        <v>46093390.130549997</v>
      </c>
      <c r="AOA58" s="218">
        <f>3580625.35*12.9119</f>
        <v>46232676.456665002</v>
      </c>
      <c r="AOB58" s="218">
        <f>3580625.35*12.8685</f>
        <v>46077277.316474997</v>
      </c>
      <c r="AOC58" s="218">
        <f>3580625.35*12.8844</f>
        <v>46134209.259539999</v>
      </c>
      <c r="AOD58" s="218">
        <f>3580625.35*12.9331</f>
        <v>46308585.714084998</v>
      </c>
      <c r="AOE58" s="218">
        <f>3580625.35*13</f>
        <v>46548129.550000004</v>
      </c>
      <c r="AOF58" s="218">
        <f>3580625.35*12.976</f>
        <v>46462194.541600004</v>
      </c>
      <c r="AOG58" s="218">
        <f>3580625.35*12.8816</f>
        <v>46124183.508560002</v>
      </c>
      <c r="AOH58" s="218">
        <f>3580625.35*12.8484</f>
        <v>46005306.746940002</v>
      </c>
      <c r="AOI58" s="218">
        <f>3580625.35*12.8396</f>
        <v>45973797.243860006</v>
      </c>
      <c r="AOJ58" s="218">
        <f>3580625.35*12.7183</f>
        <v>45539467.388904996</v>
      </c>
      <c r="AOK58" s="218">
        <f>3580625.35*12.6716</f>
        <v>45372252.185060002</v>
      </c>
      <c r="AOL58" s="218">
        <f>3580625.35*12.6347</f>
        <v>45240127.109645002</v>
      </c>
      <c r="AOM58" s="218">
        <f>3580625.35*12.5657</f>
        <v>44993063.960495003</v>
      </c>
      <c r="AON58" s="218">
        <f>3580625.35*12.6821</f>
        <v>45409848.751235001</v>
      </c>
      <c r="AOO58" s="218">
        <f>3580625.35*12.6972</f>
        <v>45463916.194020003</v>
      </c>
      <c r="AOP58" s="218">
        <f>3580625.35*12.6453</f>
        <v>45278081.738355003</v>
      </c>
      <c r="AOQ58" s="218">
        <f>3580625.35*12.5962</f>
        <v>45102273.033670001</v>
      </c>
      <c r="AOR58" s="218">
        <f>3580625.35*12.6243</f>
        <v>45202888.606004998</v>
      </c>
      <c r="AOS58" s="218">
        <f>3580625.35*12.623</f>
        <v>45198233.793049999</v>
      </c>
      <c r="AOT58" s="218">
        <f>3580625.35*12.6025</f>
        <v>45124830.973375</v>
      </c>
      <c r="AOU58" s="218">
        <f>3580625.35*12.6113</f>
        <v>45156340.476455003</v>
      </c>
      <c r="AOV58" s="218">
        <f>3580625.35*12.5832</f>
        <v>45055724.904119998</v>
      </c>
      <c r="AOW58" s="218">
        <f>3580625.35*12.5753</f>
        <v>45027437.963855006</v>
      </c>
      <c r="AOX58" s="218">
        <f>3580625.35*12.51</f>
        <v>44793623.1285</v>
      </c>
      <c r="AOY58" s="218">
        <f>3580625.35*12.4613</f>
        <v>44619246.673955001</v>
      </c>
      <c r="AOZ58" s="218">
        <f>3580625.35*12.4274</f>
        <v>44497863.474590003</v>
      </c>
      <c r="APA58" s="218">
        <f>3580625.35*12.4266</f>
        <v>44494998.974310003</v>
      </c>
      <c r="APB58" s="218">
        <f>3580625.35*12.33</f>
        <v>44149110.565499999</v>
      </c>
      <c r="APC58" s="218">
        <f>3580625.35*12.1903</f>
        <v>43648897.204105005</v>
      </c>
      <c r="APD58" s="218">
        <f>3580625.35*12.1628</f>
        <v>43550430.006980002</v>
      </c>
      <c r="APE58" s="218">
        <f>3580625.35*12.2752</f>
        <v>43952892.296319999</v>
      </c>
      <c r="APF58" s="218">
        <f>3580625.35*12.365</f>
        <v>44274432.452750005</v>
      </c>
      <c r="APG58" s="218">
        <f>3580625.35*12.4028</f>
        <v>44409780.090980001</v>
      </c>
      <c r="APH58" s="218">
        <f>3580625.35*12.3011</f>
        <v>44045630.492885001</v>
      </c>
      <c r="API58" s="218">
        <f>3580625.35*12.2248</f>
        <v>43772428.778680004</v>
      </c>
      <c r="APJ58" s="218">
        <f>3580625.35*12.2244</f>
        <v>43770996.52854</v>
      </c>
      <c r="APK58" s="218">
        <f>3580625.35*12.2251</f>
        <v>43773502.966284998</v>
      </c>
      <c r="APL58" s="218">
        <f>3580625.35*12.229</f>
        <v>43787467.405149996</v>
      </c>
      <c r="APM58" s="218">
        <f>3580625.35*12.2213</f>
        <v>43759896.589955002</v>
      </c>
      <c r="APO58" s="218">
        <f>3621577.53*12.0408</f>
        <v>43606690.723223999</v>
      </c>
      <c r="APP58" s="218">
        <f>3621577.53*12.1629</f>
        <v>44048885.339636996</v>
      </c>
      <c r="APQ58" s="218">
        <f>3621577.53*12.1267</f>
        <v>43917784.233050995</v>
      </c>
      <c r="APR58" s="218">
        <f>3621577.53*11.7964</f>
        <v>42721577.174892001</v>
      </c>
      <c r="APS58" s="218">
        <f>3621577.53*11.1652</f>
        <v>40435637.437955998</v>
      </c>
      <c r="APT58" s="218">
        <f>3621577.53*11.5185</f>
        <v>41715140.779304996</v>
      </c>
      <c r="APU58" s="218">
        <f>3621577.53*12.0455</f>
        <v>43623712.137615003</v>
      </c>
      <c r="APV58" s="218">
        <f>3621577.53*11.8582</f>
        <v>42945390.666245997</v>
      </c>
      <c r="APW58" s="218">
        <f>3621577.53*11.8105</f>
        <v>42772641.418064997</v>
      </c>
      <c r="APX58" s="218">
        <f>3621577.53*11.8748</f>
        <v>43005508.853243999</v>
      </c>
      <c r="APY58" s="218">
        <f>3621577.53*11.4753</f>
        <v>41558688.630009003</v>
      </c>
      <c r="APZ58" s="218">
        <f>3621577.53*11.5756</f>
        <v>41921932.856267996</v>
      </c>
      <c r="AQA58" s="218">
        <f>3621577.53*11.8019</f>
        <v>42741495.851306997</v>
      </c>
      <c r="AQB58" s="218">
        <f>3621577.53*11.9017</f>
        <v>43102929.288801</v>
      </c>
      <c r="AQC58" s="218">
        <f>3621577.53*11.8936</f>
        <v>43073594.510807998</v>
      </c>
      <c r="AQD58" s="218">
        <f>3621577.53*11.9896</f>
        <v>43421265.953687996</v>
      </c>
      <c r="AQE58" s="218">
        <f>3621577.53*12.0058</f>
        <v>43479935.509673998</v>
      </c>
      <c r="AQF58" s="218">
        <f>3621577.53*11.9804</f>
        <v>43387947.440411992</v>
      </c>
      <c r="AQG58" s="218">
        <f>3621577.53*11.9469</f>
        <v>43266624.593156993</v>
      </c>
      <c r="AQH58" s="218">
        <f>3621577.53*11.9596</f>
        <v>43312618.627788</v>
      </c>
      <c r="AQI58" s="218">
        <f>3621577.53*11.9987</f>
        <v>43454222.309210993</v>
      </c>
      <c r="AQJ58" s="218">
        <f>3621577.53* 11.9766</f>
        <v>43374185.445797995</v>
      </c>
      <c r="AQK58" s="218">
        <f>3621577.53* 11.9791</f>
        <v>43383239.389623001</v>
      </c>
      <c r="AQL58" s="218">
        <f>3621577.53* 12.0492</f>
        <v>43637111.974476002</v>
      </c>
      <c r="AQM58" s="218">
        <f>3621577.53* 12.0537</f>
        <v>43653409.073360994</v>
      </c>
      <c r="AQN58" s="218">
        <f>3621577.53* 12.0335</f>
        <v>43580253.207254998</v>
      </c>
      <c r="AQO58" s="218">
        <f>3621577.53*12.0335</f>
        <v>43580253.207254998</v>
      </c>
      <c r="AQP58" s="218">
        <f>3621577.53*11.974</f>
        <v>43364769.344219998</v>
      </c>
      <c r="AQQ58" s="218">
        <f>3621577.53*11.9062</f>
        <v>43119226.387685999</v>
      </c>
      <c r="AQR58" s="218">
        <f>3621577.53*11.8263</f>
        <v>42829862.343038999</v>
      </c>
      <c r="AQS58" s="218">
        <f>3621577.53*11.7408</f>
        <v>42520217.464223996</v>
      </c>
      <c r="AQT58" s="218">
        <f>3621577.53*11.7296</f>
        <v>42479655.795887999</v>
      </c>
      <c r="AQU58" s="218">
        <f>3621577.53*11.8567</f>
        <v>42939958.299950995</v>
      </c>
      <c r="AQV58" s="218">
        <f>3621577.53*11.8368</f>
        <v>42867888.907104</v>
      </c>
      <c r="AQW58" s="218">
        <f>3621577.53*11.8747</f>
        <v>43005146.695491001</v>
      </c>
      <c r="AQX58" s="218">
        <f>3621577.53*11.7918</f>
        <v>42704917.918253995</v>
      </c>
      <c r="AQY58" s="218">
        <f>3621577.53*11.8307</f>
        <v>42845797.284171</v>
      </c>
      <c r="AQZ58" s="218">
        <f>3621577.53*11.8289</f>
        <v>42839278.444617003</v>
      </c>
      <c r="ARA58" s="218">
        <f>3621577.53*11.789</f>
        <v>42694777.501169994</v>
      </c>
      <c r="ARB58" s="218">
        <f>3621577.53*11.8074</f>
        <v>42761414.527721994</v>
      </c>
      <c r="ARC58" s="218">
        <f>3621577.53*11.8664</f>
        <v>42975087.601991996</v>
      </c>
      <c r="ARD58" s="218">
        <f>3621577.53*11.8911</f>
        <v>43064540.566982999</v>
      </c>
      <c r="ARE58" s="218">
        <f>3621577.53*11.8576</f>
        <v>42943217.719727993</v>
      </c>
      <c r="ARF58" s="218">
        <f>3621577.53*12.0233</f>
        <v>43543313.116448998</v>
      </c>
      <c r="ARG58" s="218">
        <f>3621577.53*12.0672</f>
        <v>43702300.370015994</v>
      </c>
      <c r="ARH58" s="218">
        <f>3621577.53*11.9319</f>
        <v>43212300.930206999</v>
      </c>
      <c r="ARI58" s="218">
        <f>3621577.53*12.0542</f>
        <v>43655219.862126</v>
      </c>
      <c r="ARJ58" s="218">
        <f>3621577.53*12.1204</f>
        <v>43894968.294611998</v>
      </c>
      <c r="ARK58" s="218">
        <f>3621577.53*12.1161</f>
        <v>43879395.511232994</v>
      </c>
      <c r="ARL58" s="218">
        <f>3621577.53*12.2114</f>
        <v>44224531.849841997</v>
      </c>
      <c r="ARM58" s="218">
        <f>3621577.53*11.9567</f>
        <v>43302116.052950993</v>
      </c>
      <c r="ARN58" s="218">
        <f>3621577.53*11.7747</f>
        <v>42642988.942490995</v>
      </c>
      <c r="ARO58" s="218">
        <f>3621577.53*11.6863</f>
        <v>42322841.488838993</v>
      </c>
      <c r="ARP58" s="218">
        <f>3621577.53*11.7513</f>
        <v>42558244.028288998</v>
      </c>
      <c r="ARQ58" s="218">
        <f>3621577.53*11.8357</f>
        <v>42863905.171820998</v>
      </c>
      <c r="ARR58" s="218">
        <f>3621577.53*11.9057</f>
        <v>43117415.598920994</v>
      </c>
      <c r="ARS58" s="218">
        <f>3621577.53*12.0151</f>
        <v>43513616.180702999</v>
      </c>
      <c r="ART58" s="218">
        <f>3621577.53*12.0532</f>
        <v>43651598.284595996</v>
      </c>
      <c r="ARU58" s="218">
        <f>3621577.53*12.1106</f>
        <v>43859476.834817998</v>
      </c>
      <c r="ARV58" s="218">
        <f>3621577.53*12.5086</f>
        <v>45300864.691757992</v>
      </c>
      <c r="ARW58" s="218">
        <f>3621577.53*12.5054</f>
        <v>45289275.643661998</v>
      </c>
      <c r="ARX58" s="218">
        <f>3621577.53*12.5387</f>
        <v>45409874.175411001</v>
      </c>
      <c r="ARY58" s="218">
        <f>3621577.53*12.6262</f>
        <v>45726762.209285997</v>
      </c>
      <c r="ARZ58" s="218">
        <f>3621577.53*12.6952</f>
        <v>45976651.058855996</v>
      </c>
      <c r="ASA58" s="218">
        <f>3666995.67*12.7173</f>
        <v>46634284.034090996</v>
      </c>
      <c r="ASB58" s="218">
        <f>3666995.67*12.7362</f>
        <v>46703590.252254002</v>
      </c>
      <c r="ASC58" s="218">
        <f>3666995.67*12.7178</f>
        <v>46636117.531925999</v>
      </c>
      <c r="ASD58" s="218">
        <f>3666995.67*12.7762</f>
        <v>46850270.079053998</v>
      </c>
      <c r="ASE58" s="218">
        <f>3666995.67*12.9226</f>
        <v>47387118.245141998</v>
      </c>
      <c r="ASF58" s="218">
        <f>3666995.67*12.9451</f>
        <v>47469625.647716999</v>
      </c>
      <c r="ASG58" s="218">
        <f>3666995.67*13.1028</f>
        <v>48047910.864876002</v>
      </c>
      <c r="ASH58" s="218">
        <f>3666995.67*13.0425</f>
        <v>47826791.025975004</v>
      </c>
      <c r="ASI58" s="218">
        <f>3666995.67*13.1134</f>
        <v>48086781.018978</v>
      </c>
      <c r="ASJ58" s="218">
        <f>3666995.67*13.216</f>
        <v>48463014.774719998</v>
      </c>
      <c r="ASK58" s="218">
        <f>3666995.67*13.0939</f>
        <v>48015274.603413001</v>
      </c>
      <c r="ASL58" s="218">
        <f>3666995.67*13.1451</f>
        <v>48203024.781716995</v>
      </c>
      <c r="ASM58" s="218">
        <f>3666995.67*13.2163</f>
        <v>48464114.873420998</v>
      </c>
      <c r="ASN58" s="218">
        <f>3666995.67*13.2425</f>
        <v>48560190.159975</v>
      </c>
      <c r="ASO58" s="218">
        <f>3666995.67*13.1959</f>
        <v>48389308.161752999</v>
      </c>
      <c r="ASP58" s="218">
        <f>3666995.67*13.3914</f>
        <v>49106205.815237999</v>
      </c>
      <c r="ASQ58" s="218">
        <f>3666995.67*13.4808</f>
        <v>49434035.228136003</v>
      </c>
      <c r="ASR58" s="218">
        <f>3666995.67*13.4127</f>
        <v>49184312.823008999</v>
      </c>
      <c r="ASS58" s="218">
        <f>3666995.67*13.5537</f>
        <v>49701359.212478995</v>
      </c>
      <c r="AST58" s="218">
        <f>3666995.67*13.581</f>
        <v>49801468.19427</v>
      </c>
      <c r="ASU58" s="218">
        <f>3666995.67*13.6869</f>
        <v>50189803.035723001</v>
      </c>
      <c r="ASV58" s="218">
        <f>3666995.67*13.6922</f>
        <v>50209238.112774</v>
      </c>
      <c r="ASW58" s="218">
        <f>3666995.67*13.4752</f>
        <v>49413500.052383997</v>
      </c>
      <c r="ASX58" s="218">
        <f>3666995.67*13.4987</f>
        <v>49499674.450628996</v>
      </c>
      <c r="ASY58" s="218">
        <f>3666995.67*13.5683</f>
        <v>49754897.349261001</v>
      </c>
      <c r="ASZ58" s="218">
        <f>3666995.67*13.5917</f>
        <v>49840705.047938995</v>
      </c>
      <c r="ATA58" s="218">
        <f>3666995.67*13.5487</f>
        <v>49683024.234128997</v>
      </c>
      <c r="ATB58" s="218">
        <f>3666995.67*13.4631</f>
        <v>49369129.404777005</v>
      </c>
      <c r="ATC58" s="218">
        <f>3666995.67*13.4733</f>
        <v>49406532.760610998</v>
      </c>
      <c r="ATD58" s="218">
        <f>3666995.67*13.5463</f>
        <v>49674223.444521002</v>
      </c>
      <c r="ATE58" s="218">
        <f>3666995.67*13.5192</f>
        <v>49574847.861864001</v>
      </c>
      <c r="ATF58" s="218">
        <f>3666995.67*13.5348</f>
        <v>49632052.994316004</v>
      </c>
      <c r="ATG58" s="218">
        <f>3666995.67*13.5007</f>
        <v>49507008.441969</v>
      </c>
      <c r="ATH58" s="218">
        <f>3666995.67*13.6103</f>
        <v>49908911.167401001</v>
      </c>
      <c r="ATI58" s="218">
        <f>3666995.67*13.5954</f>
        <v>49854272.931917995</v>
      </c>
      <c r="ATJ58" s="218">
        <f>3666995.67*13.5876</f>
        <v>49825670.365691997</v>
      </c>
      <c r="ATK58" s="218">
        <f>3666995.67*13.6068</f>
        <v>49896076.682555996</v>
      </c>
      <c r="ATL58" s="218">
        <f>3666995.67*13.6394</f>
        <v>50015620.741397999</v>
      </c>
      <c r="ATM58" s="218">
        <f>3666995.67*13.6731</f>
        <v>50139198.495476998</v>
      </c>
      <c r="ATN58" s="218">
        <f>3666995.67*13.7539</f>
        <v>50435491.745613001</v>
      </c>
      <c r="ATO58" s="218">
        <f>3666995.67*13.6395</f>
        <v>50015987.440964997</v>
      </c>
      <c r="ATP58" s="218">
        <f>3666995.67*13.624</f>
        <v>49959149.008079998</v>
      </c>
      <c r="ATQ58" s="218">
        <f>3666995.67*13.594</f>
        <v>49849139.137979999</v>
      </c>
      <c r="ATR58" s="218">
        <f>3666995.67*13.552</f>
        <v>49695125.319839999</v>
      </c>
      <c r="ATS58" s="218">
        <f>3666995.67*13.4951</f>
        <v>49486473.266217001</v>
      </c>
      <c r="ATT58" s="218">
        <f>3666995.67*13.598</f>
        <v>49863807.12066</v>
      </c>
      <c r="ATU58" s="218">
        <f>3666995.67*13.6596</f>
        <v>50089694.053931996</v>
      </c>
      <c r="ATV58" s="218">
        <f>3666995.67*13.7992</f>
        <v>50601606.649464004</v>
      </c>
      <c r="ATW58" s="218">
        <f>3666995.67*13.7597</f>
        <v>50456760.320499003</v>
      </c>
      <c r="ATX58" s="218">
        <f>3666995.67*13.7744</f>
        <v>50510665.156847998</v>
      </c>
      <c r="ATY58" s="218">
        <f>3666995.67*13.8224</f>
        <v>50686680.949007995</v>
      </c>
      <c r="ATZ58" s="218">
        <f>3666995.67*13.8821</f>
        <v>50905600.590506993</v>
      </c>
      <c r="AUA58" s="218">
        <f>3666995.67*13.9427</f>
        <v>51127820.528108999</v>
      </c>
      <c r="AUB58" s="218">
        <f>3666995.67*14.2057</f>
        <v>52092240.389319003</v>
      </c>
      <c r="AUC58" s="218">
        <f>3666995.67*14.4449</f>
        <v>52969385.753582999</v>
      </c>
      <c r="AUD58" s="218">
        <f>3666995.67*14.8382</f>
        <v>54411615.150594003</v>
      </c>
      <c r="AUE58" s="218">
        <f>3666995.67*14.6653</f>
        <v>53777591.599251002</v>
      </c>
      <c r="AUF58" s="218">
        <f>3666995.67*14.7233</f>
        <v>53990277.348110996</v>
      </c>
      <c r="AUG58" s="218">
        <f>3666995.67*14.6258</f>
        <v>53632745.270286001</v>
      </c>
      <c r="AUH58" s="218">
        <f>3666995.67*14.5545</f>
        <v>53371288.479015</v>
      </c>
      <c r="AUI58" s="218">
        <f>3666995.67*14.2565</f>
        <v>52278523.769354999</v>
      </c>
      <c r="AUJ58" s="218">
        <f>3666995.67*14.1399</f>
        <v>51850952.074233003</v>
      </c>
      <c r="AUK58" s="218">
        <f>3666995.67*13.597</f>
        <v>49860140.124989994</v>
      </c>
      <c r="AUL58" s="218">
        <f>3666995.67*13.524</f>
        <v>49592449.441079997</v>
      </c>
      <c r="AUM58" s="218">
        <f>3666995.67*13.6566</f>
        <v>50078693.066921994</v>
      </c>
      <c r="AUN58" s="218">
        <f>3730817*13.8539</f>
        <v>51686365.636299998</v>
      </c>
      <c r="AUO58" s="218">
        <f>3730817*13.9594</f>
        <v>52079966.829800002</v>
      </c>
      <c r="AUP58" s="218">
        <f>3730817*14.0096</f>
        <v>52267253.843200006</v>
      </c>
      <c r="AUQ58" s="218">
        <f>3730817*13.8603</f>
        <v>51710242.865100004</v>
      </c>
      <c r="AUR58" s="218">
        <f>3730817*13.9613</f>
        <v>52087055.382100001</v>
      </c>
      <c r="AUS58" s="218">
        <f>3730817*14.0761</f>
        <v>52515353.173699997</v>
      </c>
      <c r="AUT58" s="218">
        <f>3730817*14.186</f>
        <v>52925369.961999997</v>
      </c>
      <c r="AUU58" s="218">
        <f>3730817*13.9897</f>
        <v>52193010.584899999</v>
      </c>
      <c r="AUV58" s="218">
        <f>3730817*13.8254</f>
        <v>51580037.351800002</v>
      </c>
      <c r="AUW58" s="218">
        <f>3730817*13.6624</f>
        <v>50971914.180799998</v>
      </c>
      <c r="AUX58" s="218">
        <f>3730817*13.6054</f>
        <v>50759257.6118</v>
      </c>
      <c r="AUY58" s="218">
        <f>3730817*13.4716</f>
        <v>50260074.297200002</v>
      </c>
      <c r="AUZ58" s="218">
        <f>3730817*13.4434</f>
        <v>50154865.257800005</v>
      </c>
      <c r="AVA58" s="218">
        <f>3730817*13.4272</f>
        <v>50094426.022399999</v>
      </c>
      <c r="AVB58" s="218">
        <f>3730817*13.6934</f>
        <v>51087569.507800005</v>
      </c>
      <c r="AVC58" s="218">
        <f>3730817*13.6866</f>
        <v>51062199.952200003</v>
      </c>
      <c r="AVD58" s="218">
        <f>3730817*13.8184</f>
        <v>51553921.632800005</v>
      </c>
      <c r="AVE58" s="218">
        <f>3730817*13.9486</f>
        <v>52039674.006200001</v>
      </c>
      <c r="AVF58" s="218">
        <f>3730817*13.9197</f>
        <v>51931853.394900002</v>
      </c>
      <c r="AVG58" s="218">
        <f>3730817*13.9143</f>
        <v>51911706.983100004</v>
      </c>
      <c r="AVH58" s="218">
        <f>3730817*13.9338</f>
        <v>51984457.9146</v>
      </c>
      <c r="AVI58" s="218">
        <f>3730817*13.8302</f>
        <v>51597945.273400001</v>
      </c>
      <c r="AVJ58" s="218">
        <f>3730817*13.737</f>
        <v>51250233.129000001</v>
      </c>
      <c r="AVK58" s="218">
        <f>3730817*13.5443</f>
        <v>50531304.693099998</v>
      </c>
      <c r="AVL58" s="218">
        <f>3730817*13.5786</f>
        <v>50659271.716200002</v>
      </c>
      <c r="AVM58" s="218">
        <f>3730817*13.5101</f>
        <v>50403710.751699999</v>
      </c>
      <c r="AVN58" s="218">
        <f>3730817*13.3806</f>
        <v>49920569.950199999</v>
      </c>
      <c r="AVO58" s="218">
        <f>3730817*13.4568</f>
        <v>50204858.205600001</v>
      </c>
      <c r="AVP58" s="218">
        <f>3730817*13.3817</f>
        <v>49924673.848899998</v>
      </c>
      <c r="AVQ58" s="218">
        <f>3730817*13.3729</f>
        <v>49891842.659299999</v>
      </c>
      <c r="AVR58" s="218">
        <f>3730817*13.2638</f>
        <v>49484810.524599999</v>
      </c>
      <c r="AVS58" s="218">
        <f>3730817*13.4095</f>
        <v>50028390.561499998</v>
      </c>
      <c r="AVT58" s="218">
        <f>3730817*13.2985</f>
        <v>49614269.874499999</v>
      </c>
      <c r="AVU58" s="218">
        <f>3730817*13.249</f>
        <v>49429594.433000006</v>
      </c>
      <c r="AVV58" s="218">
        <f>3730817*13.0503</f>
        <v>48688281.095100001</v>
      </c>
      <c r="AVW58" s="218">
        <f>3730817*13.2365</f>
        <v>49382959.2205</v>
      </c>
      <c r="AVX58" s="218">
        <f>3730817*13.2421</f>
        <v>49403851.795699999</v>
      </c>
      <c r="AVY58" s="218">
        <f>3730817*13.0258</f>
        <v>48596876.078600004</v>
      </c>
      <c r="AVZ58" s="218">
        <f>3730817*12.7702</f>
        <v>47643279.253400005</v>
      </c>
      <c r="AWA58" s="218">
        <f>3730817*12.3356</f>
        <v>46021866.185199998</v>
      </c>
      <c r="AWB58" s="218">
        <f>3730817*12.3668</f>
        <v>46138267.6756</v>
      </c>
      <c r="AWC58" s="218">
        <f>3730817*12.4935</f>
        <v>46610962.189499997</v>
      </c>
      <c r="AWD58" s="218">
        <f>3730817*12.4167</f>
        <v>46324435.443900004</v>
      </c>
      <c r="AWE58" s="218">
        <f>3730817*12.3608</f>
        <v>46115882.773599997</v>
      </c>
      <c r="AWF58" s="218">
        <f>3730817*12.1252</f>
        <v>45236902.288400002</v>
      </c>
      <c r="AWG58" s="218">
        <f>3730817*12.043</f>
        <v>44930229.130999997</v>
      </c>
      <c r="AWH58" s="218">
        <f>3730817*12.0634</f>
        <v>45006337.797799997</v>
      </c>
      <c r="AWI58" s="218">
        <f>3730817*11.8002</f>
        <v>44024386.763400003</v>
      </c>
      <c r="AWJ58" s="218">
        <f>3730817*11.737</f>
        <v>43788599.129000001</v>
      </c>
      <c r="AWK58" s="218">
        <f>3730817*11.9563</f>
        <v>44606767.2971</v>
      </c>
      <c r="AWL58" s="218">
        <f>3730817*12.0754</f>
        <v>45051107.601800002</v>
      </c>
      <c r="AWM58" s="218">
        <f>3730817*12.1658</f>
        <v>45388373.4586</v>
      </c>
      <c r="AWN58" s="218">
        <f>3730817*12.1906</f>
        <v>45480897.720200002</v>
      </c>
      <c r="AWO58" s="218">
        <f>3730817*12.289</f>
        <v>45848010.112999998</v>
      </c>
      <c r="AWP58" s="218">
        <f>3730817*12.2892</f>
        <v>45848756.2764</v>
      </c>
      <c r="AWQ58" s="218">
        <f>3730817*12.2387</f>
        <v>45660350.017899998</v>
      </c>
      <c r="AWR58" s="218">
        <f>3730817*12.0798</f>
        <v>45067523.196600005</v>
      </c>
      <c r="AWT58" s="218">
        <f>3799772*11.9242</f>
        <v>45309241.282400005</v>
      </c>
      <c r="AWU58" s="218">
        <f>3799772*11.873</f>
        <v>45114692.956</v>
      </c>
      <c r="AWV58" s="218">
        <f>3799772*11.8167</f>
        <v>44900765.792400002</v>
      </c>
      <c r="AWW58" s="218">
        <f>3799772*11.6</f>
        <v>44077355.199999996</v>
      </c>
      <c r="AWX58" s="218">
        <f>3799772*11.2232</f>
        <v>42645601.110399999</v>
      </c>
      <c r="AWY58" s="218">
        <f>3799772*11.4337</f>
        <v>43445453.116400003</v>
      </c>
      <c r="AWZ58" s="218">
        <f>3799772*11.6019</f>
        <v>44084574.766800001</v>
      </c>
      <c r="AXA58" s="218">
        <f>3799772*11.5779</f>
        <v>43993380.238799997</v>
      </c>
      <c r="AXB58" s="218">
        <f>3799772*11.461</f>
        <v>43549186.892000005</v>
      </c>
      <c r="AXC58" s="218">
        <f>3799772*11.5572</f>
        <v>43914724.958399996</v>
      </c>
      <c r="AXD58" s="218">
        <f>3799772*11.5225</f>
        <v>43782872.870000005</v>
      </c>
      <c r="AXE58" s="218">
        <f>3799772*11.497</f>
        <v>43685978.684</v>
      </c>
      <c r="AXF58" s="218">
        <f>3799772*11.4575</f>
        <v>43535887.689999998</v>
      </c>
      <c r="AXG58" s="218">
        <f>3799772*11.7136</f>
        <v>44509009.299199998</v>
      </c>
      <c r="AXH58" s="218">
        <f>3799772*11.6029</f>
        <v>44088374.538800001</v>
      </c>
      <c r="AXI58" s="218">
        <f>3799772*11.5258</f>
        <v>43795412.117600001</v>
      </c>
      <c r="AXJ58" s="218">
        <f>3799772*11.4818</f>
        <v>43628222.149599999</v>
      </c>
      <c r="AXK58" s="218">
        <f>3799772*11.4818</f>
        <v>43628222.149599999</v>
      </c>
      <c r="AXL58" s="218">
        <f>3799772*11.7286</f>
        <v>44566005.879200004</v>
      </c>
      <c r="AXM58" s="218">
        <f>3799772*11.5664</f>
        <v>43949682.860799998</v>
      </c>
      <c r="AXN58" s="218">
        <f>3799772*11.6352</f>
        <v>44211107.174399994</v>
      </c>
      <c r="AXO58" s="218">
        <f>3799772*11.5336</f>
        <v>43825050.339199997</v>
      </c>
      <c r="AXP58" s="218">
        <f>3799772*11.4471</f>
        <v>43496370.0612</v>
      </c>
      <c r="AXQ58" s="218">
        <f>3799772*11.2274</f>
        <v>42661560.152800001</v>
      </c>
      <c r="AXR58" s="218">
        <f>3799772*11.164</f>
        <v>42420654.607999995</v>
      </c>
      <c r="AXS58" s="218">
        <f>3799772*11.2812</f>
        <v>42865987.886399999</v>
      </c>
      <c r="AXT58" s="218">
        <f>3799772*11.1915</f>
        <v>42525148.338</v>
      </c>
      <c r="AXU58" s="218">
        <f>3799772*11.0889</f>
        <v>42135291.730800003</v>
      </c>
      <c r="AXV58" s="218">
        <f>3799772*11.0889</f>
        <v>42135291.730800003</v>
      </c>
      <c r="AXW58" s="218">
        <f>3799772*11.1123</f>
        <v>42224206.395599999</v>
      </c>
      <c r="AXX58" s="218">
        <f>3799772*11.3388</f>
        <v>43084854.753600001</v>
      </c>
      <c r="AXY58" s="218">
        <f>3799772*11.3979</f>
        <v>43309421.278800003</v>
      </c>
      <c r="AXZ58" s="218">
        <f>3799772*11.3506</f>
        <v>43129692.063199997</v>
      </c>
      <c r="AYA58" s="218">
        <f>3799772*11.2761</f>
        <v>42846609.049199998</v>
      </c>
      <c r="AYB58" s="218">
        <f>3799772*11.2016</f>
        <v>42563526.0352</v>
      </c>
      <c r="AYC58" s="218">
        <f>3799772*11.1713</f>
        <v>42448392.943599999</v>
      </c>
      <c r="AYD58" s="218">
        <f>3799772*11.3025</f>
        <v>42946923.030000001</v>
      </c>
      <c r="AYE58" s="218">
        <f>3799772*11.2155</f>
        <v>42616342.866000004</v>
      </c>
      <c r="AYF58" s="218">
        <f>3799772*11.1819</f>
        <v>42488670.526799999</v>
      </c>
      <c r="AYG58" s="218">
        <f>3799772*11.1789</f>
        <v>42477271.2108</v>
      </c>
      <c r="AYH58" s="218">
        <f>3799772*11.1573</f>
        <v>42395196.135600001</v>
      </c>
      <c r="AYI58" s="218">
        <f>3799772*11.1128</f>
        <v>42226106.281599998</v>
      </c>
      <c r="AYJ58" s="218">
        <f>3799772*11.1143</f>
        <v>42231805.939599998</v>
      </c>
      <c r="AYK58" s="218">
        <f>3799772*11.1593</f>
        <v>42402795.6796</v>
      </c>
      <c r="AYL58" s="218">
        <f>3799772*11.1179</f>
        <v>42245485.118799999</v>
      </c>
      <c r="AYM58" s="218">
        <f>3799772*11.1625</f>
        <v>42414954.949999996</v>
      </c>
      <c r="AYN58" s="218">
        <f>3799772*11.0876</f>
        <v>42130352.027199998</v>
      </c>
      <c r="AYO58" s="218">
        <f>3799772*11.0101</f>
        <v>41835869.6972</v>
      </c>
      <c r="AYP58" s="218">
        <f>3799772*11.0772</f>
        <v>42090834.398400001</v>
      </c>
      <c r="AYQ58" s="218">
        <f>3799772*11.0802</f>
        <v>42102233.714400001</v>
      </c>
      <c r="AYR58" s="218">
        <f>3799772*11.1014</f>
        <v>42182788.880800001</v>
      </c>
      <c r="AYS58" s="218">
        <f>3799772*11.0504</f>
        <v>41989000.5088</v>
      </c>
      <c r="AYT58" s="218">
        <f>3799772*10.894</f>
        <v>41394716.167999998</v>
      </c>
      <c r="AYU58" s="218">
        <f>3799772*10.8897</f>
        <v>41378377.148400001</v>
      </c>
      <c r="AYV58" s="218">
        <f>3799772*10.9452</f>
        <v>41589264.494400002</v>
      </c>
      <c r="AYW58" s="218">
        <f>3799772*10.9128</f>
        <v>41466151.8816</v>
      </c>
      <c r="AYX58" s="218">
        <f>3799772*10.8685</f>
        <v>41297821.981999993</v>
      </c>
      <c r="AYY58" s="218">
        <f>3799772*11.0208</f>
        <v>41876527.257599995</v>
      </c>
      <c r="AYZ58" s="218">
        <f>3799772*11.011</f>
        <v>41839289.491999999</v>
      </c>
      <c r="AZA58" s="218">
        <f>3799772*10.9784</f>
        <v>41715416.924800001</v>
      </c>
      <c r="AZB58" s="218">
        <f>3621560.37*10.9057</f>
        <v>39495650.927109003</v>
      </c>
      <c r="AZC58" s="218">
        <f>3621560.37*10.9317</f>
        <v>39589811.496729001</v>
      </c>
      <c r="AZD58" s="218">
        <f>3621560.37*10.8979</f>
        <v>39467402.756223001</v>
      </c>
      <c r="AZE58" s="218">
        <f>3621560.37*10.921</f>
        <v>39551060.80077</v>
      </c>
      <c r="AZF58" s="218">
        <f>3621560.37*10.8728</f>
        <v>39376501.590935998</v>
      </c>
      <c r="AZG58" s="218">
        <f>3621560.37*10.8605</f>
        <v>39331956.398385003</v>
      </c>
      <c r="AZH58" s="218">
        <f>3621560.37*10.9021</f>
        <v>39482613.309777007</v>
      </c>
      <c r="AZI58" s="218">
        <f>3621560.37*10.8691</f>
        <v>39363101.817566998</v>
      </c>
      <c r="AZJ58" s="218">
        <f>3621560.37*10.9657</f>
        <v>39712944.549309</v>
      </c>
      <c r="AZK58" s="218">
        <f>3621560.37*10.9069</f>
        <v>39499996.799552999</v>
      </c>
      <c r="AZL58" s="218">
        <f>3621560.37*10.9343</f>
        <v>39599227.553691</v>
      </c>
      <c r="AZM58" s="218">
        <f>3621560.37*10.9433</f>
        <v>39631821.597021006</v>
      </c>
      <c r="AZN58" s="218">
        <f>3621560.37*10.9298</f>
        <v>39582930.532026</v>
      </c>
      <c r="AZO58" s="218">
        <f>3621560.37*10.9384</f>
        <v>39614075.951208003</v>
      </c>
      <c r="AZP58" s="218">
        <f>3621560.37*10.9465</f>
        <v>39643410.590204999</v>
      </c>
      <c r="AZQ58" s="218">
        <f>3621560.37*10.9852</f>
        <v>39783564.976524003</v>
      </c>
      <c r="AZR58" s="218">
        <f>3621560.37*10.9947</f>
        <v>39817969.800039001</v>
      </c>
      <c r="AZS58" s="218">
        <f>3621560.37*10.9808</f>
        <v>39767630.110895999</v>
      </c>
      <c r="AZT58" s="218">
        <f>3621560.37*10.8597</f>
        <v>39329059.150089003</v>
      </c>
      <c r="AZU58" s="218">
        <f>3621848.11*10.8494</f>
        <v>39294878.884633996</v>
      </c>
      <c r="AZV58" s="218">
        <f>3621848.11*10.8185</f>
        <v>39182963.778035</v>
      </c>
      <c r="AZW58" s="218">
        <f>3621848.11*10.8435</f>
        <v>39273509.980784997</v>
      </c>
      <c r="AZX58" s="218">
        <f>3621848.11*10.8932</f>
        <v>39453515.831851996</v>
      </c>
      <c r="AZY58" s="218">
        <f>3621848.11*10.8353</f>
        <v>39243810.826283</v>
      </c>
      <c r="AZZ58" s="218">
        <f>3621848.11*10.8414</f>
        <v>39265904.099753998</v>
      </c>
      <c r="BAA58" s="218">
        <f>3621848.11*10.8787</f>
        <v>39400999.034257002</v>
      </c>
      <c r="BAB58" s="218">
        <f>3621848.11*10.8959</f>
        <v>39463294.821748994</v>
      </c>
      <c r="BAC58" s="218">
        <f>3621848.11*10.891</f>
        <v>39445547.766010001</v>
      </c>
      <c r="BAD58" s="218">
        <f>3621848.11*10.8829</f>
        <v>39416210.796318993</v>
      </c>
      <c r="BAE58" s="218">
        <f>3621848.11*10.9593</f>
        <v>39692919.991923004</v>
      </c>
      <c r="BAF58" s="218">
        <f>3621848.11*11.0652</f>
        <v>40076473.706772</v>
      </c>
      <c r="BAG58" s="218">
        <f>3621848.11*11.0659</f>
        <v>40079009.000448994</v>
      </c>
      <c r="BAH58" s="218">
        <f>3621848.11*11.1209</f>
        <v>40278210.646499</v>
      </c>
      <c r="BAI58" s="218">
        <f>3621848.11*11.427</f>
        <v>41386858.352969997</v>
      </c>
      <c r="BAJ58" s="218">
        <f>3621848.11*11.3683</f>
        <v>41174255.868912995</v>
      </c>
      <c r="BAK58" s="218">
        <f>3621848.11*11.3683</f>
        <v>41174255.868912995</v>
      </c>
      <c r="BAL58" s="218">
        <f>3621848.11*11.0899</f>
        <v>40165933.355089001</v>
      </c>
      <c r="BAM58" s="218">
        <f>3621848.11*11.067</f>
        <v>40082993.033369996</v>
      </c>
      <c r="BAN58" s="218">
        <f>3621848.11*11.1165</f>
        <v>40262274.514815003</v>
      </c>
      <c r="BAO58" s="218">
        <f>3621848.11*11.121</f>
        <v>40278572.831309997</v>
      </c>
    </row>
    <row r="59" spans="1:1395" s="218" customFormat="1" ht="19.5" customHeight="1" x14ac:dyDescent="0.2">
      <c r="A59" s="446" t="s">
        <v>168</v>
      </c>
      <c r="B59" s="217" t="s">
        <v>189</v>
      </c>
      <c r="C59" s="218">
        <v>3000000</v>
      </c>
      <c r="D59" s="218">
        <v>3000000</v>
      </c>
      <c r="E59" s="218">
        <v>3000000</v>
      </c>
      <c r="W59" s="218">
        <v>3500000</v>
      </c>
      <c r="X59" s="218">
        <v>3500000</v>
      </c>
      <c r="Y59" s="218">
        <v>3500000</v>
      </c>
      <c r="Z59" s="218">
        <v>3500000</v>
      </c>
      <c r="AA59" s="218">
        <v>3500000</v>
      </c>
      <c r="EC59" s="218">
        <v>1000000</v>
      </c>
      <c r="ED59" s="218">
        <v>1000000</v>
      </c>
      <c r="EE59" s="218">
        <v>1000000</v>
      </c>
      <c r="EF59" s="218">
        <v>1000000</v>
      </c>
      <c r="EG59" s="218">
        <v>1000000</v>
      </c>
      <c r="EH59" s="218">
        <v>1000000</v>
      </c>
      <c r="EI59" s="218">
        <v>1000000</v>
      </c>
      <c r="GI59" s="218">
        <v>5800000</v>
      </c>
      <c r="GJ59" s="218">
        <v>5800000</v>
      </c>
      <c r="GK59" s="218">
        <v>5800000</v>
      </c>
      <c r="GL59" s="218">
        <v>5800000</v>
      </c>
      <c r="GM59" s="218">
        <v>5800000</v>
      </c>
      <c r="QY59" s="218">
        <v>29817360</v>
      </c>
      <c r="RE59" s="300"/>
      <c r="RF59" s="300"/>
      <c r="RG59" s="300"/>
      <c r="RH59" s="300"/>
      <c r="RI59" s="300"/>
      <c r="RJ59" s="300"/>
      <c r="RR59" s="300"/>
      <c r="RS59" s="300"/>
      <c r="RT59" s="300"/>
      <c r="UE59" s="218">
        <v>6100000</v>
      </c>
      <c r="UI59" s="218">
        <v>4700000</v>
      </c>
      <c r="UK59" s="218">
        <v>4800000</v>
      </c>
      <c r="UL59" s="218">
        <v>4800000</v>
      </c>
      <c r="UM59" s="218">
        <v>4800000</v>
      </c>
      <c r="YZ59" s="427"/>
      <c r="ZB59" s="427"/>
      <c r="ZC59" s="427"/>
      <c r="ZD59" s="427"/>
      <c r="ZH59" s="427"/>
    </row>
    <row r="60" spans="1:1395" s="218" customFormat="1" ht="17.25" customHeight="1" x14ac:dyDescent="0.2">
      <c r="A60" s="314"/>
      <c r="B60" s="217"/>
      <c r="ER60" s="218">
        <v>5000000</v>
      </c>
      <c r="ES60" s="218">
        <v>5000000</v>
      </c>
      <c r="GW60" s="278"/>
      <c r="PJ60" s="189"/>
      <c r="RE60" s="300"/>
      <c r="RF60" s="300"/>
      <c r="RG60" s="300"/>
      <c r="RH60" s="300"/>
      <c r="RI60" s="300"/>
      <c r="RJ60" s="300"/>
      <c r="RR60" s="300"/>
      <c r="RS60" s="300"/>
      <c r="RT60" s="300"/>
      <c r="YZ60" s="427"/>
      <c r="ZB60" s="427"/>
      <c r="ZD60" s="427"/>
      <c r="ZJ60" s="427"/>
    </row>
    <row r="61" spans="1:1395" s="223" customFormat="1" ht="21" customHeight="1" x14ac:dyDescent="0.2">
      <c r="A61" s="477" t="s">
        <v>81</v>
      </c>
      <c r="B61" s="477"/>
      <c r="FB61" s="223">
        <f t="shared" ref="FB61:HM61" si="59">FB56+FB43+FB35+FB32</f>
        <v>783627428.62</v>
      </c>
      <c r="FC61" s="223">
        <f t="shared" si="59"/>
        <v>786663276.72000003</v>
      </c>
      <c r="FD61" s="223">
        <f t="shared" si="59"/>
        <v>786663276.72000003</v>
      </c>
      <c r="FE61" s="223">
        <f t="shared" si="59"/>
        <v>786663276.72000003</v>
      </c>
      <c r="FF61" s="223">
        <f t="shared" si="59"/>
        <v>789394997.93999994</v>
      </c>
      <c r="FG61" s="223">
        <f t="shared" si="59"/>
        <v>883660484.63999999</v>
      </c>
      <c r="FH61" s="223">
        <f t="shared" si="59"/>
        <v>885037902.00999999</v>
      </c>
      <c r="FI61" s="223">
        <f t="shared" si="59"/>
        <v>874098931.04999995</v>
      </c>
      <c r="FJ61" s="223">
        <f t="shared" si="59"/>
        <v>889683864.64999998</v>
      </c>
      <c r="FK61" s="223">
        <f t="shared" si="59"/>
        <v>873885137.46000004</v>
      </c>
      <c r="FL61" s="223">
        <f t="shared" si="59"/>
        <v>873798447.03999996</v>
      </c>
      <c r="FM61" s="223">
        <f t="shared" si="59"/>
        <v>886614816.03999996</v>
      </c>
      <c r="FN61" s="223">
        <f t="shared" si="59"/>
        <v>888198603.43999994</v>
      </c>
      <c r="FO61" s="223">
        <f t="shared" si="59"/>
        <v>875074132.14999998</v>
      </c>
      <c r="FP61" s="223">
        <f t="shared" si="59"/>
        <v>874715982.00999999</v>
      </c>
      <c r="FQ61" s="223">
        <f t="shared" si="59"/>
        <v>874715982.00999999</v>
      </c>
      <c r="FR61" s="223">
        <f t="shared" si="59"/>
        <v>877459418.49000001</v>
      </c>
      <c r="FS61" s="223">
        <f t="shared" si="59"/>
        <v>876588303.49000001</v>
      </c>
      <c r="FT61" s="223">
        <f t="shared" si="59"/>
        <v>884047029.5</v>
      </c>
      <c r="FU61" s="223">
        <f t="shared" si="59"/>
        <v>876336037.53999996</v>
      </c>
      <c r="FV61" s="223">
        <f t="shared" si="59"/>
        <v>874308086.52999997</v>
      </c>
      <c r="FW61" s="223">
        <f t="shared" si="59"/>
        <v>877808086.52999997</v>
      </c>
      <c r="FX61" s="223">
        <f t="shared" si="59"/>
        <v>877799624.16999996</v>
      </c>
      <c r="FY61" s="223">
        <f t="shared" si="59"/>
        <v>889726752.99000001</v>
      </c>
      <c r="FZ61" s="223">
        <f t="shared" si="59"/>
        <v>875037515.36000001</v>
      </c>
      <c r="GA61" s="223">
        <f t="shared" si="59"/>
        <v>875037504.36000001</v>
      </c>
      <c r="GB61" s="223">
        <f t="shared" si="59"/>
        <v>935617527.32000005</v>
      </c>
      <c r="GC61" s="223">
        <f t="shared" si="59"/>
        <v>935642501.2700001</v>
      </c>
      <c r="GD61" s="223">
        <f t="shared" si="59"/>
        <v>935390490.89999998</v>
      </c>
      <c r="GE61" s="223">
        <f t="shared" si="59"/>
        <v>946802808.27999997</v>
      </c>
      <c r="GF61" s="223">
        <f t="shared" si="59"/>
        <v>946695448.7299999</v>
      </c>
      <c r="GG61" s="223">
        <f t="shared" si="59"/>
        <v>948259352.24000001</v>
      </c>
      <c r="GH61" s="223">
        <f t="shared" si="59"/>
        <v>945991789.21000004</v>
      </c>
      <c r="GI61" s="223">
        <f t="shared" si="59"/>
        <v>935895178.40999997</v>
      </c>
      <c r="GJ61" s="223">
        <f t="shared" si="59"/>
        <v>953591044.40999997</v>
      </c>
      <c r="GK61" s="223">
        <f t="shared" si="59"/>
        <v>951595759.37</v>
      </c>
      <c r="GL61" s="223">
        <f t="shared" si="59"/>
        <v>949096701.71999991</v>
      </c>
      <c r="GM61" s="223">
        <f t="shared" si="59"/>
        <v>944555917.9000001</v>
      </c>
      <c r="GN61" s="223">
        <f t="shared" si="59"/>
        <v>946998745.87</v>
      </c>
      <c r="GO61" s="223">
        <f t="shared" si="59"/>
        <v>986998710.87</v>
      </c>
      <c r="GP61" s="223">
        <f t="shared" si="59"/>
        <v>986941076.94000006</v>
      </c>
      <c r="GQ61" s="223">
        <f t="shared" si="59"/>
        <v>991803587.94000006</v>
      </c>
      <c r="GR61" s="223">
        <f t="shared" si="59"/>
        <v>988827901.97000003</v>
      </c>
      <c r="GS61" s="223">
        <f t="shared" si="59"/>
        <v>989885410.97000003</v>
      </c>
      <c r="GT61" s="223">
        <f t="shared" si="59"/>
        <v>989358972.82000005</v>
      </c>
      <c r="GU61" s="223">
        <f t="shared" si="59"/>
        <v>988542525.51999998</v>
      </c>
      <c r="GV61" s="223">
        <f t="shared" si="59"/>
        <v>986620053.59000003</v>
      </c>
      <c r="GW61" s="223">
        <f t="shared" si="59"/>
        <v>987058842.84000003</v>
      </c>
      <c r="GX61" s="223">
        <f t="shared" si="59"/>
        <v>988155165.81999993</v>
      </c>
      <c r="GY61" s="223">
        <f t="shared" si="59"/>
        <v>1022800736.6099999</v>
      </c>
      <c r="GZ61" s="223">
        <f t="shared" si="59"/>
        <v>1020691227.48</v>
      </c>
      <c r="HA61" s="223">
        <f t="shared" si="59"/>
        <v>1021798073.4300001</v>
      </c>
      <c r="HB61" s="223">
        <f t="shared" si="59"/>
        <v>1021728247.4</v>
      </c>
      <c r="HC61" s="223">
        <f t="shared" si="59"/>
        <v>1034990480.3000001</v>
      </c>
      <c r="HD61" s="223">
        <f t="shared" si="59"/>
        <v>1032260854.5699999</v>
      </c>
      <c r="HE61" s="223">
        <f t="shared" si="59"/>
        <v>1046352669.6999999</v>
      </c>
      <c r="HF61" s="223">
        <f t="shared" si="59"/>
        <v>1031792754.8099999</v>
      </c>
      <c r="HG61" s="223">
        <f t="shared" si="59"/>
        <v>1025050108.66</v>
      </c>
      <c r="HH61" s="223">
        <f t="shared" si="59"/>
        <v>1026199864.87</v>
      </c>
      <c r="HI61" s="223">
        <f t="shared" si="59"/>
        <v>1101252274.6600001</v>
      </c>
      <c r="HJ61" s="223">
        <f t="shared" si="59"/>
        <v>1107906595.55</v>
      </c>
      <c r="HK61" s="223">
        <f t="shared" si="59"/>
        <v>1102131577.48</v>
      </c>
      <c r="HL61" s="223">
        <f t="shared" si="59"/>
        <v>1102358462.8800001</v>
      </c>
      <c r="HM61" s="223">
        <f t="shared" si="59"/>
        <v>1105959330.54</v>
      </c>
      <c r="HN61" s="223">
        <f t="shared" ref="HN61:JY61" si="60">HN56+HN43+HN35+HN32</f>
        <v>1120612201.6100001</v>
      </c>
      <c r="HO61" s="223">
        <f t="shared" si="60"/>
        <v>1120612201.6100001</v>
      </c>
      <c r="HP61" s="223">
        <f t="shared" si="60"/>
        <v>1105386672.53</v>
      </c>
      <c r="HQ61" s="223">
        <f t="shared" si="60"/>
        <v>1102196998.46</v>
      </c>
      <c r="HR61" s="223">
        <f t="shared" si="60"/>
        <v>1102357800.3699999</v>
      </c>
      <c r="HS61" s="223">
        <f t="shared" si="60"/>
        <v>1102586911.4299998</v>
      </c>
      <c r="HT61" s="223">
        <f t="shared" si="60"/>
        <v>1102106548.01</v>
      </c>
      <c r="HU61" s="223">
        <f t="shared" si="60"/>
        <v>1103422284.8700001</v>
      </c>
      <c r="HV61" s="223">
        <f t="shared" si="60"/>
        <v>1103156687.8800001</v>
      </c>
      <c r="HW61" s="223">
        <f t="shared" si="60"/>
        <v>1104261646.8399999</v>
      </c>
      <c r="HX61" s="223">
        <f t="shared" si="60"/>
        <v>1103258799.8299999</v>
      </c>
      <c r="HY61" s="223">
        <f t="shared" si="60"/>
        <v>1114709670.2299998</v>
      </c>
      <c r="HZ61" s="223">
        <f t="shared" si="60"/>
        <v>1109901654.3400002</v>
      </c>
      <c r="IA61" s="223">
        <f t="shared" si="60"/>
        <v>1113782889.71</v>
      </c>
      <c r="IB61" s="223">
        <f t="shared" si="60"/>
        <v>1108073617.1900001</v>
      </c>
      <c r="IC61" s="223">
        <f t="shared" si="60"/>
        <v>1114080115.46</v>
      </c>
      <c r="ID61" s="223">
        <f t="shared" si="60"/>
        <v>1109228034.0999999</v>
      </c>
      <c r="IE61" s="223">
        <f t="shared" si="60"/>
        <v>1110012114.7</v>
      </c>
      <c r="IF61" s="223">
        <f t="shared" si="60"/>
        <v>1109995114.1059999</v>
      </c>
      <c r="IG61" s="223">
        <f t="shared" si="60"/>
        <v>1114393458.8600001</v>
      </c>
      <c r="IH61" s="223">
        <f t="shared" si="60"/>
        <v>1114253624.5120001</v>
      </c>
      <c r="II61" s="223">
        <f t="shared" si="60"/>
        <v>1115318502.7019999</v>
      </c>
      <c r="IJ61" s="223">
        <f t="shared" si="60"/>
        <v>1177651978.072</v>
      </c>
      <c r="IK61" s="223">
        <f t="shared" si="60"/>
        <v>1174569473.5799999</v>
      </c>
      <c r="IL61" s="223">
        <f t="shared" si="60"/>
        <v>1174557824.3500001</v>
      </c>
      <c r="IM61" s="223">
        <f t="shared" si="60"/>
        <v>1177876160.3399999</v>
      </c>
      <c r="IN61" s="223">
        <f t="shared" si="60"/>
        <v>1173661331.3399999</v>
      </c>
      <c r="IO61" s="223">
        <f t="shared" si="60"/>
        <v>1174041045.54</v>
      </c>
      <c r="IP61" s="223">
        <f t="shared" si="60"/>
        <v>1187200742.95</v>
      </c>
      <c r="IQ61" s="223">
        <f t="shared" si="60"/>
        <v>1187200742.95</v>
      </c>
      <c r="IR61" s="223">
        <f t="shared" si="60"/>
        <v>1192878765.1999998</v>
      </c>
      <c r="IS61" s="223">
        <f t="shared" si="60"/>
        <v>1188635213.02</v>
      </c>
      <c r="IT61" s="223">
        <f t="shared" si="60"/>
        <v>1191085663.4199998</v>
      </c>
      <c r="IU61" s="223">
        <f t="shared" si="60"/>
        <v>1191060498.6599998</v>
      </c>
      <c r="IV61" s="223">
        <f t="shared" si="60"/>
        <v>1188183596.27</v>
      </c>
      <c r="IW61" s="223">
        <f t="shared" si="60"/>
        <v>1193737048.3200002</v>
      </c>
      <c r="IX61" s="223">
        <f t="shared" si="60"/>
        <v>1193737048.3200002</v>
      </c>
      <c r="IY61" s="223">
        <f t="shared" si="60"/>
        <v>1194925371.8000002</v>
      </c>
      <c r="IZ61" s="223">
        <f t="shared" si="60"/>
        <v>1194223864.29</v>
      </c>
      <c r="JA61" s="223">
        <f t="shared" si="60"/>
        <v>1197789009.6500001</v>
      </c>
      <c r="JB61" s="223">
        <f t="shared" si="60"/>
        <v>210631963.61000001</v>
      </c>
      <c r="JC61" s="223">
        <f t="shared" si="60"/>
        <v>209362720.83000001</v>
      </c>
      <c r="JD61" s="223">
        <f t="shared" si="60"/>
        <v>207368145.74000001</v>
      </c>
      <c r="JE61" s="223">
        <f t="shared" si="60"/>
        <v>1208877633.4099998</v>
      </c>
      <c r="JF61" s="223">
        <f t="shared" si="60"/>
        <v>1208834977.6100001</v>
      </c>
      <c r="JG61" s="223">
        <f t="shared" si="60"/>
        <v>1208808175.47</v>
      </c>
      <c r="JH61" s="223">
        <f t="shared" si="60"/>
        <v>1208717965.6200001</v>
      </c>
      <c r="JI61" s="223">
        <f t="shared" si="60"/>
        <v>1208717965.6200001</v>
      </c>
      <c r="JJ61" s="223">
        <f t="shared" si="60"/>
        <v>1371581576.9165201</v>
      </c>
      <c r="JK61" s="223">
        <f t="shared" si="60"/>
        <v>1368757790.0646851</v>
      </c>
      <c r="JL61" s="223">
        <f t="shared" si="60"/>
        <v>1383395628.2968469</v>
      </c>
      <c r="JM61" s="223">
        <f t="shared" si="60"/>
        <v>1384345358.3053</v>
      </c>
      <c r="JN61" s="223">
        <f t="shared" si="60"/>
        <v>1357681127.5899999</v>
      </c>
      <c r="JO61" s="223">
        <f t="shared" si="60"/>
        <v>1357602090.1100001</v>
      </c>
      <c r="JP61" s="223">
        <f t="shared" si="60"/>
        <v>1357608890.1100001</v>
      </c>
      <c r="JQ61" s="223">
        <f t="shared" si="60"/>
        <v>1365005103.46</v>
      </c>
      <c r="JR61" s="223">
        <f t="shared" si="60"/>
        <v>1358350749.1500001</v>
      </c>
      <c r="JS61" s="223">
        <f t="shared" si="60"/>
        <v>1358350749.1500001</v>
      </c>
      <c r="JT61" s="223">
        <f t="shared" si="60"/>
        <v>1371171078.53</v>
      </c>
      <c r="JU61" s="223">
        <f t="shared" si="60"/>
        <v>1375366254.55</v>
      </c>
      <c r="JV61" s="223">
        <f t="shared" si="60"/>
        <v>1374864614.22</v>
      </c>
      <c r="JW61" s="223">
        <f t="shared" si="60"/>
        <v>1378235217.1425869</v>
      </c>
      <c r="JX61" s="223">
        <f t="shared" si="60"/>
        <v>1377244548.2868681</v>
      </c>
      <c r="JY61" s="223">
        <f t="shared" si="60"/>
        <v>1377212220.277724</v>
      </c>
      <c r="JZ61" s="223">
        <f t="shared" ref="JZ61:MK61" si="61">JZ56+JZ43+JZ35+JZ32</f>
        <v>1378594575.4204021</v>
      </c>
      <c r="KA61" s="223">
        <f t="shared" si="61"/>
        <v>1373030210.014401</v>
      </c>
      <c r="KB61" s="223">
        <f t="shared" si="61"/>
        <v>1360183426.0699999</v>
      </c>
      <c r="KC61" s="223">
        <f t="shared" si="61"/>
        <v>1362903332.6300001</v>
      </c>
      <c r="KD61" s="223">
        <f t="shared" si="61"/>
        <v>1362836600.6300001</v>
      </c>
      <c r="KE61" s="223">
        <f t="shared" si="61"/>
        <v>1371588432.76</v>
      </c>
      <c r="KF61" s="223">
        <f t="shared" si="61"/>
        <v>1370958695.47</v>
      </c>
      <c r="KG61" s="223">
        <f t="shared" si="61"/>
        <v>1360890579.8400002</v>
      </c>
      <c r="KH61" s="223">
        <f t="shared" si="61"/>
        <v>1361655999.54</v>
      </c>
      <c r="KI61" s="223">
        <f t="shared" si="61"/>
        <v>1388277297.9599998</v>
      </c>
      <c r="KJ61" s="223">
        <f t="shared" si="61"/>
        <v>1388277297.9599998</v>
      </c>
      <c r="KK61" s="223">
        <f t="shared" si="61"/>
        <v>1387230312.4599998</v>
      </c>
      <c r="KL61" s="223">
        <f t="shared" si="61"/>
        <v>1388194291.8599999</v>
      </c>
      <c r="KM61" s="223">
        <f t="shared" si="61"/>
        <v>1388061501.96</v>
      </c>
      <c r="KN61" s="223">
        <f t="shared" si="61"/>
        <v>1389833510.7313998</v>
      </c>
      <c r="KO61" s="223">
        <f t="shared" si="61"/>
        <v>1372938286.3800001</v>
      </c>
      <c r="KP61" s="223">
        <f t="shared" si="61"/>
        <v>1371506066.47</v>
      </c>
      <c r="KQ61" s="223">
        <f t="shared" si="61"/>
        <v>1369566927.9400001</v>
      </c>
      <c r="KR61" s="223">
        <f t="shared" si="61"/>
        <v>1372134279.3499999</v>
      </c>
      <c r="KS61" s="223">
        <f t="shared" si="61"/>
        <v>1456545708.22</v>
      </c>
      <c r="KT61" s="223">
        <f t="shared" si="61"/>
        <v>1455522444.1500001</v>
      </c>
      <c r="KU61" s="223">
        <f t="shared" si="61"/>
        <v>1456137751.73</v>
      </c>
      <c r="KV61" s="223">
        <f t="shared" si="61"/>
        <v>1456586434.6099999</v>
      </c>
      <c r="KW61" s="223">
        <f t="shared" si="61"/>
        <v>1456254448.8099999</v>
      </c>
      <c r="KX61" s="223">
        <f t="shared" si="61"/>
        <v>1469540577.8099999</v>
      </c>
      <c r="KY61" s="223">
        <f t="shared" si="61"/>
        <v>1468224102.6200001</v>
      </c>
      <c r="KZ61" s="223">
        <f t="shared" si="61"/>
        <v>1459803263.78</v>
      </c>
      <c r="LA61" s="223">
        <f t="shared" si="61"/>
        <v>1455449854.6900001</v>
      </c>
      <c r="LB61" s="223">
        <f t="shared" si="61"/>
        <v>1457558967.6300001</v>
      </c>
      <c r="LC61" s="223">
        <f t="shared" si="61"/>
        <v>1457551293.9300001</v>
      </c>
      <c r="LD61" s="223">
        <f t="shared" si="61"/>
        <v>1465633120.9300001</v>
      </c>
      <c r="LE61" s="223">
        <f t="shared" si="61"/>
        <v>1465185648.24</v>
      </c>
      <c r="LF61" s="223">
        <f t="shared" si="61"/>
        <v>1479599298.8399999</v>
      </c>
      <c r="LG61" s="223">
        <f t="shared" si="61"/>
        <v>1478720018.5699999</v>
      </c>
      <c r="LH61" s="223">
        <f t="shared" si="61"/>
        <v>1478720018.5699999</v>
      </c>
      <c r="LI61" s="223">
        <f t="shared" si="61"/>
        <v>1478579927.9419999</v>
      </c>
      <c r="LJ61" s="223">
        <f t="shared" si="61"/>
        <v>1492368609.1668</v>
      </c>
      <c r="LK61" s="223">
        <f t="shared" si="61"/>
        <v>1474838881.29</v>
      </c>
      <c r="LL61" s="223">
        <f t="shared" si="61"/>
        <v>1459395125.26</v>
      </c>
      <c r="LM61" s="223">
        <f t="shared" si="61"/>
        <v>1459082427.47</v>
      </c>
      <c r="LN61" s="223">
        <f t="shared" si="61"/>
        <v>1459179534.3699999</v>
      </c>
      <c r="LO61" s="223">
        <f t="shared" si="61"/>
        <v>1459299200.26</v>
      </c>
      <c r="LP61" s="223">
        <f t="shared" si="61"/>
        <v>1461494145.26</v>
      </c>
      <c r="LQ61" s="223">
        <f t="shared" si="61"/>
        <v>1459009802.6599998</v>
      </c>
      <c r="LR61" s="223">
        <f t="shared" si="61"/>
        <v>1485176313.9400001</v>
      </c>
      <c r="LS61" s="223">
        <f t="shared" si="61"/>
        <v>1471836503.1287501</v>
      </c>
      <c r="LT61" s="223">
        <f t="shared" si="61"/>
        <v>1461625613.60115</v>
      </c>
      <c r="LU61" s="223">
        <f t="shared" si="61"/>
        <v>1462485123.7686751</v>
      </c>
      <c r="LV61" s="223">
        <f t="shared" si="61"/>
        <v>1461940054.271075</v>
      </c>
      <c r="LW61" s="223">
        <f t="shared" si="61"/>
        <v>1461852648.869525</v>
      </c>
      <c r="LX61" s="223">
        <f t="shared" si="61"/>
        <v>1463113456.7527251</v>
      </c>
      <c r="LY61" s="223">
        <f t="shared" si="61"/>
        <v>1461232291.59095</v>
      </c>
      <c r="LZ61" s="223">
        <f t="shared" si="61"/>
        <v>1461066037.049675</v>
      </c>
      <c r="MA61" s="223">
        <f t="shared" si="61"/>
        <v>1649392330.0581999</v>
      </c>
      <c r="MB61" s="223">
        <f t="shared" si="61"/>
        <v>1649352573.430546</v>
      </c>
      <c r="MC61" s="223">
        <f t="shared" si="61"/>
        <v>1637183830.2334228</v>
      </c>
      <c r="MD61" s="223">
        <f t="shared" si="61"/>
        <v>1635226954.3476059</v>
      </c>
      <c r="ME61" s="223">
        <f t="shared" si="61"/>
        <v>1636816136.6471641</v>
      </c>
      <c r="MF61" s="223">
        <f t="shared" si="61"/>
        <v>1634836173.1091869</v>
      </c>
      <c r="MG61" s="223">
        <f t="shared" si="61"/>
        <v>1640095406.1281698</v>
      </c>
      <c r="MH61" s="223">
        <f t="shared" si="61"/>
        <v>1640301571.5004821</v>
      </c>
      <c r="MI61" s="223">
        <f t="shared" si="61"/>
        <v>1622535215.458075</v>
      </c>
      <c r="MJ61" s="223">
        <f t="shared" si="61"/>
        <v>1622668330.2988501</v>
      </c>
      <c r="MK61" s="223">
        <f t="shared" si="61"/>
        <v>1622756300.6001749</v>
      </c>
      <c r="ML61" s="223">
        <f t="shared" ref="ML61:OW61" si="62">ML56+ML43+ML35+ML32</f>
        <v>52196808.569999993</v>
      </c>
      <c r="MM61" s="223">
        <f t="shared" si="62"/>
        <v>1633743988.915225</v>
      </c>
      <c r="MN61" s="223">
        <f t="shared" si="62"/>
        <v>1624613721.7855003</v>
      </c>
      <c r="MO61" s="223">
        <f t="shared" si="62"/>
        <v>1620577054.1296251</v>
      </c>
      <c r="MP61" s="223">
        <f t="shared" si="62"/>
        <v>1620957753.899925</v>
      </c>
      <c r="MQ61" s="223">
        <f t="shared" si="62"/>
        <v>1635815445.4288502</v>
      </c>
      <c r="MR61" s="223">
        <f t="shared" si="62"/>
        <v>1635544759.65955</v>
      </c>
      <c r="MS61" s="223">
        <f t="shared" si="62"/>
        <v>1635370943.3584499</v>
      </c>
      <c r="MT61" s="223">
        <f t="shared" si="62"/>
        <v>1635312416.8970249</v>
      </c>
      <c r="MU61" s="223">
        <f t="shared" si="62"/>
        <v>1654323006.9270251</v>
      </c>
      <c r="MV61" s="223">
        <f t="shared" si="62"/>
        <v>1667015450.5994</v>
      </c>
      <c r="MW61" s="223">
        <f t="shared" si="62"/>
        <v>1645648574.437623</v>
      </c>
      <c r="MX61" s="223">
        <f t="shared" si="62"/>
        <v>1651768517.394768</v>
      </c>
      <c r="MY61" s="223">
        <f t="shared" si="62"/>
        <v>1651542821.5301352</v>
      </c>
      <c r="MZ61" s="223">
        <f t="shared" si="62"/>
        <v>1653124449.4902022</v>
      </c>
      <c r="NA61" s="223">
        <f t="shared" si="62"/>
        <v>1639260187.1981752</v>
      </c>
      <c r="NB61" s="223">
        <f t="shared" si="62"/>
        <v>1639224457.748225</v>
      </c>
      <c r="NC61" s="223">
        <f t="shared" si="62"/>
        <v>1639324475.3806999</v>
      </c>
      <c r="ND61" s="223">
        <f t="shared" si="62"/>
        <v>1651752129.774575</v>
      </c>
      <c r="NE61" s="223">
        <f t="shared" si="62"/>
        <v>1652628294.8345749</v>
      </c>
      <c r="NF61" s="223">
        <f t="shared" si="62"/>
        <v>1658289540.6698749</v>
      </c>
      <c r="NG61" s="223">
        <f t="shared" si="62"/>
        <v>1656884448.5053251</v>
      </c>
      <c r="NH61" s="223">
        <f t="shared" si="62"/>
        <v>1645936234.3629749</v>
      </c>
      <c r="NI61" s="223">
        <f t="shared" si="62"/>
        <v>1650029024.962075</v>
      </c>
      <c r="NJ61" s="223">
        <f t="shared" si="62"/>
        <v>1659090606.3584249</v>
      </c>
      <c r="NK61" s="223">
        <f t="shared" si="62"/>
        <v>1657337929.7059739</v>
      </c>
      <c r="NL61" s="223">
        <f t="shared" si="62"/>
        <v>1656879624.7947791</v>
      </c>
      <c r="NM61" s="223">
        <f t="shared" si="62"/>
        <v>1656588933.3807771</v>
      </c>
      <c r="NN61" s="223">
        <f t="shared" si="62"/>
        <v>1655992153.2340858</v>
      </c>
      <c r="NO61" s="223">
        <f t="shared" si="62"/>
        <v>1672641609.5263259</v>
      </c>
      <c r="NP61" s="223">
        <f t="shared" si="62"/>
        <v>1609228503.0216479</v>
      </c>
      <c r="NQ61" s="223">
        <f t="shared" si="62"/>
        <v>1657177309.763732</v>
      </c>
      <c r="NR61" s="223">
        <f t="shared" si="62"/>
        <v>1645310987.49</v>
      </c>
      <c r="NS61" s="223">
        <f t="shared" si="62"/>
        <v>1644603172.45</v>
      </c>
      <c r="NT61" s="223">
        <f t="shared" si="62"/>
        <v>1644631073.6900001</v>
      </c>
      <c r="NU61" s="223">
        <f t="shared" si="62"/>
        <v>1643670424.6900001</v>
      </c>
      <c r="NV61" s="223">
        <f t="shared" si="62"/>
        <v>1642381802.5500002</v>
      </c>
      <c r="NW61" s="223">
        <f t="shared" si="62"/>
        <v>1640440704.2900002</v>
      </c>
      <c r="NX61" s="223">
        <f t="shared" si="62"/>
        <v>1640652667.3900001</v>
      </c>
      <c r="NY61" s="223">
        <f t="shared" si="62"/>
        <v>1638103137.22</v>
      </c>
      <c r="NZ61" s="223">
        <f t="shared" si="62"/>
        <v>1639839153.0957558</v>
      </c>
      <c r="OA61" s="223">
        <f t="shared" si="62"/>
        <v>1650497725.3959517</v>
      </c>
      <c r="OB61" s="223">
        <f t="shared" si="62"/>
        <v>1650676216.80744</v>
      </c>
      <c r="OC61" s="223">
        <f t="shared" si="62"/>
        <v>1649861783.5530679</v>
      </c>
      <c r="OD61" s="223">
        <f t="shared" si="62"/>
        <v>1649000101.289336</v>
      </c>
      <c r="OE61" s="223">
        <f t="shared" si="62"/>
        <v>1660959144.8854802</v>
      </c>
      <c r="OF61" s="223">
        <f t="shared" si="62"/>
        <v>1645207347.7501121</v>
      </c>
      <c r="OG61" s="223">
        <f t="shared" si="62"/>
        <v>1636062321.5229881</v>
      </c>
      <c r="OH61" s="223">
        <f t="shared" si="62"/>
        <v>1636038110.382988</v>
      </c>
      <c r="OI61" s="223">
        <f t="shared" si="62"/>
        <v>1640947891.3692918</v>
      </c>
      <c r="OJ61" s="223">
        <f t="shared" si="62"/>
        <v>1633013384.5899718</v>
      </c>
      <c r="OK61" s="223">
        <f t="shared" si="62"/>
        <v>1632808013.167712</v>
      </c>
      <c r="OL61" s="223">
        <f t="shared" si="62"/>
        <v>1632906525.0052118</v>
      </c>
      <c r="OM61" s="223">
        <f t="shared" si="62"/>
        <v>1642237747.851476</v>
      </c>
      <c r="ON61" s="223">
        <f t="shared" si="62"/>
        <v>1641931973.377512</v>
      </c>
      <c r="OO61" s="223">
        <f t="shared" si="62"/>
        <v>1641807377.0494399</v>
      </c>
      <c r="OP61" s="223">
        <f t="shared" si="62"/>
        <v>1638515650.1750801</v>
      </c>
      <c r="OQ61" s="223">
        <f t="shared" si="62"/>
        <v>1638038375.8447361</v>
      </c>
      <c r="OR61" s="223">
        <f t="shared" si="62"/>
        <v>1637374470.8973358</v>
      </c>
      <c r="OS61" s="223">
        <f t="shared" si="62"/>
        <v>1637564587.6292598</v>
      </c>
      <c r="OT61" s="223">
        <f t="shared" si="62"/>
        <v>1653733247.1705282</v>
      </c>
      <c r="OU61" s="223">
        <f t="shared" si="62"/>
        <v>1663440024.3107321</v>
      </c>
      <c r="OV61" s="223">
        <f t="shared" si="62"/>
        <v>1663325546.0400522</v>
      </c>
      <c r="OW61" s="223">
        <f t="shared" si="62"/>
        <v>1664431966.1200521</v>
      </c>
      <c r="OX61" s="223">
        <f t="shared" ref="OX61:QX61" si="63">OX56+OX43+OX35+OX32</f>
        <v>1077840187.4532599</v>
      </c>
      <c r="OY61" s="223">
        <f t="shared" si="63"/>
        <v>1049475112.389248</v>
      </c>
      <c r="OZ61" s="223">
        <f t="shared" si="63"/>
        <v>1058250619.305444</v>
      </c>
      <c r="PA61" s="223">
        <f t="shared" si="63"/>
        <v>1057762635.1624759</v>
      </c>
      <c r="PB61" s="223">
        <f t="shared" si="63"/>
        <v>1062081702.203409</v>
      </c>
      <c r="PC61" s="223">
        <f t="shared" si="63"/>
        <v>1082149711.363008</v>
      </c>
      <c r="PD61" s="223">
        <f t="shared" si="63"/>
        <v>1087026461.6148</v>
      </c>
      <c r="PE61" s="223">
        <f t="shared" si="63"/>
        <v>1096453325.791492</v>
      </c>
      <c r="PF61" s="223">
        <f t="shared" si="63"/>
        <v>1165272113.280704</v>
      </c>
      <c r="PG61" s="223">
        <f t="shared" si="63"/>
        <v>1156246506.7720561</v>
      </c>
      <c r="PH61" s="223">
        <f t="shared" si="63"/>
        <v>1155671843.8556521</v>
      </c>
      <c r="PI61" s="223">
        <f t="shared" si="63"/>
        <v>1177479056.7254057</v>
      </c>
      <c r="PJ61" s="223">
        <f t="shared" si="63"/>
        <v>1173931558.7775469</v>
      </c>
      <c r="PK61" s="223">
        <f t="shared" si="63"/>
        <v>1165599339.34021</v>
      </c>
      <c r="PL61" s="223">
        <f t="shared" si="63"/>
        <v>1241449048.7879989</v>
      </c>
      <c r="PM61" s="223">
        <f t="shared" si="63"/>
        <v>1244960086.030345</v>
      </c>
      <c r="PN61" s="223">
        <f t="shared" si="63"/>
        <v>1245814946.2576792</v>
      </c>
      <c r="PO61" s="223">
        <f t="shared" si="63"/>
        <v>1268248318.6787009</v>
      </c>
      <c r="PP61" s="223">
        <f t="shared" si="63"/>
        <v>1336937341.3968048</v>
      </c>
      <c r="PQ61" s="223">
        <f t="shared" si="63"/>
        <v>1322168967.36198</v>
      </c>
      <c r="PR61" s="223">
        <f t="shared" si="63"/>
        <v>1414209080.234818</v>
      </c>
      <c r="PS61" s="223">
        <f t="shared" si="63"/>
        <v>1414098399.399205</v>
      </c>
      <c r="PT61" s="223">
        <f t="shared" si="63"/>
        <v>1427258585.339325</v>
      </c>
      <c r="PU61" s="223">
        <f t="shared" si="63"/>
        <v>1413839374.6923649</v>
      </c>
      <c r="PV61" s="223">
        <f t="shared" si="63"/>
        <v>1412938992.8979199</v>
      </c>
      <c r="PW61" s="223">
        <f t="shared" si="63"/>
        <v>1436703701.418185</v>
      </c>
      <c r="PX61" s="223">
        <f t="shared" si="63"/>
        <v>1371881121.8837051</v>
      </c>
      <c r="PY61" s="223">
        <f t="shared" si="63"/>
        <v>1417688140.8902302</v>
      </c>
      <c r="PZ61" s="223">
        <f t="shared" si="63"/>
        <v>1398303951.2431302</v>
      </c>
      <c r="QA61" s="223">
        <f t="shared" si="63"/>
        <v>1473592005.4746501</v>
      </c>
      <c r="QB61" s="223">
        <f t="shared" si="63"/>
        <v>1468703811.0116351</v>
      </c>
      <c r="QC61" s="223">
        <f t="shared" si="63"/>
        <v>1468143433.1446252</v>
      </c>
      <c r="QD61" s="223">
        <f t="shared" si="63"/>
        <v>1496473538.2722499</v>
      </c>
      <c r="QE61" s="223">
        <f t="shared" si="63"/>
        <v>1520902771.4601552</v>
      </c>
      <c r="QF61" s="223">
        <f t="shared" si="63"/>
        <v>1509488143.131274</v>
      </c>
      <c r="QG61" s="223">
        <f t="shared" si="63"/>
        <v>1577456193.9906418</v>
      </c>
      <c r="QH61" s="223">
        <f t="shared" si="63"/>
        <v>1636568024.5475183</v>
      </c>
      <c r="QI61" s="223">
        <f t="shared" si="63"/>
        <v>1674194137.4862449</v>
      </c>
      <c r="QJ61" s="223">
        <f t="shared" si="63"/>
        <v>1683796802.1192248</v>
      </c>
      <c r="QK61" s="223">
        <f t="shared" si="63"/>
        <v>1745927900.9450617</v>
      </c>
      <c r="QL61" s="223">
        <f t="shared" si="63"/>
        <v>1732711995.6748049</v>
      </c>
      <c r="QM61" s="223">
        <f t="shared" si="63"/>
        <v>1736112462.260165</v>
      </c>
      <c r="QN61" s="223">
        <f t="shared" si="63"/>
        <v>1827779720.2774999</v>
      </c>
      <c r="QO61" s="223">
        <f t="shared" si="63"/>
        <v>1826565250.615525</v>
      </c>
      <c r="QP61" s="223">
        <f t="shared" si="63"/>
        <v>1808695649.9491019</v>
      </c>
      <c r="QQ61" s="223">
        <f t="shared" si="63"/>
        <v>1911514486.4276681</v>
      </c>
      <c r="QR61" s="223">
        <f t="shared" si="63"/>
        <v>1948913392.0737422</v>
      </c>
      <c r="QS61" s="223">
        <f t="shared" si="63"/>
        <v>1944636354.363162</v>
      </c>
      <c r="QT61" s="223">
        <f t="shared" si="63"/>
        <v>1923022226.577704</v>
      </c>
      <c r="QU61" s="223">
        <f t="shared" si="63"/>
        <v>1958913378.2611163</v>
      </c>
      <c r="QV61" s="223">
        <f t="shared" si="63"/>
        <v>1960802335.1452579</v>
      </c>
      <c r="QW61" s="223">
        <f t="shared" si="63"/>
        <v>1963903912.5471017</v>
      </c>
      <c r="QX61" s="223">
        <f t="shared" si="63"/>
        <v>1827621694.9147201</v>
      </c>
      <c r="QY61" s="223">
        <f t="shared" ref="QY61:RL61" si="64">QY56+QY43+QY35+QY32+QY59</f>
        <v>1858978923.2924001</v>
      </c>
      <c r="QZ61" s="223">
        <f t="shared" si="64"/>
        <v>1846342550.2593162</v>
      </c>
      <c r="RA61" s="223">
        <f t="shared" si="64"/>
        <v>1843878556.1330321</v>
      </c>
      <c r="RB61" s="223">
        <f t="shared" si="64"/>
        <v>1974936484.052954</v>
      </c>
      <c r="RC61" s="223">
        <f t="shared" si="64"/>
        <v>1978237083.2782421</v>
      </c>
      <c r="RD61" s="223">
        <f t="shared" si="64"/>
        <v>1980981184.2935541</v>
      </c>
      <c r="RE61" s="223">
        <f t="shared" si="64"/>
        <v>1985255664.9681258</v>
      </c>
      <c r="RF61" s="223">
        <f t="shared" si="64"/>
        <v>1991140137.9141941</v>
      </c>
      <c r="RG61" s="223">
        <f t="shared" si="64"/>
        <v>2124938113.0885959</v>
      </c>
      <c r="RH61" s="223">
        <f t="shared" si="64"/>
        <v>2112825522.3093932</v>
      </c>
      <c r="RI61" s="223">
        <f t="shared" si="64"/>
        <v>2135043891.6708653</v>
      </c>
      <c r="RJ61" s="223">
        <f t="shared" si="64"/>
        <v>1716287543.339927</v>
      </c>
      <c r="RK61" s="223">
        <f t="shared" si="64"/>
        <v>1762233581.3516002</v>
      </c>
      <c r="RL61" s="223">
        <f t="shared" si="64"/>
        <v>1776207377.1900001</v>
      </c>
      <c r="RM61" s="223">
        <f t="shared" ref="RM61:SA61" si="65">RM56+RM43+RM35+RM32+RM59+RM37</f>
        <v>1778319610.320436</v>
      </c>
      <c r="RN61" s="223">
        <f t="shared" si="65"/>
        <v>1933750434.5328462</v>
      </c>
      <c r="RO61" s="223">
        <f t="shared" si="65"/>
        <v>1933522261.8364689</v>
      </c>
      <c r="RP61" s="223">
        <f t="shared" si="65"/>
        <v>1929391469.7479248</v>
      </c>
      <c r="RQ61" s="223">
        <f t="shared" si="65"/>
        <v>1927246374.519887</v>
      </c>
      <c r="RR61" s="223">
        <f t="shared" si="65"/>
        <v>1919961392.1022868</v>
      </c>
      <c r="RS61" s="223">
        <f t="shared" si="65"/>
        <v>1939004034.1108851</v>
      </c>
      <c r="RT61" s="223">
        <f t="shared" si="65"/>
        <v>2016098279.802191</v>
      </c>
      <c r="RU61" s="223">
        <f t="shared" si="65"/>
        <v>2016394882.7030671</v>
      </c>
      <c r="RV61" s="223">
        <f t="shared" si="65"/>
        <v>2003339340.4954779</v>
      </c>
      <c r="RW61" s="223">
        <f t="shared" si="65"/>
        <v>2028706947.7045879</v>
      </c>
      <c r="RX61" s="223">
        <f t="shared" si="65"/>
        <v>2021503208.0894871</v>
      </c>
      <c r="RY61" s="223">
        <f t="shared" si="65"/>
        <v>2010502285.4283772</v>
      </c>
      <c r="RZ61" s="223">
        <f t="shared" si="65"/>
        <v>2027563674.0093188</v>
      </c>
      <c r="SA61" s="223">
        <f t="shared" si="65"/>
        <v>2161259382.3319907</v>
      </c>
      <c r="SB61" s="223">
        <f t="shared" ref="SB61:TO61" si="66">SB56+SB43+SB35+SB32+SB59+SB37+SB58+SB55</f>
        <v>2160795559.1839705</v>
      </c>
      <c r="SC61" s="223">
        <f t="shared" si="66"/>
        <v>2164360472.3989429</v>
      </c>
      <c r="SD61" s="223">
        <f t="shared" si="66"/>
        <v>2188386541.5819659</v>
      </c>
      <c r="SE61" s="223">
        <f t="shared" si="66"/>
        <v>2249268259.7317762</v>
      </c>
      <c r="SF61" s="223">
        <f t="shared" si="66"/>
        <v>2248579476.9640288</v>
      </c>
      <c r="SG61" s="223">
        <f t="shared" si="66"/>
        <v>2249243366.1319199</v>
      </c>
      <c r="SH61" s="223">
        <f t="shared" si="66"/>
        <v>2353353144.3161869</v>
      </c>
      <c r="SI61" s="223">
        <f t="shared" si="66"/>
        <v>2354023728.1191034</v>
      </c>
      <c r="SJ61" s="223">
        <f t="shared" si="66"/>
        <v>2192730485.2646608</v>
      </c>
      <c r="SK61" s="223">
        <f t="shared" si="66"/>
        <v>2230876704.2921629</v>
      </c>
      <c r="SL61" s="223">
        <f t="shared" si="66"/>
        <v>2229572222.5894594</v>
      </c>
      <c r="SM61" s="223">
        <f t="shared" si="66"/>
        <v>2228818649.0737309</v>
      </c>
      <c r="SN61" s="223">
        <f t="shared" si="66"/>
        <v>2236419214.2371092</v>
      </c>
      <c r="SO61" s="223">
        <f t="shared" si="66"/>
        <v>2236716039.1369643</v>
      </c>
      <c r="SP61" s="223">
        <f t="shared" si="66"/>
        <v>2265472245.9098921</v>
      </c>
      <c r="SQ61" s="223">
        <f t="shared" si="66"/>
        <v>2426908129.300736</v>
      </c>
      <c r="SR61" s="223">
        <f t="shared" si="66"/>
        <v>214170929.97999999</v>
      </c>
      <c r="SS61" s="223">
        <f t="shared" si="66"/>
        <v>1020469017.6718709</v>
      </c>
      <c r="ST61" s="223">
        <f t="shared" si="66"/>
        <v>1053742493.7883239</v>
      </c>
      <c r="SU61" s="223">
        <f t="shared" si="66"/>
        <v>2408876402.3062782</v>
      </c>
      <c r="SV61" s="223">
        <f t="shared" si="66"/>
        <v>2431166147.8719201</v>
      </c>
      <c r="SW61" s="223">
        <f t="shared" si="66"/>
        <v>2564370333.8470659</v>
      </c>
      <c r="SX61" s="223">
        <f t="shared" si="66"/>
        <v>2577633250.9333439</v>
      </c>
      <c r="SY61" s="223">
        <f t="shared" si="66"/>
        <v>2551768452.1684456</v>
      </c>
      <c r="SZ61" s="223">
        <f t="shared" si="66"/>
        <v>2567648725.8096471</v>
      </c>
      <c r="TA61" s="223">
        <f t="shared" si="66"/>
        <v>2559110101.8416052</v>
      </c>
      <c r="TB61" s="223">
        <f t="shared" si="66"/>
        <v>2675489072.2399712</v>
      </c>
      <c r="TC61" s="223">
        <f t="shared" si="66"/>
        <v>2697695327.5497131</v>
      </c>
      <c r="TD61" s="223">
        <f t="shared" si="66"/>
        <v>2688779214.4418907</v>
      </c>
      <c r="TE61" s="223">
        <f t="shared" si="66"/>
        <v>2689341965.8330379</v>
      </c>
      <c r="TF61" s="223">
        <f t="shared" si="66"/>
        <v>985691605.15999997</v>
      </c>
      <c r="TG61" s="223">
        <f t="shared" si="66"/>
        <v>2681393203.5897207</v>
      </c>
      <c r="TH61" s="223">
        <f t="shared" si="66"/>
        <v>2662370330.2838249</v>
      </c>
      <c r="TI61" s="223">
        <f t="shared" si="66"/>
        <v>2674392674.1437082</v>
      </c>
      <c r="TJ61" s="223">
        <f t="shared" si="66"/>
        <v>2671001830.9697022</v>
      </c>
      <c r="TK61" s="223">
        <f t="shared" si="66"/>
        <v>1887549551.121206</v>
      </c>
      <c r="TL61" s="223">
        <f t="shared" si="66"/>
        <v>1765280830.6434698</v>
      </c>
      <c r="TM61" s="223">
        <f t="shared" si="66"/>
        <v>1931781127.457242</v>
      </c>
      <c r="TN61" s="223">
        <f t="shared" si="66"/>
        <v>1936706193.9612761</v>
      </c>
      <c r="TO61" s="223">
        <f t="shared" si="66"/>
        <v>1926584910.938005</v>
      </c>
      <c r="TP61" s="223">
        <f t="shared" ref="TP61:TW61" si="67">TP56+TP43+TP35+TP32+TP58+TP37</f>
        <v>2090752434.8999901</v>
      </c>
      <c r="TQ61" s="223">
        <f t="shared" si="67"/>
        <v>2147346275.187784</v>
      </c>
      <c r="TR61" s="223">
        <f t="shared" si="67"/>
        <v>2154969367.7955542</v>
      </c>
      <c r="TS61" s="223">
        <f t="shared" si="67"/>
        <v>1937862999.2162001</v>
      </c>
      <c r="TT61" s="223">
        <f t="shared" si="67"/>
        <v>1942028907.946876</v>
      </c>
      <c r="TU61" s="223">
        <f t="shared" si="67"/>
        <v>1944096684.257652</v>
      </c>
      <c r="TV61" s="223">
        <f t="shared" si="67"/>
        <v>1548299594.2111659</v>
      </c>
      <c r="TW61" s="223">
        <f t="shared" si="67"/>
        <v>1122781533.3667939</v>
      </c>
      <c r="TX61" s="223">
        <f>TX56+TX43+TX35+TX32+TX58+TX37+TX42</f>
        <v>1121668813.142638</v>
      </c>
      <c r="TY61" s="223">
        <f>TY56+TY43+TY35+TY32+TY58+TY37+TY42</f>
        <v>1133976130.1313581</v>
      </c>
      <c r="TZ61" s="223">
        <f>TZ56+TZ43+TZ35+TZ32+TZ58+TZ37+TZ42</f>
        <v>1139631587.086776</v>
      </c>
      <c r="UA61" s="223">
        <f>UA56+UA43+UA35+UA32+UA58+UA37+UA42</f>
        <v>1130940540.989816</v>
      </c>
      <c r="UB61" s="223">
        <f>UB56+UB43+UB35+UB32+UB58+UB37+UB42+UB48+UB33+UB34</f>
        <v>1130572945.689816</v>
      </c>
      <c r="UC61" s="223">
        <f>UC56+UC43+UC35+UC32+UC58+UC37+UC42+UC48+UC33+UC34</f>
        <v>1134906005.4595981</v>
      </c>
      <c r="UD61" s="223">
        <f>UD56+UD43+UD35+UD32+UD58+UD37+UD42+UD48+UD33+UD34</f>
        <v>1137610680.855567</v>
      </c>
      <c r="UE61" s="223">
        <f>UE56+UE43+UE35+UE32+UE58+UE37+UE42+UE48+UE33+UE34+UE59</f>
        <v>1062512964.196269</v>
      </c>
      <c r="UF61" s="223">
        <f>UF56+UF43+UF35+UF32+UF58+UF37+UF42+UF48+UF33+UF34</f>
        <v>1018565566.399773</v>
      </c>
      <c r="UG61" s="223">
        <f>UG56+UG43+UG35+UG32+UG58+UG37+UG42+UG48+UG33+UG34</f>
        <v>990738403.53118193</v>
      </c>
      <c r="UH61" s="223">
        <f>UH56+UH43+UH35+UH32+UH58+UH37+UH42+UH48+UH33+UH34</f>
        <v>988771782.77211392</v>
      </c>
      <c r="UI61" s="223">
        <f t="shared" ref="UI61:US61" si="68">UI56+UI43+UI35+UI32+UI58+UI37+UI42+UI48+UI33+UI34+UI59</f>
        <v>980091087.46749496</v>
      </c>
      <c r="UJ61" s="223">
        <f t="shared" si="68"/>
        <v>978241765.83713996</v>
      </c>
      <c r="UK61" s="223">
        <f t="shared" si="68"/>
        <v>978428751.18547988</v>
      </c>
      <c r="UL61" s="223">
        <f t="shared" si="68"/>
        <v>977830832.73075509</v>
      </c>
      <c r="UM61" s="223">
        <f t="shared" si="68"/>
        <v>977049543.86463296</v>
      </c>
      <c r="UN61" s="223">
        <f t="shared" si="68"/>
        <v>948322617.176772</v>
      </c>
      <c r="UO61" s="223">
        <f t="shared" si="68"/>
        <v>948048989.77021194</v>
      </c>
      <c r="UP61" s="223">
        <f t="shared" si="68"/>
        <v>945928832.47224998</v>
      </c>
      <c r="UQ61" s="223">
        <f t="shared" si="68"/>
        <v>925910744.02186203</v>
      </c>
      <c r="UR61" s="223">
        <f t="shared" si="68"/>
        <v>923049454.80533397</v>
      </c>
      <c r="US61" s="223">
        <f t="shared" si="68"/>
        <v>922560817.06009793</v>
      </c>
      <c r="UT61" s="223">
        <f t="shared" ref="UT61:XE61" si="69">SUM(UT32:UT37)+UT43+UT56+UT58+UT48</f>
        <v>919950285.08053505</v>
      </c>
      <c r="UU61" s="223">
        <f t="shared" si="69"/>
        <v>920117425.99013197</v>
      </c>
      <c r="UV61" s="223">
        <f t="shared" si="69"/>
        <v>919588755.21351993</v>
      </c>
      <c r="UW61" s="223">
        <f t="shared" si="69"/>
        <v>901015040.15371299</v>
      </c>
      <c r="UX61" s="223">
        <f t="shared" si="69"/>
        <v>876449679.93229699</v>
      </c>
      <c r="UY61" s="223">
        <f t="shared" si="69"/>
        <v>876529106.28275096</v>
      </c>
      <c r="UZ61" s="223">
        <f t="shared" si="69"/>
        <v>878127815.52459598</v>
      </c>
      <c r="VA61" s="223">
        <f t="shared" si="69"/>
        <v>811953948.900774</v>
      </c>
      <c r="VB61" s="223">
        <f t="shared" si="69"/>
        <v>812058958.20522106</v>
      </c>
      <c r="VC61" s="223">
        <f t="shared" si="69"/>
        <v>805678883.17287993</v>
      </c>
      <c r="VD61" s="223">
        <f t="shared" si="69"/>
        <v>804370431.67268705</v>
      </c>
      <c r="VE61" s="223">
        <f t="shared" si="69"/>
        <v>812869917.58777905</v>
      </c>
      <c r="VF61" s="223">
        <f t="shared" si="69"/>
        <v>817476426.19503701</v>
      </c>
      <c r="VG61" s="223">
        <f t="shared" si="69"/>
        <v>801172966.62405896</v>
      </c>
      <c r="VH61" s="223">
        <f t="shared" si="69"/>
        <v>795942898.22749007</v>
      </c>
      <c r="VI61" s="223">
        <f t="shared" si="69"/>
        <v>790296850.41755009</v>
      </c>
      <c r="VJ61" s="223">
        <f t="shared" si="69"/>
        <v>825033033.16536105</v>
      </c>
      <c r="VK61" s="223">
        <f t="shared" si="69"/>
        <v>801229664.75033903</v>
      </c>
      <c r="VL61" s="223">
        <f t="shared" si="69"/>
        <v>794164023.14576399</v>
      </c>
      <c r="VM61" s="223">
        <f t="shared" si="69"/>
        <v>788924539.98248708</v>
      </c>
      <c r="VN61" s="223">
        <f t="shared" si="69"/>
        <v>792183193.17248702</v>
      </c>
      <c r="VO61" s="223">
        <f t="shared" si="69"/>
        <v>780569593.29416001</v>
      </c>
      <c r="VP61" s="223">
        <f t="shared" si="69"/>
        <v>778039668.84588802</v>
      </c>
      <c r="VQ61" s="223">
        <f t="shared" si="69"/>
        <v>779336572.90952802</v>
      </c>
      <c r="VR61" s="223">
        <f t="shared" si="69"/>
        <v>770704953.94914401</v>
      </c>
      <c r="VS61" s="223">
        <f t="shared" si="69"/>
        <v>741592163.07713604</v>
      </c>
      <c r="VT61" s="223">
        <f t="shared" si="69"/>
        <v>743102131.08450401</v>
      </c>
      <c r="VU61" s="223">
        <f t="shared" si="69"/>
        <v>752434334.31571996</v>
      </c>
      <c r="VV61" s="223">
        <f t="shared" si="69"/>
        <v>746284133.86868799</v>
      </c>
      <c r="VW61" s="223">
        <f t="shared" si="69"/>
        <v>743552019.62232804</v>
      </c>
      <c r="VX61" s="223">
        <f t="shared" si="69"/>
        <v>715177856.55717599</v>
      </c>
      <c r="VY61" s="223">
        <f t="shared" si="69"/>
        <v>718715866.25115204</v>
      </c>
      <c r="VZ61" s="223">
        <f t="shared" si="69"/>
        <v>592445962.975752</v>
      </c>
      <c r="WA61" s="223">
        <f t="shared" si="69"/>
        <v>595106423.96824002</v>
      </c>
      <c r="WB61" s="223">
        <f t="shared" si="69"/>
        <v>606546527.00081599</v>
      </c>
      <c r="WC61" s="223">
        <f t="shared" si="69"/>
        <v>566415296.16602004</v>
      </c>
      <c r="WD61" s="223">
        <f t="shared" si="69"/>
        <v>569081838.59148395</v>
      </c>
      <c r="WE61" s="223">
        <f t="shared" si="69"/>
        <v>633898131.58609998</v>
      </c>
      <c r="WF61" s="223">
        <f t="shared" si="69"/>
        <v>632523914.55932403</v>
      </c>
      <c r="WG61" s="223">
        <f t="shared" si="69"/>
        <v>576738768.06626797</v>
      </c>
      <c r="WH61" s="223">
        <f t="shared" si="69"/>
        <v>592197874.89699996</v>
      </c>
      <c r="WI61" s="223">
        <f t="shared" si="69"/>
        <v>591311542.89096403</v>
      </c>
      <c r="WJ61" s="223">
        <f t="shared" si="69"/>
        <v>576094324.02922404</v>
      </c>
      <c r="WK61" s="223">
        <f t="shared" si="69"/>
        <v>608389164.55773997</v>
      </c>
      <c r="WL61" s="223">
        <f t="shared" si="69"/>
        <v>583926711.31167197</v>
      </c>
      <c r="WM61" s="223">
        <f t="shared" si="69"/>
        <v>554409940.62241995</v>
      </c>
      <c r="WN61" s="223">
        <f t="shared" si="69"/>
        <v>638566848.62088001</v>
      </c>
      <c r="WO61" s="223">
        <f t="shared" si="69"/>
        <v>604790781.75069594</v>
      </c>
      <c r="WP61" s="223">
        <f t="shared" si="69"/>
        <v>660760320.04910398</v>
      </c>
      <c r="WQ61" s="223">
        <f t="shared" si="69"/>
        <v>643011690.30563593</v>
      </c>
      <c r="WR61" s="223">
        <f t="shared" si="69"/>
        <v>832084376.28599596</v>
      </c>
      <c r="WS61" s="223">
        <f t="shared" si="69"/>
        <v>798845195.55189204</v>
      </c>
      <c r="WT61" s="223">
        <f t="shared" si="69"/>
        <v>788428772.088076</v>
      </c>
      <c r="WU61" s="223">
        <f t="shared" si="69"/>
        <v>730664949.80604792</v>
      </c>
      <c r="WV61" s="223">
        <f t="shared" si="69"/>
        <v>729198929.58888805</v>
      </c>
      <c r="WW61" s="223">
        <f t="shared" si="69"/>
        <v>717182290.35666394</v>
      </c>
      <c r="WX61" s="223">
        <f t="shared" si="69"/>
        <v>723928147.45583606</v>
      </c>
      <c r="WY61" s="223">
        <f t="shared" si="69"/>
        <v>692171912.63680398</v>
      </c>
      <c r="WZ61" s="223">
        <f t="shared" si="69"/>
        <v>683117863.65567994</v>
      </c>
      <c r="XA61" s="223">
        <f t="shared" si="69"/>
        <v>683834819.52070796</v>
      </c>
      <c r="XB61" s="223">
        <f t="shared" si="69"/>
        <v>642567305.16369605</v>
      </c>
      <c r="XC61" s="223">
        <f t="shared" si="69"/>
        <v>637881705.18176794</v>
      </c>
      <c r="XD61" s="223">
        <f t="shared" si="69"/>
        <v>607648311.34872794</v>
      </c>
      <c r="XE61" s="223">
        <f t="shared" si="69"/>
        <v>598262589.85756004</v>
      </c>
      <c r="XF61" s="223">
        <f t="shared" ref="XF61:ZQ61" si="70">SUM(XF32:XF37)+XF43+XF56+XF58+XF48</f>
        <v>590306648.14309204</v>
      </c>
      <c r="XG61" s="223">
        <f t="shared" si="70"/>
        <v>548199130.54094398</v>
      </c>
      <c r="XH61" s="223">
        <f t="shared" si="70"/>
        <v>546260517.26582003</v>
      </c>
      <c r="XI61" s="223">
        <f t="shared" si="70"/>
        <v>545893011.59623599</v>
      </c>
      <c r="XJ61" s="223">
        <f t="shared" si="70"/>
        <v>666911605.83551204</v>
      </c>
      <c r="XK61" s="223">
        <f t="shared" si="70"/>
        <v>621557985.93892801</v>
      </c>
      <c r="XL61" s="223">
        <f t="shared" si="70"/>
        <v>591167015.57793605</v>
      </c>
      <c r="XM61" s="223">
        <f t="shared" si="70"/>
        <v>587350811.55934799</v>
      </c>
      <c r="XN61" s="223">
        <f t="shared" si="70"/>
        <v>560925134.01643598</v>
      </c>
      <c r="XO61" s="223">
        <f t="shared" si="70"/>
        <v>558727881.64066803</v>
      </c>
      <c r="XP61" s="223">
        <f t="shared" si="70"/>
        <v>558355797.16476798</v>
      </c>
      <c r="XQ61" s="223">
        <f t="shared" si="70"/>
        <v>554167651.68343604</v>
      </c>
      <c r="XR61" s="223">
        <f t="shared" si="70"/>
        <v>553566137.96557999</v>
      </c>
      <c r="XS61" s="223" t="e">
        <f t="shared" si="70"/>
        <v>#REF!</v>
      </c>
      <c r="XT61" s="223">
        <f t="shared" si="70"/>
        <v>549892074.618276</v>
      </c>
      <c r="XU61" s="223">
        <f t="shared" si="70"/>
        <v>546409967.36199594</v>
      </c>
      <c r="XV61" s="223">
        <f t="shared" si="70"/>
        <v>524169994.52437603</v>
      </c>
      <c r="XW61" s="223">
        <f t="shared" si="70"/>
        <v>523240529.70161998</v>
      </c>
      <c r="XX61" s="223">
        <f t="shared" si="70"/>
        <v>520767369.23610401</v>
      </c>
      <c r="XY61" s="223">
        <f t="shared" si="70"/>
        <v>527815360.65167999</v>
      </c>
      <c r="XZ61" s="223">
        <f t="shared" si="70"/>
        <v>513670842.40761602</v>
      </c>
      <c r="YA61" s="223">
        <f t="shared" si="70"/>
        <v>512559952.668944</v>
      </c>
      <c r="YB61" s="223">
        <f t="shared" si="70"/>
        <v>510883238.70634401</v>
      </c>
      <c r="YC61" s="223">
        <f t="shared" si="70"/>
        <v>536092868.40663201</v>
      </c>
      <c r="YD61" s="223">
        <f t="shared" si="70"/>
        <v>535037477.73268402</v>
      </c>
      <c r="YE61" s="223">
        <f t="shared" si="70"/>
        <v>511496442.703228</v>
      </c>
      <c r="YF61" s="223">
        <f t="shared" si="70"/>
        <v>533984015.60421199</v>
      </c>
      <c r="YG61" s="223">
        <f t="shared" si="70"/>
        <v>555324889.302212</v>
      </c>
      <c r="YH61" s="223">
        <f t="shared" si="70"/>
        <v>554060586.62699199</v>
      </c>
      <c r="YI61" s="223">
        <f t="shared" si="70"/>
        <v>548754157.53372002</v>
      </c>
      <c r="YJ61" s="223">
        <f t="shared" si="70"/>
        <v>529715313.91031599</v>
      </c>
      <c r="YK61" s="223">
        <f t="shared" si="70"/>
        <v>508267705.75392401</v>
      </c>
      <c r="YL61" s="223">
        <f t="shared" si="70"/>
        <v>508267715.38134801</v>
      </c>
      <c r="YM61" s="223">
        <f t="shared" si="70"/>
        <v>507408219.39570403</v>
      </c>
      <c r="YN61" s="223">
        <f t="shared" si="70"/>
        <v>679516771.88480401</v>
      </c>
      <c r="YO61" s="223">
        <f t="shared" si="70"/>
        <v>677460942.45190406</v>
      </c>
      <c r="YP61" s="223">
        <f t="shared" si="70"/>
        <v>678785483.64385605</v>
      </c>
      <c r="YQ61" s="223">
        <f t="shared" si="70"/>
        <v>676228511.20385599</v>
      </c>
      <c r="YR61" s="223">
        <f t="shared" si="70"/>
        <v>675294654.32025599</v>
      </c>
      <c r="YS61" s="223">
        <f t="shared" si="70"/>
        <v>673068895.91396999</v>
      </c>
      <c r="YT61" s="223">
        <f t="shared" si="70"/>
        <v>676440998.202775</v>
      </c>
      <c r="YU61" s="223">
        <f t="shared" si="70"/>
        <v>674995247.29547298</v>
      </c>
      <c r="YV61" s="223">
        <f t="shared" si="70"/>
        <v>674968967.25046396</v>
      </c>
      <c r="YW61" s="223">
        <f t="shared" si="70"/>
        <v>660522880.34733403</v>
      </c>
      <c r="YX61" s="223">
        <f t="shared" si="70"/>
        <v>660149514.38480997</v>
      </c>
      <c r="YY61" s="223">
        <f t="shared" si="70"/>
        <v>659683110.73597598</v>
      </c>
      <c r="YZ61" s="223">
        <f t="shared" si="70"/>
        <v>652448924.64480805</v>
      </c>
      <c r="ZA61" s="223">
        <f t="shared" si="70"/>
        <v>652165517.608356</v>
      </c>
      <c r="ZB61" s="223">
        <f t="shared" si="70"/>
        <v>651976807.21643102</v>
      </c>
      <c r="ZC61" s="223">
        <f t="shared" si="70"/>
        <v>651121979.72150302</v>
      </c>
      <c r="ZD61" s="223">
        <f t="shared" si="70"/>
        <v>651495827.74319601</v>
      </c>
      <c r="ZE61" s="223">
        <f t="shared" si="70"/>
        <v>646761424.09782195</v>
      </c>
      <c r="ZF61" s="223">
        <f t="shared" si="70"/>
        <v>646352754.30159795</v>
      </c>
      <c r="ZG61" s="223">
        <f t="shared" si="70"/>
        <v>627731543.03448498</v>
      </c>
      <c r="ZH61" s="223">
        <f t="shared" si="70"/>
        <v>627006998.47855806</v>
      </c>
      <c r="ZI61" s="223">
        <f t="shared" si="70"/>
        <v>625887547.79308605</v>
      </c>
      <c r="ZJ61" s="223">
        <f t="shared" si="70"/>
        <v>639913342.74319005</v>
      </c>
      <c r="ZK61" s="223">
        <f t="shared" si="70"/>
        <v>638480602.85383606</v>
      </c>
      <c r="ZL61" s="223">
        <f t="shared" si="70"/>
        <v>640222968.04428506</v>
      </c>
      <c r="ZM61" s="223">
        <f t="shared" si="70"/>
        <v>638062912.25252998</v>
      </c>
      <c r="ZN61" s="223">
        <f t="shared" si="70"/>
        <v>632874280.34014702</v>
      </c>
      <c r="ZO61" s="223">
        <f t="shared" si="70"/>
        <v>633780650.56918406</v>
      </c>
      <c r="ZP61" s="223">
        <f t="shared" si="70"/>
        <v>697199001.51275301</v>
      </c>
      <c r="ZQ61" s="223">
        <f t="shared" si="70"/>
        <v>703487114.81728292</v>
      </c>
      <c r="ZR61" s="223">
        <f t="shared" ref="ZR61:ACC61" si="71">SUM(ZR32:ZR37)+ZR43+ZR56+ZR58+ZR48</f>
        <v>703098088.10765398</v>
      </c>
      <c r="ZS61" s="223">
        <f t="shared" si="71"/>
        <v>698713253.18547499</v>
      </c>
      <c r="ZT61" s="223">
        <f t="shared" si="71"/>
        <v>701452113.46680593</v>
      </c>
      <c r="ZU61" s="223">
        <f t="shared" si="71"/>
        <v>701960979.40804005</v>
      </c>
      <c r="ZV61" s="223">
        <f t="shared" si="71"/>
        <v>687075396.65967894</v>
      </c>
      <c r="ZW61" s="223">
        <f t="shared" si="71"/>
        <v>686387161.32447696</v>
      </c>
      <c r="ZX61" s="223">
        <f t="shared" si="71"/>
        <v>671422200.99399805</v>
      </c>
      <c r="ZY61" s="223">
        <f t="shared" si="71"/>
        <v>670280238.46075404</v>
      </c>
      <c r="ZZ61" s="223">
        <f t="shared" si="71"/>
        <v>670188808.83479202</v>
      </c>
      <c r="AAA61" s="223">
        <f t="shared" si="71"/>
        <v>659653581.67130494</v>
      </c>
      <c r="AAB61" s="223">
        <f t="shared" si="71"/>
        <v>656106699.57125795</v>
      </c>
      <c r="AAC61" s="223">
        <f t="shared" si="71"/>
        <v>657059057.64739799</v>
      </c>
      <c r="AAD61" s="223">
        <f t="shared" si="71"/>
        <v>655527061.49134898</v>
      </c>
      <c r="AAE61" s="223">
        <f t="shared" si="71"/>
        <v>654830498.863006</v>
      </c>
      <c r="AAF61" s="223" t="e">
        <f t="shared" si="71"/>
        <v>#REF!</v>
      </c>
      <c r="AAG61" s="223" t="e">
        <f t="shared" si="71"/>
        <v>#REF!</v>
      </c>
      <c r="AAH61" s="223" t="e">
        <f t="shared" si="71"/>
        <v>#REF!</v>
      </c>
      <c r="AAI61" s="223">
        <f t="shared" si="71"/>
        <v>738138696.41394901</v>
      </c>
      <c r="AAJ61" s="223">
        <f t="shared" si="71"/>
        <v>737001280.34127498</v>
      </c>
      <c r="AAK61" s="223">
        <f t="shared" si="71"/>
        <v>719402002.70517492</v>
      </c>
      <c r="AAL61" s="223">
        <f t="shared" si="71"/>
        <v>719235846.20035505</v>
      </c>
      <c r="AAM61" s="223">
        <f t="shared" si="71"/>
        <v>716661700.61792696</v>
      </c>
      <c r="AAN61" s="223">
        <f t="shared" si="71"/>
        <v>715801020.458094</v>
      </c>
      <c r="AAO61" s="223">
        <f t="shared" si="71"/>
        <v>717623301.33409095</v>
      </c>
      <c r="AAP61" s="223">
        <f t="shared" si="71"/>
        <v>716996141.85955405</v>
      </c>
      <c r="AAQ61" s="223">
        <f t="shared" si="71"/>
        <v>716530341.835899</v>
      </c>
      <c r="AAR61" s="223">
        <f t="shared" si="71"/>
        <v>716334382.45774198</v>
      </c>
      <c r="AAS61" s="223">
        <f t="shared" si="71"/>
        <v>796137668.02999604</v>
      </c>
      <c r="AAT61" s="223">
        <f t="shared" si="71"/>
        <v>729137668.02999604</v>
      </c>
      <c r="AAU61" s="223">
        <f t="shared" si="71"/>
        <v>795966762.51381397</v>
      </c>
      <c r="AAV61" s="223">
        <f t="shared" si="71"/>
        <v>789015669.79381394</v>
      </c>
      <c r="AAW61" s="223">
        <f t="shared" si="71"/>
        <v>787012842.82709897</v>
      </c>
      <c r="AAX61" s="223">
        <f t="shared" si="71"/>
        <v>786970397.16944599</v>
      </c>
      <c r="AAY61" s="223">
        <f t="shared" si="71"/>
        <v>791615747.42944598</v>
      </c>
      <c r="AAZ61" s="223">
        <f t="shared" si="71"/>
        <v>791597344.31944597</v>
      </c>
      <c r="ABA61" s="223">
        <f t="shared" si="71"/>
        <v>789262761.74275696</v>
      </c>
      <c r="ABB61" s="223">
        <f t="shared" si="71"/>
        <v>789709889.98275697</v>
      </c>
      <c r="ABC61" s="223">
        <f t="shared" si="71"/>
        <v>788323975.85130203</v>
      </c>
      <c r="ABD61" s="223">
        <f t="shared" si="71"/>
        <v>860418552.11884296</v>
      </c>
      <c r="ABE61" s="223">
        <f t="shared" si="71"/>
        <v>855829108.19919896</v>
      </c>
      <c r="ABF61" s="223">
        <f t="shared" si="71"/>
        <v>855779930.32906902</v>
      </c>
      <c r="ABG61" s="223">
        <f t="shared" si="71"/>
        <v>858817575.04116905</v>
      </c>
      <c r="ABH61" s="223">
        <f t="shared" si="71"/>
        <v>858849483.40314305</v>
      </c>
      <c r="ABI61" s="223">
        <f t="shared" si="71"/>
        <v>903665213.03833199</v>
      </c>
      <c r="ABJ61" s="223">
        <f t="shared" si="71"/>
        <v>850867565.54268205</v>
      </c>
      <c r="ABK61" s="223">
        <f t="shared" si="71"/>
        <v>851995000.83065295</v>
      </c>
      <c r="ABL61" s="223">
        <f t="shared" si="71"/>
        <v>851116928.52799404</v>
      </c>
      <c r="ABM61" s="223">
        <f t="shared" si="71"/>
        <v>851308448.32371998</v>
      </c>
      <c r="ABN61" s="223">
        <f t="shared" si="71"/>
        <v>852035521.42479002</v>
      </c>
      <c r="ABO61" s="223">
        <f t="shared" si="71"/>
        <v>851169490.09321499</v>
      </c>
      <c r="ABP61" s="223">
        <f t="shared" si="71"/>
        <v>869160384.45311797</v>
      </c>
      <c r="ABQ61" s="223">
        <f t="shared" si="71"/>
        <v>878000984.88779402</v>
      </c>
      <c r="ABR61" s="223">
        <f t="shared" si="71"/>
        <v>877997601.56119704</v>
      </c>
      <c r="ABS61" s="223">
        <f t="shared" si="71"/>
        <v>870275406.91733599</v>
      </c>
      <c r="ABT61" s="223">
        <f t="shared" si="71"/>
        <v>908839771.89738595</v>
      </c>
      <c r="ABU61" s="223">
        <f t="shared" si="71"/>
        <v>1117600081.87356</v>
      </c>
      <c r="ABV61" s="223">
        <f t="shared" si="71"/>
        <v>1090644790.6816471</v>
      </c>
      <c r="ABW61" s="223">
        <f t="shared" si="71"/>
        <v>1089576445.0326259</v>
      </c>
      <c r="ABX61" s="223">
        <f t="shared" si="71"/>
        <v>1080929681.8287411</v>
      </c>
      <c r="ABY61" s="223">
        <f t="shared" si="71"/>
        <v>1064564227.982818</v>
      </c>
      <c r="ABZ61" s="223">
        <f t="shared" si="71"/>
        <v>1061129883.928375</v>
      </c>
      <c r="ACA61" s="223">
        <f t="shared" si="71"/>
        <v>1057949438.940362</v>
      </c>
      <c r="ACB61" s="223">
        <f t="shared" si="71"/>
        <v>1058448572.466014</v>
      </c>
      <c r="ACC61" s="223">
        <f t="shared" si="71"/>
        <v>1057878341.155562</v>
      </c>
      <c r="ACD61" s="223">
        <f t="shared" ref="ACD61:ACO61" si="72">SUM(ACD32:ACD37)+ACD43+ACD56+ACD58+ACD48</f>
        <v>1058229646.074775</v>
      </c>
      <c r="ACE61" s="223">
        <f t="shared" si="72"/>
        <v>1055496442.965664</v>
      </c>
      <c r="ACF61" s="223">
        <f t="shared" si="72"/>
        <v>1055616827.641452</v>
      </c>
      <c r="ACG61" s="223">
        <f t="shared" si="72"/>
        <v>1067841186.098564</v>
      </c>
      <c r="ACH61" s="223">
        <f t="shared" si="72"/>
        <v>1064142322.471768</v>
      </c>
      <c r="ACI61" s="223">
        <f t="shared" si="72"/>
        <v>1052376583.418027</v>
      </c>
      <c r="ACJ61" s="223">
        <f t="shared" si="72"/>
        <v>1050136947.188736</v>
      </c>
      <c r="ACK61" s="223">
        <f t="shared" si="72"/>
        <v>1049819038.459952</v>
      </c>
      <c r="ACL61" s="223">
        <f t="shared" si="72"/>
        <v>1049757880.574141</v>
      </c>
      <c r="ACM61" s="223">
        <f t="shared" si="72"/>
        <v>1048876914.792217</v>
      </c>
      <c r="ACN61" s="223">
        <f t="shared" si="72"/>
        <v>1049834147.599227</v>
      </c>
      <c r="ACO61" s="223">
        <f t="shared" si="72"/>
        <v>1050082384.602188</v>
      </c>
      <c r="ACP61" s="223">
        <f t="shared" ref="ACP61:AFA61" si="73">SUM(ACP32:ACP37)+ACP43+ACP56+ACP58+ACP48+ACP52</f>
        <v>1049838409.7450421</v>
      </c>
      <c r="ACQ61" s="223">
        <f t="shared" si="73"/>
        <v>1051597671.060414</v>
      </c>
      <c r="ACR61" s="223">
        <f t="shared" si="73"/>
        <v>1095683514.5131299</v>
      </c>
      <c r="ACS61" s="223">
        <f t="shared" si="73"/>
        <v>1090466048.7552021</v>
      </c>
      <c r="ACT61" s="223">
        <f t="shared" si="73"/>
        <v>1095116686.1274819</v>
      </c>
      <c r="ACU61" s="223">
        <f t="shared" si="73"/>
        <v>1052892916.00599</v>
      </c>
      <c r="ACV61" s="223">
        <f t="shared" si="73"/>
        <v>1054470667.163726</v>
      </c>
      <c r="ACW61" s="223">
        <f t="shared" si="73"/>
        <v>1053899340.334486</v>
      </c>
      <c r="ACX61" s="223">
        <f t="shared" si="73"/>
        <v>1159062499.7481041</v>
      </c>
      <c r="ACY61" s="223">
        <f t="shared" si="73"/>
        <v>1159349066.202136</v>
      </c>
      <c r="ACZ61" s="223">
        <f t="shared" si="73"/>
        <v>1159118250.748482</v>
      </c>
      <c r="ADA61" s="223">
        <f t="shared" si="73"/>
        <v>1166557360.1009419</v>
      </c>
      <c r="ADB61" s="223">
        <f t="shared" si="73"/>
        <v>1171562425.483258</v>
      </c>
      <c r="ADC61" s="223">
        <f t="shared" si="73"/>
        <v>1174722687.6338301</v>
      </c>
      <c r="ADD61" s="223">
        <f t="shared" si="73"/>
        <v>1174550055.668314</v>
      </c>
      <c r="ADE61" s="223">
        <f t="shared" si="73"/>
        <v>1164270786.772162</v>
      </c>
      <c r="ADF61" s="223">
        <f t="shared" si="73"/>
        <v>1170027121.416852</v>
      </c>
      <c r="ADG61" s="223">
        <f t="shared" si="73"/>
        <v>1172599582.0873079</v>
      </c>
      <c r="ADH61" s="223">
        <f t="shared" si="73"/>
        <v>1170544705.8386879</v>
      </c>
      <c r="ADI61" s="223">
        <f t="shared" si="73"/>
        <v>1172421551.0919819</v>
      </c>
      <c r="ADJ61" s="223">
        <f t="shared" si="73"/>
        <v>1172821775.5890419</v>
      </c>
      <c r="ADK61" s="223">
        <f t="shared" si="73"/>
        <v>1172730463.5595939</v>
      </c>
      <c r="ADL61" s="223">
        <f t="shared" si="73"/>
        <v>1175797661.0138021</v>
      </c>
      <c r="ADM61" s="223">
        <f t="shared" si="73"/>
        <v>1170510977.3316841</v>
      </c>
      <c r="ADN61" s="223">
        <f t="shared" si="73"/>
        <v>1204186275.894912</v>
      </c>
      <c r="ADO61" s="223">
        <f t="shared" si="73"/>
        <v>1172059889.0391581</v>
      </c>
      <c r="ADP61" s="223">
        <f t="shared" si="73"/>
        <v>1172013499.6262701</v>
      </c>
      <c r="ADQ61" s="223">
        <f t="shared" si="73"/>
        <v>1173989515.775898</v>
      </c>
      <c r="ADR61" s="223">
        <f t="shared" si="73"/>
        <v>1172670252.577616</v>
      </c>
      <c r="ADS61" s="223">
        <f t="shared" si="73"/>
        <v>1172812888.376384</v>
      </c>
      <c r="ADT61" s="223">
        <f t="shared" si="73"/>
        <v>1176632303.8698101</v>
      </c>
      <c r="ADU61" s="223">
        <f t="shared" si="73"/>
        <v>1181842497.191396</v>
      </c>
      <c r="ADV61" s="223">
        <f t="shared" si="73"/>
        <v>1180021033.372122</v>
      </c>
      <c r="ADW61" s="223">
        <f t="shared" si="73"/>
        <v>1178569814.695992</v>
      </c>
      <c r="ADX61" s="223">
        <f t="shared" si="73"/>
        <v>1183260341.143662</v>
      </c>
      <c r="ADY61" s="223">
        <f t="shared" si="73"/>
        <v>1183264813.3914521</v>
      </c>
      <c r="ADZ61" s="223">
        <f t="shared" si="73"/>
        <v>1173842314.1077161</v>
      </c>
      <c r="AEA61" s="223">
        <f t="shared" si="73"/>
        <v>1207796208.735508</v>
      </c>
      <c r="AEB61" s="223">
        <f t="shared" si="73"/>
        <v>1175051978.374342</v>
      </c>
      <c r="AEC61" s="223">
        <f t="shared" si="73"/>
        <v>1206858536.879612</v>
      </c>
      <c r="AED61" s="223">
        <f t="shared" si="73"/>
        <v>1207188577.007462</v>
      </c>
      <c r="AEE61" s="223">
        <f t="shared" si="73"/>
        <v>1208533746.3634059</v>
      </c>
      <c r="AEF61" s="223">
        <f t="shared" si="73"/>
        <v>1208688598.049288</v>
      </c>
      <c r="AEG61" s="223">
        <f t="shared" si="73"/>
        <v>1221066385.9841681</v>
      </c>
      <c r="AEH61" s="223">
        <f t="shared" si="73"/>
        <v>1220648195.6979699</v>
      </c>
      <c r="AEI61" s="223">
        <f t="shared" si="73"/>
        <v>1202170291.7994578</v>
      </c>
      <c r="AEJ61" s="223">
        <f t="shared" si="73"/>
        <v>1207223609.1603241</v>
      </c>
      <c r="AEK61" s="223">
        <f t="shared" si="73"/>
        <v>1206627990.4094381</v>
      </c>
      <c r="AEL61" s="223">
        <f t="shared" si="73"/>
        <v>1204287932.720134</v>
      </c>
      <c r="AEM61" s="223">
        <f t="shared" si="73"/>
        <v>1215886657.3170259</v>
      </c>
      <c r="AEN61" s="223">
        <f t="shared" si="73"/>
        <v>1214772383.2827458</v>
      </c>
      <c r="AEO61" s="223">
        <f t="shared" si="73"/>
        <v>1214768901.7089601</v>
      </c>
      <c r="AEP61" s="223">
        <f t="shared" si="73"/>
        <v>1216617320.13046</v>
      </c>
      <c r="AEQ61" s="223">
        <f t="shared" si="73"/>
        <v>1216443179.44275</v>
      </c>
      <c r="AER61" s="223">
        <f t="shared" si="73"/>
        <v>1200959632.4212039</v>
      </c>
      <c r="AES61" s="223">
        <f t="shared" si="73"/>
        <v>1206694038.638248</v>
      </c>
      <c r="AET61" s="223">
        <f t="shared" si="73"/>
        <v>1208071384.9760759</v>
      </c>
      <c r="AEU61" s="223">
        <f t="shared" si="73"/>
        <v>1207956455.1966338</v>
      </c>
      <c r="AEV61" s="223">
        <f t="shared" si="73"/>
        <v>1262934199.845736</v>
      </c>
      <c r="AEW61" s="223">
        <f t="shared" si="73"/>
        <v>1190929879.1557961</v>
      </c>
      <c r="AEX61" s="223">
        <f t="shared" si="73"/>
        <v>1194666576.787514</v>
      </c>
      <c r="AEY61" s="223">
        <f t="shared" si="73"/>
        <v>1216519717.842814</v>
      </c>
      <c r="AEZ61" s="223">
        <f t="shared" si="73"/>
        <v>1211764316.7746639</v>
      </c>
      <c r="AFA61" s="223">
        <f t="shared" si="73"/>
        <v>1210674634.314976</v>
      </c>
      <c r="AFB61" s="223">
        <f t="shared" ref="AFB61:AHM61" si="74">SUM(AFB32:AFB37)+AFB43+AFB56+AFB58+AFB48+AFB52</f>
        <v>1190633115.540448</v>
      </c>
      <c r="AFC61" s="223">
        <f t="shared" si="74"/>
        <v>1191332381.4104481</v>
      </c>
      <c r="AFD61" s="223">
        <f t="shared" si="74"/>
        <v>1189947471.95294</v>
      </c>
      <c r="AFE61" s="223">
        <f t="shared" si="74"/>
        <v>1178081752.7819741</v>
      </c>
      <c r="AFF61" s="223">
        <f t="shared" si="74"/>
        <v>1200155343.908824</v>
      </c>
      <c r="AFG61" s="223">
        <f t="shared" si="74"/>
        <v>1200983598.271982</v>
      </c>
      <c r="AFH61" s="223">
        <f t="shared" si="74"/>
        <v>1200012448.85344</v>
      </c>
      <c r="AFI61" s="223">
        <f t="shared" si="74"/>
        <v>1193414766.8357041</v>
      </c>
      <c r="AFJ61" s="223">
        <f t="shared" si="74"/>
        <v>1192232754.378484</v>
      </c>
      <c r="AFK61" s="223">
        <f t="shared" si="74"/>
        <v>936209425.04835999</v>
      </c>
      <c r="AFL61" s="223">
        <f t="shared" si="74"/>
        <v>948461356.42345405</v>
      </c>
      <c r="AFM61" s="223">
        <f t="shared" si="74"/>
        <v>948099974.611184</v>
      </c>
      <c r="AFN61" s="223">
        <f t="shared" si="74"/>
        <v>1124779173.011678</v>
      </c>
      <c r="AFO61" s="223">
        <f t="shared" si="74"/>
        <v>1097651807.1495359</v>
      </c>
      <c r="AFP61" s="223">
        <f t="shared" si="74"/>
        <v>1097581145.4500239</v>
      </c>
      <c r="AFQ61" s="223">
        <f t="shared" si="74"/>
        <v>1265364838.4509461</v>
      </c>
      <c r="AFR61" s="223">
        <f t="shared" si="74"/>
        <v>1268345047.6587901</v>
      </c>
      <c r="AFS61" s="223">
        <f t="shared" si="74"/>
        <v>1272618787.967562</v>
      </c>
      <c r="AFT61" s="223">
        <f t="shared" si="74"/>
        <v>1271894835.0444341</v>
      </c>
      <c r="AFU61" s="223">
        <f t="shared" si="74"/>
        <v>1270656579.7928939</v>
      </c>
      <c r="AFV61" s="223">
        <f t="shared" si="74"/>
        <v>1267980937.1059</v>
      </c>
      <c r="AFW61" s="223">
        <f t="shared" si="74"/>
        <v>1266405381.1890321</v>
      </c>
      <c r="AFX61" s="223">
        <f t="shared" si="74"/>
        <v>1284144156.7239981</v>
      </c>
      <c r="AFY61" s="223">
        <f t="shared" si="74"/>
        <v>1232717390.2352159</v>
      </c>
      <c r="AFZ61" s="223">
        <f t="shared" si="74"/>
        <v>1239732040.412936</v>
      </c>
      <c r="AGA61" s="223">
        <f t="shared" si="74"/>
        <v>1238997549.4748261</v>
      </c>
      <c r="AGB61" s="223">
        <f t="shared" si="74"/>
        <v>1238769882.6457961</v>
      </c>
      <c r="AGC61" s="223">
        <f t="shared" si="74"/>
        <v>1236162996.8503761</v>
      </c>
      <c r="AGD61" s="223">
        <f t="shared" si="74"/>
        <v>1236593221.62218</v>
      </c>
      <c r="AGE61" s="223">
        <f t="shared" si="74"/>
        <v>1240707719.0265379</v>
      </c>
      <c r="AGF61" s="223">
        <f t="shared" si="74"/>
        <v>1240575707.60623</v>
      </c>
      <c r="AGG61" s="223">
        <f t="shared" si="74"/>
        <v>1246806914.3972139</v>
      </c>
      <c r="AGH61" s="223">
        <f t="shared" si="74"/>
        <v>1244417047.883666</v>
      </c>
      <c r="AGI61" s="223">
        <f t="shared" si="74"/>
        <v>1244467113.3294301</v>
      </c>
      <c r="AGJ61" s="223">
        <f t="shared" si="74"/>
        <v>1312439768.8987501</v>
      </c>
      <c r="AGK61" s="223">
        <f t="shared" si="74"/>
        <v>1240891193.89328</v>
      </c>
      <c r="AGL61" s="223">
        <f t="shared" si="74"/>
        <v>328577374.41106808</v>
      </c>
      <c r="AGM61" s="223">
        <f t="shared" si="74"/>
        <v>329840809.85999995</v>
      </c>
      <c r="AGN61" s="223">
        <f t="shared" si="74"/>
        <v>328600282.144728</v>
      </c>
      <c r="AGO61" s="223">
        <f t="shared" si="74"/>
        <v>353218096.11673796</v>
      </c>
      <c r="AGP61" s="223">
        <f t="shared" si="74"/>
        <v>352728646.65113199</v>
      </c>
      <c r="AGQ61" s="223">
        <f t="shared" si="74"/>
        <v>330861814.36050403</v>
      </c>
      <c r="AGR61" s="223">
        <f t="shared" si="74"/>
        <v>331599600.895706</v>
      </c>
      <c r="AGS61" s="223">
        <f t="shared" si="74"/>
        <v>334239807.00906199</v>
      </c>
      <c r="AGT61" s="223">
        <f t="shared" si="74"/>
        <v>330932436.829786</v>
      </c>
      <c r="AGU61" s="223">
        <f t="shared" si="74"/>
        <v>323972752.98934603</v>
      </c>
      <c r="AGV61" s="223">
        <f t="shared" si="74"/>
        <v>330557056.726574</v>
      </c>
      <c r="AGW61" s="223">
        <f t="shared" si="74"/>
        <v>335860149.83885998</v>
      </c>
      <c r="AGX61" s="223">
        <f t="shared" si="74"/>
        <v>331353373.605232</v>
      </c>
      <c r="AGY61" s="223">
        <f t="shared" si="74"/>
        <v>397153814.086362</v>
      </c>
      <c r="AGZ61" s="223">
        <f t="shared" si="74"/>
        <v>397220989.41850597</v>
      </c>
      <c r="AHA61" s="223">
        <f t="shared" si="74"/>
        <v>379318768.99901801</v>
      </c>
      <c r="AHB61" s="223">
        <f t="shared" si="74"/>
        <v>324341289.85073</v>
      </c>
      <c r="AHC61" s="223">
        <f t="shared" si="74"/>
        <v>324091989.02830398</v>
      </c>
      <c r="AHD61" s="223">
        <f t="shared" si="74"/>
        <v>322196420.638304</v>
      </c>
      <c r="AHE61" s="223">
        <f t="shared" si="74"/>
        <v>321552416.40112799</v>
      </c>
      <c r="AHF61" s="223">
        <f t="shared" si="74"/>
        <v>323665898.620996</v>
      </c>
      <c r="AHG61" s="223">
        <f t="shared" si="74"/>
        <v>324284916.114182</v>
      </c>
      <c r="AHH61" s="223">
        <f t="shared" si="74"/>
        <v>329366386.27774602</v>
      </c>
      <c r="AHI61" s="223">
        <f t="shared" si="74"/>
        <v>328491538.48729396</v>
      </c>
      <c r="AHJ61" s="223">
        <f t="shared" si="74"/>
        <v>328376264.56913006</v>
      </c>
      <c r="AHK61" s="223">
        <f t="shared" si="74"/>
        <v>326283981.30453801</v>
      </c>
      <c r="AHL61" s="223">
        <f t="shared" si="74"/>
        <v>325473504.76037002</v>
      </c>
      <c r="AHM61" s="223">
        <f t="shared" si="74"/>
        <v>354673081.43252999</v>
      </c>
      <c r="AHN61" s="223">
        <f t="shared" ref="AHN61:AJY61" si="75">SUM(AHN32:AHN37)+AHN43+AHN56+AHN58+AHN48+AHN52</f>
        <v>354497518.9346</v>
      </c>
      <c r="AHO61" s="223">
        <f t="shared" si="75"/>
        <v>354066111.52462</v>
      </c>
      <c r="AHP61" s="223">
        <f t="shared" si="75"/>
        <v>331736983.38484597</v>
      </c>
      <c r="AHQ61" s="223">
        <f t="shared" si="75"/>
        <v>330541804.05353999</v>
      </c>
      <c r="AHR61" s="223">
        <f t="shared" si="75"/>
        <v>331492119.07250595</v>
      </c>
      <c r="AHS61" s="223">
        <f t="shared" si="75"/>
        <v>333364962.22884601</v>
      </c>
      <c r="AHT61" s="223">
        <f t="shared" si="75"/>
        <v>329905270.18016195</v>
      </c>
      <c r="AHU61" s="223">
        <f t="shared" si="75"/>
        <v>328746669.92839003</v>
      </c>
      <c r="AHV61" s="223">
        <f t="shared" si="75"/>
        <v>338753651.01725</v>
      </c>
      <c r="AHW61" s="223">
        <f t="shared" si="75"/>
        <v>326552032.60326999</v>
      </c>
      <c r="AHX61" s="223">
        <f t="shared" si="75"/>
        <v>325328391.75972003</v>
      </c>
      <c r="AHY61" s="223">
        <f t="shared" si="75"/>
        <v>328435794.32600403</v>
      </c>
      <c r="AHZ61" s="223">
        <f t="shared" si="75"/>
        <v>318874202.64129001</v>
      </c>
      <c r="AIA61" s="223">
        <f t="shared" si="75"/>
        <v>318654273.91924202</v>
      </c>
      <c r="AIB61" s="223">
        <f t="shared" si="75"/>
        <v>326348872.13388002</v>
      </c>
      <c r="AIC61" s="223">
        <f t="shared" si="75"/>
        <v>324639071.13147002</v>
      </c>
      <c r="AID61" s="223">
        <f t="shared" si="75"/>
        <v>326389902.89938408</v>
      </c>
      <c r="AIE61" s="223">
        <f t="shared" si="75"/>
        <v>326262242.63086897</v>
      </c>
      <c r="AIF61" s="223">
        <f t="shared" si="75"/>
        <v>343569644.40839696</v>
      </c>
      <c r="AIG61" s="223">
        <f t="shared" si="75"/>
        <v>520309160.08554101</v>
      </c>
      <c r="AIH61" s="223">
        <f t="shared" si="75"/>
        <v>520651081.48150206</v>
      </c>
      <c r="AII61" s="223">
        <f t="shared" si="75"/>
        <v>520336551.53459704</v>
      </c>
      <c r="AIJ61" s="223">
        <f t="shared" si="75"/>
        <v>520206086.047768</v>
      </c>
      <c r="AIK61" s="223">
        <f t="shared" si="75"/>
        <v>525833012.75312096</v>
      </c>
      <c r="AIL61" s="223">
        <f t="shared" si="75"/>
        <v>521923160.56422102</v>
      </c>
      <c r="AIM61" s="223">
        <f t="shared" si="75"/>
        <v>524041096.958161</v>
      </c>
      <c r="AIN61" s="223">
        <f t="shared" si="75"/>
        <v>535332791.07519597</v>
      </c>
      <c r="AIO61" s="223">
        <f t="shared" si="75"/>
        <v>506442914.24756497</v>
      </c>
      <c r="AIP61" s="223">
        <f t="shared" si="75"/>
        <v>568123908.72001886</v>
      </c>
      <c r="AIQ61" s="223">
        <f t="shared" si="75"/>
        <v>583241800.26242793</v>
      </c>
      <c r="AIR61" s="223">
        <f t="shared" si="75"/>
        <v>583169335.68852293</v>
      </c>
      <c r="AIS61" s="223">
        <f t="shared" si="75"/>
        <v>570529522.70323503</v>
      </c>
      <c r="AIT61" s="223">
        <f t="shared" si="75"/>
        <v>558094177.04423296</v>
      </c>
      <c r="AIU61" s="223">
        <f t="shared" si="75"/>
        <v>553078929.37114501</v>
      </c>
      <c r="AIV61" s="223">
        <f t="shared" si="75"/>
        <v>552242823.79395604</v>
      </c>
      <c r="AIW61" s="223">
        <f t="shared" si="75"/>
        <v>500661247.10432601</v>
      </c>
      <c r="AIX61" s="223">
        <f t="shared" si="75"/>
        <v>501756028.97176003</v>
      </c>
      <c r="AIY61" s="223">
        <f t="shared" si="75"/>
        <v>509147069.12988001</v>
      </c>
      <c r="AIZ61" s="223">
        <f t="shared" si="75"/>
        <v>509680341.85007006</v>
      </c>
      <c r="AJA61" s="223">
        <f t="shared" si="75"/>
        <v>506064221.29338205</v>
      </c>
      <c r="AJB61" s="223">
        <f t="shared" si="75"/>
        <v>534335385.82463008</v>
      </c>
      <c r="AJC61" s="223">
        <f t="shared" si="75"/>
        <v>527022653.31901598</v>
      </c>
      <c r="AJD61" s="223">
        <f t="shared" si="75"/>
        <v>498496387.660294</v>
      </c>
      <c r="AJE61" s="223">
        <f t="shared" si="75"/>
        <v>503759112.13583797</v>
      </c>
      <c r="AJF61" s="223">
        <f t="shared" si="75"/>
        <v>499516722.70117795</v>
      </c>
      <c r="AJG61" s="223">
        <f t="shared" si="75"/>
        <v>499644435.01783603</v>
      </c>
      <c r="AJH61" s="223">
        <f t="shared" si="75"/>
        <v>502500619.55330604</v>
      </c>
      <c r="AJI61" s="223">
        <f t="shared" si="75"/>
        <v>502557766.95185202</v>
      </c>
      <c r="AJJ61" s="223">
        <f t="shared" si="75"/>
        <v>501366803.30224001</v>
      </c>
      <c r="AJK61" s="223">
        <f t="shared" si="75"/>
        <v>515069170.700436</v>
      </c>
      <c r="AJL61" s="223">
        <f t="shared" si="75"/>
        <v>514131369.20989799</v>
      </c>
      <c r="AJM61" s="223">
        <f t="shared" si="75"/>
        <v>527742532.34402996</v>
      </c>
      <c r="AJN61" s="223">
        <f t="shared" si="75"/>
        <v>517450815.39646602</v>
      </c>
      <c r="AJO61" s="223">
        <f t="shared" si="75"/>
        <v>506712467.72693795</v>
      </c>
      <c r="AJP61" s="223">
        <f t="shared" si="75"/>
        <v>654570992.09676802</v>
      </c>
      <c r="AJQ61" s="223">
        <f t="shared" si="75"/>
        <v>647149308.194134</v>
      </c>
      <c r="AJR61" s="223">
        <f t="shared" si="75"/>
        <v>646537702.11075997</v>
      </c>
      <c r="AJS61" s="223">
        <f t="shared" si="75"/>
        <v>688817642.94602406</v>
      </c>
      <c r="AJT61" s="223">
        <f t="shared" si="75"/>
        <v>682902721.74450207</v>
      </c>
      <c r="AJU61" s="223">
        <f t="shared" si="75"/>
        <v>678474642.41189194</v>
      </c>
      <c r="AJV61" s="223">
        <f t="shared" si="75"/>
        <v>687461969.81743801</v>
      </c>
      <c r="AJW61" s="223">
        <f t="shared" si="75"/>
        <v>687413405.90031397</v>
      </c>
      <c r="AJX61" s="223">
        <f t="shared" si="75"/>
        <v>715715000.17049205</v>
      </c>
      <c r="AJY61" s="223">
        <f t="shared" si="75"/>
        <v>707658145.88707209</v>
      </c>
      <c r="AJZ61" s="223">
        <f t="shared" ref="AJZ61:AMD61" si="76">SUM(AJZ32:AJZ37)+AJZ43+AJZ56+AJZ58+AJZ48+AJZ52</f>
        <v>713803466.46111393</v>
      </c>
      <c r="AKA61" s="223">
        <f t="shared" si="76"/>
        <v>717886045.54361606</v>
      </c>
      <c r="AKB61" s="223">
        <f t="shared" si="76"/>
        <v>669125838.06325996</v>
      </c>
      <c r="AKC61" s="223">
        <f t="shared" si="76"/>
        <v>156555610.32399601</v>
      </c>
      <c r="AKD61" s="223">
        <f t="shared" si="76"/>
        <v>156727581.13795799</v>
      </c>
      <c r="AKE61" s="223">
        <f t="shared" si="76"/>
        <v>157310978.520244</v>
      </c>
      <c r="AKF61" s="223">
        <f t="shared" si="76"/>
        <v>164206232.75189599</v>
      </c>
      <c r="AKG61" s="223">
        <f t="shared" si="76"/>
        <v>163641086.34869599</v>
      </c>
      <c r="AKH61" s="223">
        <f t="shared" si="76"/>
        <v>161532169.57095802</v>
      </c>
      <c r="AKI61" s="223">
        <f t="shared" si="76"/>
        <v>160933550.492208</v>
      </c>
      <c r="AKJ61" s="223">
        <f t="shared" si="76"/>
        <v>154263771.55645999</v>
      </c>
      <c r="AKK61" s="223">
        <f t="shared" si="76"/>
        <v>159213125.822018</v>
      </c>
      <c r="AKL61" s="223">
        <f t="shared" si="76"/>
        <v>148274829.83005199</v>
      </c>
      <c r="AKM61" s="223">
        <f t="shared" si="76"/>
        <v>146487646.00645</v>
      </c>
      <c r="AKN61" s="223">
        <f t="shared" si="76"/>
        <v>147081467.07389802</v>
      </c>
      <c r="AKO61" s="223">
        <f t="shared" si="76"/>
        <v>145470427.88568401</v>
      </c>
      <c r="AKP61" s="223">
        <f t="shared" si="76"/>
        <v>152822868.91737002</v>
      </c>
      <c r="AKQ61" s="223">
        <f t="shared" si="76"/>
        <v>150232846.83705401</v>
      </c>
      <c r="AKR61" s="223">
        <f t="shared" si="76"/>
        <v>145995632.40585399</v>
      </c>
      <c r="AKS61" s="223">
        <f t="shared" si="76"/>
        <v>146372849.92695799</v>
      </c>
      <c r="AKT61" s="223">
        <f t="shared" si="76"/>
        <v>149661146.30179399</v>
      </c>
      <c r="AKU61" s="223">
        <f t="shared" si="76"/>
        <v>151149658.84814599</v>
      </c>
      <c r="AKV61" s="223">
        <f t="shared" si="76"/>
        <v>151413151.00302202</v>
      </c>
      <c r="AKW61" s="223">
        <f t="shared" si="76"/>
        <v>173201707.83844</v>
      </c>
      <c r="AKX61" s="223">
        <f t="shared" si="76"/>
        <v>163451344.477786</v>
      </c>
      <c r="AKY61" s="223">
        <f t="shared" si="76"/>
        <v>170541297.29500601</v>
      </c>
      <c r="AKZ61" s="223">
        <f t="shared" si="76"/>
        <v>168771869.285272</v>
      </c>
      <c r="ALA61" s="223">
        <f t="shared" si="76"/>
        <v>222945884.08198601</v>
      </c>
      <c r="ALB61" s="223">
        <f t="shared" si="76"/>
        <v>215288520.068914</v>
      </c>
      <c r="ALC61" s="223">
        <f t="shared" si="76"/>
        <v>229255935.55618203</v>
      </c>
      <c r="ALD61" s="223">
        <f t="shared" si="76"/>
        <v>226596357.65515599</v>
      </c>
      <c r="ALE61" s="223">
        <f t="shared" si="76"/>
        <v>271415200.12836003</v>
      </c>
      <c r="ALF61" s="223">
        <f t="shared" si="76"/>
        <v>162808912.44214702</v>
      </c>
      <c r="ALG61" s="223">
        <f t="shared" si="76"/>
        <v>163191949.36696401</v>
      </c>
      <c r="ALH61" s="223">
        <f t="shared" si="76"/>
        <v>158758570.60977799</v>
      </c>
      <c r="ALI61" s="223">
        <f t="shared" si="76"/>
        <v>167700955.24588898</v>
      </c>
      <c r="ALJ61" s="223">
        <f t="shared" si="76"/>
        <v>149945729.76381901</v>
      </c>
      <c r="ALK61" s="223">
        <f t="shared" si="76"/>
        <v>194015952.23656902</v>
      </c>
      <c r="ALL61" s="223">
        <f t="shared" si="76"/>
        <v>200792115.795407</v>
      </c>
      <c r="ALM61" s="223">
        <f t="shared" si="76"/>
        <v>167613101.59636599</v>
      </c>
      <c r="ALN61" s="223">
        <f t="shared" si="76"/>
        <v>167542584.33379099</v>
      </c>
      <c r="ALO61" s="223">
        <f t="shared" si="76"/>
        <v>161714710.77882701</v>
      </c>
      <c r="ALP61" s="223">
        <f t="shared" si="76"/>
        <v>162503054.71199399</v>
      </c>
      <c r="ALQ61" s="223">
        <f t="shared" si="76"/>
        <v>163645498.29385999</v>
      </c>
      <c r="ALR61" s="223">
        <f t="shared" si="76"/>
        <v>197335816.40897599</v>
      </c>
      <c r="ALS61" s="223">
        <f t="shared" si="76"/>
        <v>196804156.91932303</v>
      </c>
      <c r="ALT61" s="223">
        <f t="shared" si="76"/>
        <v>202949335.494205</v>
      </c>
      <c r="ALU61" s="223">
        <f t="shared" si="76"/>
        <v>226750539.15667</v>
      </c>
      <c r="ALV61" s="223">
        <f t="shared" si="76"/>
        <v>226827154.82277399</v>
      </c>
      <c r="ALW61" s="223">
        <f t="shared" si="76"/>
        <v>213008386.16518503</v>
      </c>
      <c r="ALX61" s="223">
        <f t="shared" si="76"/>
        <v>210307622.08556601</v>
      </c>
      <c r="ALY61" s="223">
        <f t="shared" si="76"/>
        <v>201511140.06074899</v>
      </c>
      <c r="ALZ61" s="223">
        <f t="shared" si="76"/>
        <v>204684517.62214601</v>
      </c>
      <c r="AMA61" s="223">
        <f t="shared" si="76"/>
        <v>203728324.028157</v>
      </c>
      <c r="AMB61" s="223">
        <f t="shared" si="76"/>
        <v>207190936.35170999</v>
      </c>
      <c r="AMC61" s="223">
        <f t="shared" si="76"/>
        <v>206752078.979902</v>
      </c>
      <c r="AMD61" s="223">
        <f t="shared" si="76"/>
        <v>208406754.31372401</v>
      </c>
      <c r="AME61" s="223">
        <f t="shared" ref="AME61:ANJ61" si="77">SUM(AME32:AME37)+AME43+AME56+AME58+AME48+AME52+AME55</f>
        <v>206723559.07247901</v>
      </c>
      <c r="AMF61" s="223">
        <f t="shared" si="77"/>
        <v>206446328.06246999</v>
      </c>
      <c r="AMG61" s="223">
        <f t="shared" si="77"/>
        <v>299498615.057917</v>
      </c>
      <c r="AMH61" s="223">
        <f t="shared" si="77"/>
        <v>246269320.627202</v>
      </c>
      <c r="AMI61" s="223">
        <f t="shared" si="77"/>
        <v>205238989.95599598</v>
      </c>
      <c r="AMJ61" s="223">
        <f t="shared" si="77"/>
        <v>204004465.75220001</v>
      </c>
      <c r="AMK61" s="223">
        <f t="shared" si="77"/>
        <v>206761900.09712499</v>
      </c>
      <c r="AML61" s="223">
        <f t="shared" si="77"/>
        <v>208493162.57837</v>
      </c>
      <c r="AMM61" s="223">
        <f t="shared" si="77"/>
        <v>215200101.48649001</v>
      </c>
      <c r="AMN61" s="223">
        <f t="shared" si="77"/>
        <v>122194645.313131</v>
      </c>
      <c r="AMO61" s="223">
        <f t="shared" si="77"/>
        <v>137916929.424202</v>
      </c>
      <c r="AMP61" s="223">
        <f t="shared" si="77"/>
        <v>138085071.31961399</v>
      </c>
      <c r="AMQ61" s="223">
        <f t="shared" si="77"/>
        <v>87299570.277177989</v>
      </c>
      <c r="AMR61" s="223">
        <f t="shared" si="77"/>
        <v>80990086.737190008</v>
      </c>
      <c r="AMS61" s="223">
        <f t="shared" si="77"/>
        <v>66517714.605804995</v>
      </c>
      <c r="AMT61" s="223">
        <f t="shared" si="77"/>
        <v>66266132.139173001</v>
      </c>
      <c r="AMU61" s="223">
        <f t="shared" si="77"/>
        <v>64940526.416507006</v>
      </c>
      <c r="AMV61" s="223">
        <f t="shared" si="77"/>
        <v>64293876.568126999</v>
      </c>
      <c r="AMW61" s="223">
        <f t="shared" si="77"/>
        <v>62999792.715351</v>
      </c>
      <c r="AMX61" s="223">
        <f t="shared" si="77"/>
        <v>62688386.327425003</v>
      </c>
      <c r="AMY61" s="223">
        <f t="shared" si="77"/>
        <v>98375075.547876</v>
      </c>
      <c r="AMZ61" s="223">
        <f t="shared" si="77"/>
        <v>94582954.488458008</v>
      </c>
      <c r="ANA61" s="223">
        <f t="shared" si="77"/>
        <v>93087552.619980007</v>
      </c>
      <c r="ANB61" s="223">
        <f t="shared" si="77"/>
        <v>62529956.627070993</v>
      </c>
      <c r="ANC61" s="223">
        <f t="shared" si="77"/>
        <v>63417236.877715997</v>
      </c>
      <c r="AND61" s="223">
        <f t="shared" si="77"/>
        <v>61713121.206518002</v>
      </c>
      <c r="ANE61" s="223">
        <f t="shared" si="77"/>
        <v>61584097.596840002</v>
      </c>
      <c r="ANF61" s="223">
        <f t="shared" si="77"/>
        <v>177877530.258935</v>
      </c>
      <c r="ANG61" s="223">
        <f t="shared" si="77"/>
        <v>176861252.847785</v>
      </c>
      <c r="ANH61" s="223">
        <f t="shared" si="77"/>
        <v>175844754.57648</v>
      </c>
      <c r="ANI61" s="223">
        <f t="shared" si="77"/>
        <v>174883658.46503502</v>
      </c>
      <c r="ANJ61" s="223">
        <f t="shared" si="77"/>
        <v>184606971.02301499</v>
      </c>
      <c r="ANK61" s="223">
        <f t="shared" ref="ANK61:AOP61" si="78">SUM(ANK32:ANK37)+ANK43+ANK56+ANK58+ANK48+ANK52+ANK55</f>
        <v>173898484.28429502</v>
      </c>
      <c r="ANL61" s="223">
        <f t="shared" si="78"/>
        <v>173417641.93066502</v>
      </c>
      <c r="ANM61" s="223">
        <f t="shared" si="78"/>
        <v>170880655.413075</v>
      </c>
      <c r="ANN61" s="223">
        <f t="shared" si="78"/>
        <v>171030473.448755</v>
      </c>
      <c r="ANO61" s="223">
        <f t="shared" si="78"/>
        <v>170983895.99454001</v>
      </c>
      <c r="ANP61" s="223">
        <f t="shared" si="78"/>
        <v>199582175.044195</v>
      </c>
      <c r="ANQ61" s="223">
        <f t="shared" si="78"/>
        <v>200158598.43176502</v>
      </c>
      <c r="ANR61" s="223">
        <f t="shared" si="78"/>
        <v>197262175.00985</v>
      </c>
      <c r="ANS61" s="223">
        <f t="shared" si="78"/>
        <v>163050877.86052001</v>
      </c>
      <c r="ANT61" s="223">
        <f t="shared" si="78"/>
        <v>199798853.63988501</v>
      </c>
      <c r="ANU61" s="223">
        <f t="shared" si="78"/>
        <v>164881334.352575</v>
      </c>
      <c r="ANV61" s="223">
        <f t="shared" si="78"/>
        <v>162842845.77750501</v>
      </c>
      <c r="ANW61" s="223">
        <f t="shared" si="78"/>
        <v>163683414.40107</v>
      </c>
      <c r="ANX61" s="223">
        <f t="shared" si="78"/>
        <v>400375118.03935999</v>
      </c>
      <c r="ANY61" s="223">
        <f t="shared" si="78"/>
        <v>398558825.69014001</v>
      </c>
      <c r="ANZ61" s="223">
        <f t="shared" si="78"/>
        <v>406624954.79054999</v>
      </c>
      <c r="AOA61" s="223">
        <f t="shared" si="78"/>
        <v>406404398.56666499</v>
      </c>
      <c r="AOB61" s="223">
        <f t="shared" si="78"/>
        <v>408977651.70647502</v>
      </c>
      <c r="AOC61" s="223">
        <f t="shared" si="78"/>
        <v>423427971.53953999</v>
      </c>
      <c r="AOD61" s="223">
        <f t="shared" si="78"/>
        <v>423039205.95408499</v>
      </c>
      <c r="AOE61" s="223">
        <f t="shared" si="78"/>
        <v>407196925.88999999</v>
      </c>
      <c r="AOF61" s="223">
        <f t="shared" si="78"/>
        <v>456293992.96160001</v>
      </c>
      <c r="AOG61" s="223">
        <f t="shared" si="78"/>
        <v>405680887.24856001</v>
      </c>
      <c r="AOH61" s="223">
        <f t="shared" si="78"/>
        <v>403157368.75694001</v>
      </c>
      <c r="AOI61" s="223">
        <f t="shared" si="78"/>
        <v>399016592.16386002</v>
      </c>
      <c r="AOJ61" s="223">
        <f t="shared" si="78"/>
        <v>396774164.95890498</v>
      </c>
      <c r="AOK61" s="223">
        <f t="shared" si="78"/>
        <v>403117312.53505999</v>
      </c>
      <c r="AOL61" s="223">
        <f t="shared" si="78"/>
        <v>395429336.82964498</v>
      </c>
      <c r="AOM61" s="223">
        <f t="shared" si="78"/>
        <v>403555129.13049501</v>
      </c>
      <c r="AON61" s="223">
        <f t="shared" si="78"/>
        <v>401788679.74123502</v>
      </c>
      <c r="AOO61" s="223">
        <f t="shared" si="78"/>
        <v>438788570.75401998</v>
      </c>
      <c r="AOP61" s="223">
        <f t="shared" si="78"/>
        <v>439353942.97835499</v>
      </c>
      <c r="AOQ61" s="223">
        <f t="shared" ref="AOQ61:APV61" si="79">SUM(AOQ32:AOQ37)+AOQ43+AOQ56+AOQ58+AOQ48+AOQ52+AOQ55</f>
        <v>470105753.14366996</v>
      </c>
      <c r="AOR61" s="223">
        <f t="shared" si="79"/>
        <v>469006506.87600499</v>
      </c>
      <c r="AOS61" s="223">
        <f t="shared" si="79"/>
        <v>410904631.60304999</v>
      </c>
      <c r="AOT61" s="223">
        <f t="shared" si="79"/>
        <v>467284750.78337502</v>
      </c>
      <c r="AOU61" s="223">
        <f t="shared" si="79"/>
        <v>464059020.99645501</v>
      </c>
      <c r="AOV61" s="223">
        <f t="shared" si="79"/>
        <v>464547845.42412001</v>
      </c>
      <c r="AOW61" s="223">
        <f t="shared" si="79"/>
        <v>407383605.67385501</v>
      </c>
      <c r="AOX61" s="223">
        <f t="shared" si="79"/>
        <v>417831739.30849999</v>
      </c>
      <c r="AOY61" s="223">
        <f t="shared" si="79"/>
        <v>419341658.97395504</v>
      </c>
      <c r="AOZ61" s="223">
        <f t="shared" si="79"/>
        <v>409002608.01459002</v>
      </c>
      <c r="APA61" s="223">
        <f t="shared" si="79"/>
        <v>411936113.69430995</v>
      </c>
      <c r="APB61" s="223">
        <f t="shared" si="79"/>
        <v>411960955.29549998</v>
      </c>
      <c r="APC61" s="223">
        <f t="shared" si="79"/>
        <v>411381995.89410502</v>
      </c>
      <c r="APD61" s="223">
        <f t="shared" si="79"/>
        <v>408991775.35697997</v>
      </c>
      <c r="APE61" s="223">
        <f t="shared" si="79"/>
        <v>412803463.07631999</v>
      </c>
      <c r="APF61" s="223">
        <f t="shared" si="79"/>
        <v>411956265.72275001</v>
      </c>
      <c r="APG61" s="223">
        <f t="shared" si="79"/>
        <v>409160152.77098</v>
      </c>
      <c r="APH61" s="223">
        <f t="shared" si="79"/>
        <v>407389053.31288499</v>
      </c>
      <c r="API61" s="223">
        <f t="shared" si="79"/>
        <v>440768073.46868002</v>
      </c>
      <c r="APJ61" s="223">
        <f t="shared" si="79"/>
        <v>408818472.52854002</v>
      </c>
      <c r="APK61" s="223">
        <f t="shared" si="79"/>
        <v>409076451.54628503</v>
      </c>
      <c r="APL61" s="223">
        <f t="shared" si="79"/>
        <v>466432508.78514999</v>
      </c>
      <c r="APM61" s="223">
        <f t="shared" si="79"/>
        <v>461878981.33995497</v>
      </c>
      <c r="APN61" s="223">
        <f t="shared" si="79"/>
        <v>464654620.30943</v>
      </c>
      <c r="APO61" s="223">
        <f t="shared" si="79"/>
        <v>471459199.18322402</v>
      </c>
      <c r="APP61" s="223">
        <f t="shared" si="79"/>
        <v>470898885.39963698</v>
      </c>
      <c r="APQ61" s="223">
        <f t="shared" si="79"/>
        <v>414585872.81305099</v>
      </c>
      <c r="APR61" s="223">
        <f t="shared" si="79"/>
        <v>480536465.14489198</v>
      </c>
      <c r="APS61" s="223">
        <f t="shared" si="79"/>
        <v>415188137.69795597</v>
      </c>
      <c r="APT61" s="223">
        <f t="shared" si="79"/>
        <v>408608096.22930503</v>
      </c>
      <c r="APU61" s="223">
        <f t="shared" si="79"/>
        <v>414060623.51761496</v>
      </c>
      <c r="APV61" s="223">
        <f t="shared" si="79"/>
        <v>412674178.15624601</v>
      </c>
      <c r="APW61" s="223">
        <f t="shared" ref="APW61:ARB61" si="80">SUM(APW32:APW37)+APW43+APW56+APW58+APW48+APW52+APW55</f>
        <v>441407511.53806502</v>
      </c>
      <c r="APX61" s="223">
        <f t="shared" si="80"/>
        <v>416744247.733244</v>
      </c>
      <c r="APY61" s="223">
        <f t="shared" si="80"/>
        <v>411137016.85000896</v>
      </c>
      <c r="APZ61" s="223">
        <f t="shared" si="80"/>
        <v>411749704.26626801</v>
      </c>
      <c r="AQA61" s="223">
        <f t="shared" si="80"/>
        <v>409236370.73130703</v>
      </c>
      <c r="AQB61" s="223">
        <f t="shared" si="80"/>
        <v>408892822.368801</v>
      </c>
      <c r="AQC61" s="223">
        <f t="shared" si="80"/>
        <v>415073909.690808</v>
      </c>
      <c r="AQD61" s="223">
        <f t="shared" si="80"/>
        <v>414160649.51368797</v>
      </c>
      <c r="AQE61" s="223">
        <f t="shared" si="80"/>
        <v>424369560.00967401</v>
      </c>
      <c r="AQF61" s="223">
        <f t="shared" si="80"/>
        <v>423677195.740412</v>
      </c>
      <c r="AQG61" s="223">
        <f t="shared" si="80"/>
        <v>637784530.05315697</v>
      </c>
      <c r="AQH61" s="223">
        <f t="shared" si="80"/>
        <v>637920541.08778799</v>
      </c>
      <c r="AQI61" s="223">
        <f t="shared" si="80"/>
        <v>732860031.53921103</v>
      </c>
      <c r="AQJ61" s="223">
        <f t="shared" si="80"/>
        <v>732272212.62579799</v>
      </c>
      <c r="AQK61" s="223">
        <f t="shared" si="80"/>
        <v>731712922.01962304</v>
      </c>
      <c r="AQL61" s="223">
        <f t="shared" si="80"/>
        <v>731942379.98447597</v>
      </c>
      <c r="AQM61" s="223">
        <f t="shared" si="80"/>
        <v>730765945.06336093</v>
      </c>
      <c r="AQN61" s="223">
        <f t="shared" si="80"/>
        <v>714238004.63725495</v>
      </c>
      <c r="AQO61" s="223">
        <f t="shared" si="80"/>
        <v>657147148.56725502</v>
      </c>
      <c r="AQP61" s="223">
        <f t="shared" si="80"/>
        <v>656891200.29421997</v>
      </c>
      <c r="AQQ61" s="223">
        <f t="shared" si="80"/>
        <v>691409517.50768602</v>
      </c>
      <c r="AQR61" s="223">
        <f t="shared" si="80"/>
        <v>681856004.95303893</v>
      </c>
      <c r="AQS61" s="223">
        <f t="shared" si="80"/>
        <v>677383355.65422392</v>
      </c>
      <c r="AQT61" s="223">
        <f t="shared" si="80"/>
        <v>684765579.33588791</v>
      </c>
      <c r="AQU61" s="223">
        <f t="shared" si="80"/>
        <v>683503618.03995109</v>
      </c>
      <c r="AQV61" s="223">
        <f t="shared" si="80"/>
        <v>678537127.14710402</v>
      </c>
      <c r="AQW61" s="223">
        <f t="shared" si="80"/>
        <v>648971498.13549101</v>
      </c>
      <c r="AQX61" s="223">
        <f t="shared" si="80"/>
        <v>648192441.50825405</v>
      </c>
      <c r="AQY61" s="223">
        <f t="shared" si="80"/>
        <v>649188547.53417099</v>
      </c>
      <c r="AQZ61" s="223">
        <f t="shared" si="80"/>
        <v>1181935189.224617</v>
      </c>
      <c r="ARA61" s="223">
        <f t="shared" si="80"/>
        <v>1184079717.90117</v>
      </c>
      <c r="ARB61" s="223">
        <f t="shared" si="80"/>
        <v>654721408.25772202</v>
      </c>
      <c r="ARC61" s="223">
        <f t="shared" ref="ARC61:ASH61" si="81">SUM(ARC32:ARC37)+ARC43+ARC56+ARC58+ARC48+ARC52+ARC55</f>
        <v>654227690.38199198</v>
      </c>
      <c r="ARD61" s="223">
        <f t="shared" si="81"/>
        <v>657149622.25698304</v>
      </c>
      <c r="ARE61" s="223">
        <f t="shared" si="81"/>
        <v>655047953.75972795</v>
      </c>
      <c r="ARF61" s="223">
        <f t="shared" si="81"/>
        <v>655687941.68644905</v>
      </c>
      <c r="ARG61" s="223">
        <f t="shared" si="81"/>
        <v>654183592.70001602</v>
      </c>
      <c r="ARH61" s="223">
        <f t="shared" si="81"/>
        <v>653647584.43020701</v>
      </c>
      <c r="ARI61" s="223">
        <f t="shared" si="81"/>
        <v>725796434.29212594</v>
      </c>
      <c r="ARJ61" s="223">
        <f t="shared" si="81"/>
        <v>707017411.68461204</v>
      </c>
      <c r="ARK61" s="223">
        <f t="shared" si="81"/>
        <v>712848353.57123303</v>
      </c>
      <c r="ARL61" s="223">
        <f t="shared" si="81"/>
        <v>726920318.90984201</v>
      </c>
      <c r="ARM61" s="223">
        <f t="shared" si="81"/>
        <v>729449361.22295094</v>
      </c>
      <c r="ARN61" s="223">
        <f t="shared" si="81"/>
        <v>661808960.19249105</v>
      </c>
      <c r="ARO61" s="223">
        <f t="shared" si="81"/>
        <v>665457742.58883905</v>
      </c>
      <c r="ARP61" s="223">
        <f t="shared" si="81"/>
        <v>667873637.77828896</v>
      </c>
      <c r="ARQ61" s="223">
        <f t="shared" si="81"/>
        <v>678022178.47182107</v>
      </c>
      <c r="ARR61" s="223">
        <f t="shared" si="81"/>
        <v>674306046.21892095</v>
      </c>
      <c r="ARS61" s="223">
        <f t="shared" si="81"/>
        <v>676678832.45070302</v>
      </c>
      <c r="ART61" s="223">
        <f t="shared" si="81"/>
        <v>679422859.244596</v>
      </c>
      <c r="ARU61" s="223">
        <f t="shared" si="81"/>
        <v>717930618.75481796</v>
      </c>
      <c r="ARV61" s="223">
        <f t="shared" si="81"/>
        <v>686434659.30175805</v>
      </c>
      <c r="ARW61" s="223">
        <f t="shared" si="81"/>
        <v>697883572.22366202</v>
      </c>
      <c r="ARX61" s="223">
        <f t="shared" si="81"/>
        <v>696947103.89541101</v>
      </c>
      <c r="ARY61" s="223">
        <f t="shared" si="81"/>
        <v>697247868.23928595</v>
      </c>
      <c r="ARZ61" s="223">
        <f t="shared" si="81"/>
        <v>702103278.86885595</v>
      </c>
      <c r="ASA61" s="223">
        <f t="shared" si="81"/>
        <v>701950749.02409101</v>
      </c>
      <c r="ASB61" s="223">
        <f t="shared" si="81"/>
        <v>701886045.24225402</v>
      </c>
      <c r="ASC61" s="223">
        <f t="shared" si="81"/>
        <v>719799592.91192603</v>
      </c>
      <c r="ASD61" s="223">
        <f t="shared" si="81"/>
        <v>730561641.25905395</v>
      </c>
      <c r="ASE61" s="223">
        <f t="shared" si="81"/>
        <v>775195404.225142</v>
      </c>
      <c r="ASF61" s="223">
        <f t="shared" si="81"/>
        <v>788360248.41771698</v>
      </c>
      <c r="ASG61" s="223">
        <f t="shared" si="81"/>
        <v>732783973.59487605</v>
      </c>
      <c r="ASH61" s="223">
        <f t="shared" si="81"/>
        <v>736266461.72597504</v>
      </c>
      <c r="ASI61" s="223">
        <f t="shared" ref="ASI61:ATO61" si="82">SUM(ASI32:ASI37)+ASI43+ASI56+ASI58+ASI48+ASI52+ASI55</f>
        <v>733969271.39897799</v>
      </c>
      <c r="ASJ61" s="223">
        <f t="shared" si="82"/>
        <v>722373312.88471997</v>
      </c>
      <c r="ASK61" s="223">
        <f t="shared" si="82"/>
        <v>725625673.28341305</v>
      </c>
      <c r="ASL61" s="223">
        <f t="shared" si="82"/>
        <v>740804005.00171697</v>
      </c>
      <c r="ASM61" s="223">
        <f t="shared" si="82"/>
        <v>742237367.13342094</v>
      </c>
      <c r="ASN61" s="223">
        <f t="shared" si="82"/>
        <v>749435458.50997496</v>
      </c>
      <c r="ASO61" s="223">
        <f t="shared" si="82"/>
        <v>749545898.67175305</v>
      </c>
      <c r="ASP61" s="223">
        <f t="shared" si="82"/>
        <v>756283678.38523805</v>
      </c>
      <c r="ASQ61" s="223">
        <f t="shared" si="82"/>
        <v>763614313.46813595</v>
      </c>
      <c r="ASR61" s="223">
        <f t="shared" si="82"/>
        <v>754899192.31300902</v>
      </c>
      <c r="ASS61" s="223">
        <f t="shared" si="82"/>
        <v>769777680.962479</v>
      </c>
      <c r="AST61" s="223">
        <f t="shared" si="82"/>
        <v>770642955.02427006</v>
      </c>
      <c r="ASU61" s="223">
        <f t="shared" si="82"/>
        <v>772595538.66572297</v>
      </c>
      <c r="ASV61" s="223">
        <f t="shared" si="82"/>
        <v>774663979.872774</v>
      </c>
      <c r="ASW61" s="223">
        <f t="shared" si="82"/>
        <v>772568954.36238396</v>
      </c>
      <c r="ASX61" s="223">
        <f t="shared" si="82"/>
        <v>773139924.10062897</v>
      </c>
      <c r="ASY61" s="223">
        <f t="shared" si="82"/>
        <v>773179131.99926102</v>
      </c>
      <c r="ASZ61" s="223">
        <f t="shared" si="82"/>
        <v>839190294.24793899</v>
      </c>
      <c r="ATA61" s="223">
        <f t="shared" si="82"/>
        <v>838057588.21412897</v>
      </c>
      <c r="ATB61" s="223">
        <f t="shared" si="82"/>
        <v>797415166.13477707</v>
      </c>
      <c r="ATC61" s="223">
        <f t="shared" si="82"/>
        <v>799037185.71061099</v>
      </c>
      <c r="ATD61" s="223">
        <f t="shared" si="82"/>
        <v>1032325119.2145211</v>
      </c>
      <c r="ATE61" s="223">
        <f t="shared" si="82"/>
        <v>1021115300.571864</v>
      </c>
      <c r="ATF61" s="223">
        <f t="shared" si="82"/>
        <v>1016346283.2843161</v>
      </c>
      <c r="ATG61" s="223">
        <f t="shared" si="82"/>
        <v>1019729902.871969</v>
      </c>
      <c r="ATH61" s="223">
        <f t="shared" si="82"/>
        <v>1023774986.227401</v>
      </c>
      <c r="ATI61" s="223">
        <f t="shared" si="82"/>
        <v>1034133828.1419179</v>
      </c>
      <c r="ATJ61" s="223">
        <f t="shared" si="82"/>
        <v>1033828005.665692</v>
      </c>
      <c r="ATK61" s="223">
        <f t="shared" si="82"/>
        <v>1035453047.252556</v>
      </c>
      <c r="ATL61" s="223">
        <f t="shared" si="82"/>
        <v>1027724459.341398</v>
      </c>
      <c r="ATM61" s="223">
        <f t="shared" si="82"/>
        <v>1082282786.3554771</v>
      </c>
      <c r="ATN61" s="223">
        <f t="shared" si="82"/>
        <v>1091911733.5456131</v>
      </c>
      <c r="ATO61" s="223">
        <f t="shared" si="82"/>
        <v>1053502427.450965</v>
      </c>
      <c r="ATP61" s="223">
        <f>SUM(ATP32:ATP37)+ATP43+ATP56+ATP58+ATP48+ATP52+ATP55</f>
        <v>1055605836.75808</v>
      </c>
      <c r="ATQ61" s="223">
        <f>SUM(ATQ32:ATQ37)+ATQ43+ATQ56+ATQ58+ATQ48+ATQ52+ATQ55</f>
        <v>1058639798.09798</v>
      </c>
      <c r="ATR61" s="223">
        <f t="shared" ref="ATR61:AXK61" si="83">SUM(ATR32:ATR38)+ATR43+ATR56+ATR58+ATR48+ATR52+ATR55</f>
        <v>1059635912.52984</v>
      </c>
      <c r="ATS61" s="223">
        <f t="shared" si="83"/>
        <v>1056733735.896217</v>
      </c>
      <c r="ATT61" s="223">
        <f t="shared" si="83"/>
        <v>1066553190.15066</v>
      </c>
      <c r="ATU61" s="223">
        <f t="shared" si="83"/>
        <v>1111946345.713932</v>
      </c>
      <c r="ATV61" s="223">
        <f t="shared" si="83"/>
        <v>1152832591.6094639</v>
      </c>
      <c r="ATW61" s="223">
        <f t="shared" si="83"/>
        <v>1158152307.550499</v>
      </c>
      <c r="ATX61" s="223">
        <f t="shared" si="83"/>
        <v>1094817203.4468479</v>
      </c>
      <c r="ATY61" s="223">
        <f t="shared" si="83"/>
        <v>1087432104.8490081</v>
      </c>
      <c r="ATZ61" s="223">
        <f t="shared" si="83"/>
        <v>1094091695.5205071</v>
      </c>
      <c r="AUA61" s="223">
        <f t="shared" si="83"/>
        <v>1096825228.138109</v>
      </c>
      <c r="AUB61" s="223">
        <f t="shared" si="83"/>
        <v>1097351648.9693191</v>
      </c>
      <c r="AUC61" s="223">
        <f t="shared" si="83"/>
        <v>1100921658.683583</v>
      </c>
      <c r="AUD61" s="223">
        <f t="shared" si="83"/>
        <v>1104778050.0805941</v>
      </c>
      <c r="AUE61" s="223">
        <f t="shared" si="83"/>
        <v>1103529396.149251</v>
      </c>
      <c r="AUF61" s="223">
        <f t="shared" si="83"/>
        <v>1106062237.768111</v>
      </c>
      <c r="AUG61" s="223">
        <f t="shared" si="83"/>
        <v>1153367625.150286</v>
      </c>
      <c r="AUH61" s="223">
        <f t="shared" si="83"/>
        <v>1147882817.549015</v>
      </c>
      <c r="AUI61" s="223">
        <f t="shared" si="83"/>
        <v>1115240576.3993549</v>
      </c>
      <c r="AUJ61" s="223">
        <f t="shared" si="83"/>
        <v>1108040897.854233</v>
      </c>
      <c r="AUK61" s="223">
        <f t="shared" si="83"/>
        <v>1104506116.2949901</v>
      </c>
      <c r="AUL61" s="223">
        <f t="shared" si="83"/>
        <v>1644828675.4310799</v>
      </c>
      <c r="AUM61" s="223">
        <f t="shared" si="83"/>
        <v>1639071026.3669219</v>
      </c>
      <c r="AUN61" s="223">
        <f t="shared" si="83"/>
        <v>1649232963.4063001</v>
      </c>
      <c r="AUO61" s="223">
        <f t="shared" si="83"/>
        <v>1598394873.8098001</v>
      </c>
      <c r="AUP61" s="223">
        <f t="shared" si="83"/>
        <v>1598848976.6732001</v>
      </c>
      <c r="AUQ61" s="223">
        <f t="shared" si="83"/>
        <v>1550633236.8450999</v>
      </c>
      <c r="AUR61" s="223">
        <f t="shared" si="83"/>
        <v>1554693015.5221</v>
      </c>
      <c r="AUS61" s="223">
        <f t="shared" si="83"/>
        <v>1550407203.9937</v>
      </c>
      <c r="AUT61" s="223">
        <f t="shared" si="83"/>
        <v>1209596600.7920001</v>
      </c>
      <c r="AUU61" s="223">
        <f t="shared" si="83"/>
        <v>1159248337.5448999</v>
      </c>
      <c r="AUV61" s="223">
        <f t="shared" si="83"/>
        <v>1142945820.3418</v>
      </c>
      <c r="AUW61" s="223">
        <f t="shared" si="83"/>
        <v>868809369.27079999</v>
      </c>
      <c r="AUX61" s="223">
        <f t="shared" si="83"/>
        <v>864509956.89180005</v>
      </c>
      <c r="AUY61" s="223">
        <f t="shared" si="83"/>
        <v>863313904.47720003</v>
      </c>
      <c r="AUZ61" s="223">
        <f t="shared" si="83"/>
        <v>857081901.65779996</v>
      </c>
      <c r="AVA61" s="223">
        <f t="shared" si="83"/>
        <v>822998314.71239996</v>
      </c>
      <c r="AVB61" s="223">
        <f t="shared" si="83"/>
        <v>810140305.20780003</v>
      </c>
      <c r="AVC61" s="223">
        <f t="shared" si="83"/>
        <v>812120839.10220003</v>
      </c>
      <c r="AVD61" s="223">
        <f t="shared" si="83"/>
        <v>822454320.21280003</v>
      </c>
      <c r="AVE61" s="223">
        <f t="shared" si="83"/>
        <v>827019288.25619996</v>
      </c>
      <c r="AVF61" s="223">
        <f t="shared" si="83"/>
        <v>823950038.63489997</v>
      </c>
      <c r="AVG61" s="223">
        <f t="shared" si="83"/>
        <v>935005984.98309994</v>
      </c>
      <c r="AVH61" s="223">
        <f t="shared" si="83"/>
        <v>873377141.94459999</v>
      </c>
      <c r="AVI61" s="223">
        <f t="shared" si="83"/>
        <v>842631608.08340001</v>
      </c>
      <c r="AVJ61" s="223">
        <f t="shared" si="83"/>
        <v>845858412.98899996</v>
      </c>
      <c r="AVK61" s="223">
        <f t="shared" si="83"/>
        <v>546560810.88310003</v>
      </c>
      <c r="AVL61" s="223">
        <f t="shared" si="83"/>
        <v>485978090.11619997</v>
      </c>
      <c r="AVM61" s="223">
        <f t="shared" si="83"/>
        <v>390765272.14170003</v>
      </c>
      <c r="AVN61" s="223">
        <f t="shared" si="83"/>
        <v>566418478.37020004</v>
      </c>
      <c r="AVO61" s="223">
        <f t="shared" si="83"/>
        <v>578353150.75559998</v>
      </c>
      <c r="AVP61" s="223">
        <f t="shared" si="83"/>
        <v>574735108.35889995</v>
      </c>
      <c r="AVQ61" s="223">
        <f t="shared" si="83"/>
        <v>573460440.25929999</v>
      </c>
      <c r="AVR61" s="223">
        <f t="shared" si="83"/>
        <v>573836509.87460005</v>
      </c>
      <c r="AVS61" s="223">
        <f t="shared" si="83"/>
        <v>570800270.07150006</v>
      </c>
      <c r="AVT61" s="223">
        <f t="shared" si="83"/>
        <v>571346462.46449995</v>
      </c>
      <c r="AVU61" s="223">
        <f t="shared" si="83"/>
        <v>570879248.85300004</v>
      </c>
      <c r="AVV61" s="223">
        <f t="shared" si="83"/>
        <v>580332226.50510001</v>
      </c>
      <c r="AVW61" s="223">
        <f t="shared" si="83"/>
        <v>580729336.23049998</v>
      </c>
      <c r="AVX61" s="223">
        <f t="shared" si="83"/>
        <v>582224726.23570001</v>
      </c>
      <c r="AVY61" s="223">
        <f t="shared" si="83"/>
        <v>584154064.80859995</v>
      </c>
      <c r="AVZ61" s="223">
        <f t="shared" si="83"/>
        <v>587403558.98339999</v>
      </c>
      <c r="AWA61" s="223">
        <f t="shared" si="83"/>
        <v>563387478.47520006</v>
      </c>
      <c r="AWB61" s="223">
        <f t="shared" si="83"/>
        <v>863671398.84560001</v>
      </c>
      <c r="AWC61" s="223">
        <f t="shared" si="83"/>
        <v>553408773.25950003</v>
      </c>
      <c r="AWD61" s="223">
        <f t="shared" si="83"/>
        <v>554586982.84389997</v>
      </c>
      <c r="AWE61" s="223">
        <f t="shared" si="83"/>
        <v>494202521.42359996</v>
      </c>
      <c r="AWF61" s="223">
        <f t="shared" si="83"/>
        <v>493757720.28839999</v>
      </c>
      <c r="AWG61" s="223">
        <f t="shared" si="83"/>
        <v>488676792.28100002</v>
      </c>
      <c r="AWH61" s="223">
        <f t="shared" si="83"/>
        <v>487202673.94779998</v>
      </c>
      <c r="AWI61" s="223">
        <f t="shared" si="83"/>
        <v>488790602.96340001</v>
      </c>
      <c r="AWJ61" s="223">
        <f t="shared" si="83"/>
        <v>494797281.079</v>
      </c>
      <c r="AWK61" s="223">
        <f t="shared" si="83"/>
        <v>485393005.97710001</v>
      </c>
      <c r="AWL61" s="223">
        <f t="shared" si="83"/>
        <v>470037354.10180002</v>
      </c>
      <c r="AWM61" s="223">
        <f t="shared" si="83"/>
        <v>493907603.90859997</v>
      </c>
      <c r="AWN61" s="223">
        <f t="shared" si="83"/>
        <v>482427446.15020001</v>
      </c>
      <c r="AWO61" s="223">
        <f t="shared" si="83"/>
        <v>545521759.06299996</v>
      </c>
      <c r="AWP61" s="223">
        <f t="shared" si="83"/>
        <v>435625799.54640001</v>
      </c>
      <c r="AWQ61" s="223">
        <f t="shared" si="83"/>
        <v>348033204.51789999</v>
      </c>
      <c r="AWR61" s="223">
        <f t="shared" si="83"/>
        <v>439903683.18659997</v>
      </c>
      <c r="AWS61" s="223">
        <f t="shared" si="83"/>
        <v>436001310.94</v>
      </c>
      <c r="AWT61" s="223">
        <f t="shared" si="83"/>
        <v>465501679.807998</v>
      </c>
      <c r="AWU61" s="223">
        <f t="shared" si="83"/>
        <v>535693547.09187001</v>
      </c>
      <c r="AWV61" s="223">
        <f t="shared" si="83"/>
        <v>530278989.887573</v>
      </c>
      <c r="AWW61" s="223">
        <f t="shared" si="83"/>
        <v>579788750.22399998</v>
      </c>
      <c r="AWX61" s="223">
        <f t="shared" si="83"/>
        <v>623613671.88280797</v>
      </c>
      <c r="AWY61" s="223">
        <f t="shared" si="83"/>
        <v>568848934.84880304</v>
      </c>
      <c r="AWZ61" s="223">
        <f t="shared" si="83"/>
        <v>564020034.601161</v>
      </c>
      <c r="AXA61" s="223">
        <f t="shared" si="83"/>
        <v>599048138.277601</v>
      </c>
      <c r="AXB61" s="223">
        <f t="shared" si="83"/>
        <v>598461999.99959004</v>
      </c>
      <c r="AXC61" s="223">
        <f t="shared" si="83"/>
        <v>615559412.19426799</v>
      </c>
      <c r="AXD61" s="223">
        <f t="shared" si="83"/>
        <v>606170886.72927499</v>
      </c>
      <c r="AXE61" s="223">
        <f t="shared" si="83"/>
        <v>579398958.41842997</v>
      </c>
      <c r="AXF61" s="223">
        <f t="shared" si="83"/>
        <v>277872780.50692499</v>
      </c>
      <c r="AXG61" s="223">
        <f t="shared" si="83"/>
        <v>270854435.72478402</v>
      </c>
      <c r="AXH61" s="223">
        <f t="shared" si="83"/>
        <v>283634022.19335103</v>
      </c>
      <c r="AXI61" s="223">
        <f t="shared" si="83"/>
        <v>316466156.06750202</v>
      </c>
      <c r="AXJ61" s="223">
        <f t="shared" si="83"/>
        <v>279713945.54114199</v>
      </c>
      <c r="AXK61" s="223">
        <f t="shared" si="83"/>
        <v>279275962.75443602</v>
      </c>
      <c r="AXL61" s="223">
        <f t="shared" ref="AXL61:AXT61" si="84">SUM(AXL32:AXL38)+AXL43+AXL56+AXL58+AXL48+AXL52+AXL55</f>
        <v>279655269.89763403</v>
      </c>
      <c r="AXM61" s="223">
        <f t="shared" si="84"/>
        <v>278316724.77841598</v>
      </c>
      <c r="AXN61" s="223">
        <f t="shared" si="84"/>
        <v>274602373.27508801</v>
      </c>
      <c r="AXO61" s="223">
        <f t="shared" si="84"/>
        <v>271452591.28058398</v>
      </c>
      <c r="AXP61" s="223">
        <f t="shared" si="84"/>
        <v>258130663.50614899</v>
      </c>
      <c r="AXQ61" s="223">
        <f t="shared" si="84"/>
        <v>276287186.826006</v>
      </c>
      <c r="AXR61" s="223">
        <f t="shared" si="84"/>
        <v>274680970.07915998</v>
      </c>
      <c r="AXS61" s="223">
        <f t="shared" si="84"/>
        <v>272184258.06982803</v>
      </c>
      <c r="AXT61" s="223">
        <f t="shared" si="84"/>
        <v>327288713.01438498</v>
      </c>
      <c r="AXU61" s="223">
        <f t="shared" ref="AXU61:AYA61" si="85">SUM(AXU32:AXU38)+AXU43+AXU56+AXU58+AXU48+AXU52+AXU55+AXU57</f>
        <v>341473125.37849104</v>
      </c>
      <c r="AXV61" s="223">
        <f t="shared" si="85"/>
        <v>329158053.60871202</v>
      </c>
      <c r="AXW61" s="223">
        <f t="shared" si="85"/>
        <v>290634934.46253699</v>
      </c>
      <c r="AXX61" s="223">
        <f t="shared" si="85"/>
        <v>290740166.201572</v>
      </c>
      <c r="AXY61" s="223">
        <f t="shared" si="85"/>
        <v>285783807.61320102</v>
      </c>
      <c r="AXZ61" s="223">
        <f t="shared" si="85"/>
        <v>289831972.94301397</v>
      </c>
      <c r="AYA61" s="223">
        <f t="shared" si="85"/>
        <v>281810282.210859</v>
      </c>
      <c r="AYB61" s="223">
        <f t="shared" ref="AYB61:AYL61" si="86">SUM(AYB32:AYB38)+AYB43+AYB56+AYB58+AYB48+AYB52+AYB55+AYB57</f>
        <v>285429196.42870402</v>
      </c>
      <c r="AYC61" s="223">
        <f t="shared" si="86"/>
        <v>351511585.92974699</v>
      </c>
      <c r="AYD61" s="223">
        <f t="shared" si="86"/>
        <v>312065429.897475</v>
      </c>
      <c r="AYE61" s="223">
        <f t="shared" si="86"/>
        <v>291458903.03294504</v>
      </c>
      <c r="AYF61" s="223">
        <f t="shared" si="86"/>
        <v>269529205.458161</v>
      </c>
      <c r="AYG61" s="223">
        <f t="shared" si="86"/>
        <v>280407148.84559101</v>
      </c>
      <c r="AYH61" s="223">
        <f t="shared" si="86"/>
        <v>279140183.67108703</v>
      </c>
      <c r="AYI61" s="223">
        <f t="shared" si="86"/>
        <v>277982310.53463197</v>
      </c>
      <c r="AYJ61" s="223">
        <f t="shared" si="86"/>
        <v>354580487.69091702</v>
      </c>
      <c r="AYK61" s="223">
        <f t="shared" si="86"/>
        <v>354011573.519467</v>
      </c>
      <c r="AYL61" s="223">
        <f t="shared" si="86"/>
        <v>298865571.950001</v>
      </c>
      <c r="AYM61" s="223">
        <f t="shared" ref="AYM61:AZB61" si="87">SUM(AYM32:AYM38)+AYM43+AYM56+AYM58+AYM48+AYM52+AYM55+AYM57</f>
        <v>298326870.370875</v>
      </c>
      <c r="AYN61" s="223">
        <f t="shared" si="87"/>
        <v>289332828.851044</v>
      </c>
      <c r="AYO61" s="223">
        <f t="shared" si="87"/>
        <v>295091846.91631901</v>
      </c>
      <c r="AYP61" s="223">
        <f t="shared" si="87"/>
        <v>279199190.18146801</v>
      </c>
      <c r="AYQ61" s="223">
        <f t="shared" si="87"/>
        <v>279134744.78403801</v>
      </c>
      <c r="AYR61" s="223">
        <f t="shared" si="87"/>
        <v>289457769.34086597</v>
      </c>
      <c r="AYS61" s="223">
        <f t="shared" si="87"/>
        <v>289862827.87717599</v>
      </c>
      <c r="AYT61" s="223">
        <f t="shared" si="87"/>
        <v>284321774.00585997</v>
      </c>
      <c r="AYU61" s="223">
        <f t="shared" si="87"/>
        <v>276170569.96584302</v>
      </c>
      <c r="AYV61" s="223">
        <f t="shared" si="87"/>
        <v>258976588.678388</v>
      </c>
      <c r="AYW61" s="223">
        <f t="shared" si="87"/>
        <v>340289893.08663201</v>
      </c>
      <c r="AYX61" s="223">
        <f t="shared" si="87"/>
        <v>289405294.08901501</v>
      </c>
      <c r="AYY61" s="223">
        <f t="shared" si="87"/>
        <v>277110151.819152</v>
      </c>
      <c r="AYZ61" s="223">
        <f t="shared" si="87"/>
        <v>286634827.07608998</v>
      </c>
      <c r="AZA61" s="223">
        <f t="shared" si="87"/>
        <v>285485042.95549595</v>
      </c>
      <c r="AZB61" s="223">
        <f t="shared" si="87"/>
        <v>599882280.08780503</v>
      </c>
      <c r="AZC61" s="223">
        <f t="shared" ref="AZC61:BAA61" si="88">SUM(AZC32:AZC38)+AZC43+AZC56+AZC58+AZC48+AZC52+AZC55+AZC57</f>
        <v>558436425.69615197</v>
      </c>
      <c r="AZD61" s="223">
        <f t="shared" si="88"/>
        <v>557989935.95502305</v>
      </c>
      <c r="AZE61" s="223">
        <f t="shared" si="88"/>
        <v>557231173.76276994</v>
      </c>
      <c r="AZF61" s="223">
        <f t="shared" si="88"/>
        <v>612856689.14253592</v>
      </c>
      <c r="AZG61" s="223">
        <f t="shared" si="88"/>
        <v>560288849.34438503</v>
      </c>
      <c r="AZH61" s="223">
        <f t="shared" si="88"/>
        <v>543076460.05097699</v>
      </c>
      <c r="AZI61" s="223">
        <f t="shared" si="88"/>
        <v>542623164.61276698</v>
      </c>
      <c r="AZJ61" s="223">
        <f t="shared" si="88"/>
        <v>558621384.95970893</v>
      </c>
      <c r="AZK61" s="223">
        <f t="shared" si="88"/>
        <v>300506221.07635301</v>
      </c>
      <c r="AZL61" s="223">
        <f t="shared" si="88"/>
        <v>298382608.81329101</v>
      </c>
      <c r="AZM61" s="223">
        <f t="shared" si="88"/>
        <v>292395158.094621</v>
      </c>
      <c r="AZN61" s="223">
        <f t="shared" si="88"/>
        <v>287376546.16762596</v>
      </c>
      <c r="AZO61" s="223">
        <f t="shared" si="88"/>
        <v>284898828.75600803</v>
      </c>
      <c r="AZP61" s="223">
        <f t="shared" si="88"/>
        <v>326688432.29820502</v>
      </c>
      <c r="AZQ61" s="223">
        <f t="shared" si="88"/>
        <v>326259288.370924</v>
      </c>
      <c r="AZR61" s="223">
        <f t="shared" si="88"/>
        <v>314731017.28843898</v>
      </c>
      <c r="AZS61" s="223">
        <f t="shared" si="88"/>
        <v>337476525.77849603</v>
      </c>
      <c r="AZT61" s="223">
        <f t="shared" si="88"/>
        <v>337221995.13848901</v>
      </c>
      <c r="AZU61" s="223">
        <f t="shared" si="88"/>
        <v>294991987.48143399</v>
      </c>
      <c r="AZV61" s="223">
        <f t="shared" si="88"/>
        <v>297575985.60003501</v>
      </c>
      <c r="AZW61" s="223">
        <f t="shared" si="88"/>
        <v>292693274.75278497</v>
      </c>
      <c r="AZX61" s="223">
        <f t="shared" si="88"/>
        <v>324533957.68225205</v>
      </c>
      <c r="AZY61" s="223">
        <f t="shared" si="88"/>
        <v>327852965.49788296</v>
      </c>
      <c r="AZZ61" s="223">
        <f t="shared" si="88"/>
        <v>385690364.86810893</v>
      </c>
      <c r="BAA61" s="223">
        <f t="shared" si="88"/>
        <v>376137889.25584495</v>
      </c>
      <c r="BAB61" s="223">
        <f t="shared" ref="BAB61:BAO61" si="89">SUM(BAB32:BAB38)+BAB43+BAB56+BAB58+BAB48+BAB52+BAB55+BAB57</f>
        <v>327160388.56500202</v>
      </c>
      <c r="BAC61" s="223">
        <f t="shared" si="89"/>
        <v>342645979.89964402</v>
      </c>
      <c r="BAD61" s="223">
        <f t="shared" si="89"/>
        <v>336901740.34704494</v>
      </c>
      <c r="BAE61" s="223">
        <f t="shared" si="89"/>
        <v>377374539.42564392</v>
      </c>
      <c r="BAF61" s="223">
        <f t="shared" si="89"/>
        <v>372787578.590038</v>
      </c>
      <c r="BAG61" s="223">
        <f t="shared" si="89"/>
        <v>378572223.97229302</v>
      </c>
      <c r="BAH61" s="223">
        <f t="shared" si="89"/>
        <v>341968766.17129898</v>
      </c>
      <c r="BAI61" s="223">
        <f t="shared" si="89"/>
        <v>346459384.82696998</v>
      </c>
      <c r="BAJ61" s="223">
        <f t="shared" si="89"/>
        <v>342330109.16651297</v>
      </c>
      <c r="BAK61" s="223">
        <f t="shared" si="89"/>
        <v>341496835.40651298</v>
      </c>
      <c r="BAL61" s="223">
        <f t="shared" si="89"/>
        <v>337473805.09788901</v>
      </c>
      <c r="BAM61" s="223">
        <f t="shared" si="89"/>
        <v>340772445.17736995</v>
      </c>
      <c r="BAN61" s="223">
        <f t="shared" si="89"/>
        <v>403991832.31281501</v>
      </c>
      <c r="BAO61" s="223">
        <f t="shared" si="89"/>
        <v>407934549.37331003</v>
      </c>
      <c r="BAP61" s="223">
        <f>SUM(BAP32:BAP38)+BAP43+BAP56+BAP58+BAP48+BAP52+BAP55+BAP57</f>
        <v>552951989.72186995</v>
      </c>
      <c r="BAQ61" s="223">
        <f>SUM(BAQ32:BAQ38)+BAQ43+BAQ56+BAQ58+BAQ48+BAQ52+BAQ55+BAQ57</f>
        <v>550849774.10587001</v>
      </c>
    </row>
    <row r="62" spans="1:1395" s="183" customFormat="1" x14ac:dyDescent="0.2">
      <c r="A62" s="208"/>
      <c r="B62" s="208"/>
      <c r="QQ62" s="223"/>
      <c r="RE62" s="304"/>
      <c r="RF62" s="304"/>
      <c r="RG62" s="304"/>
      <c r="RH62" s="304"/>
      <c r="RI62" s="304"/>
      <c r="RJ62" s="304"/>
      <c r="RR62" s="304"/>
      <c r="RS62" s="304"/>
      <c r="RT62" s="304"/>
      <c r="VG62" s="306"/>
      <c r="VH62" s="306"/>
      <c r="YX62" s="427"/>
      <c r="ZC62" s="427"/>
      <c r="ZD62" s="427"/>
    </row>
    <row r="63" spans="1:1395" x14ac:dyDescent="0.2">
      <c r="A63" s="487" t="s">
        <v>82</v>
      </c>
      <c r="B63" s="487"/>
      <c r="GD63" s="218"/>
      <c r="SE63" s="183"/>
      <c r="SF63" s="183"/>
      <c r="SG63" s="183"/>
      <c r="SH63" s="183"/>
      <c r="SI63" s="183"/>
      <c r="SJ63" s="183"/>
      <c r="SK63" s="183"/>
      <c r="YZ63" s="427"/>
      <c r="ZC63" s="427"/>
      <c r="ZH63" s="427"/>
      <c r="ZJ63" s="427"/>
      <c r="ZK63" s="427"/>
      <c r="ZL63" s="427"/>
      <c r="ZM63" s="427"/>
      <c r="ZN63" s="427"/>
      <c r="ZO63" s="427"/>
      <c r="ZP63" s="427"/>
      <c r="ZQ63" s="427"/>
      <c r="AGD63" s="183"/>
    </row>
    <row r="64" spans="1:1395" ht="15" x14ac:dyDescent="0.25">
      <c r="MJ64" s="218"/>
      <c r="RL64" s="310"/>
      <c r="RM64" s="310"/>
      <c r="RN64" s="310"/>
      <c r="RO64" s="310"/>
      <c r="RP64" s="310"/>
      <c r="RQ64" s="310"/>
      <c r="RR64" s="313"/>
      <c r="RX64" s="486"/>
      <c r="RY64" s="486"/>
      <c r="RZ64" s="486"/>
      <c r="SA64" s="486"/>
      <c r="SB64" s="486"/>
      <c r="SC64" s="486"/>
      <c r="SD64" s="486"/>
      <c r="SE64" s="183"/>
      <c r="SF64" s="183"/>
      <c r="SG64" s="183"/>
      <c r="SH64" s="183"/>
      <c r="SI64" s="183"/>
      <c r="SJ64" s="183"/>
      <c r="SK64" s="183"/>
      <c r="ZB64" s="427"/>
      <c r="ZC64" s="427"/>
      <c r="ZD64" s="427"/>
      <c r="ZJ64" s="427"/>
      <c r="ZK64" s="427"/>
      <c r="ZL64" s="427"/>
      <c r="ZM64" s="427"/>
      <c r="ZN64" s="427"/>
      <c r="ZO64" s="427"/>
      <c r="ZP64" s="427"/>
      <c r="ZQ64" s="427"/>
      <c r="AGC64" s="183"/>
      <c r="AGD64" s="183"/>
    </row>
    <row r="65" spans="2:862 1131:1132" ht="12.75" customHeight="1" x14ac:dyDescent="0.2">
      <c r="B65" s="186" t="s">
        <v>96</v>
      </c>
      <c r="NC65" s="218">
        <f>NC32+NC35</f>
        <v>4973661.7699999996</v>
      </c>
      <c r="RX65" s="484"/>
      <c r="RY65" s="484"/>
      <c r="RZ65" s="484"/>
      <c r="SA65" s="484"/>
      <c r="SB65" s="484"/>
      <c r="SC65" s="484"/>
      <c r="SD65" s="484"/>
      <c r="SE65" s="183"/>
      <c r="SF65" s="183"/>
      <c r="SG65" s="183"/>
      <c r="SH65" s="183"/>
      <c r="SI65" s="183"/>
      <c r="SJ65" s="183"/>
      <c r="SK65" s="183"/>
      <c r="ZA65" s="427"/>
      <c r="ZD65" s="427"/>
      <c r="ZH65" s="427"/>
      <c r="ZJ65" s="427"/>
      <c r="AAQ65" s="480"/>
      <c r="AAR65" s="480"/>
      <c r="AAS65" s="480"/>
      <c r="AAT65" s="480"/>
      <c r="AAU65" s="480"/>
      <c r="AAV65" s="480"/>
      <c r="AAW65" s="480"/>
      <c r="AGC65" s="183"/>
      <c r="AGD65" s="183"/>
      <c r="AQM65" s="455"/>
      <c r="AQN65" s="456"/>
    </row>
    <row r="66" spans="2:862 1131:1132" x14ac:dyDescent="0.2">
      <c r="AFW66" s="310"/>
      <c r="AFX66" s="310"/>
      <c r="AFY66" s="310"/>
      <c r="AFZ66" s="310"/>
      <c r="AGA66" s="310"/>
      <c r="AGB66" s="310"/>
      <c r="AGC66" s="183"/>
      <c r="AGD66" s="183"/>
      <c r="AQM66" s="455"/>
      <c r="AQN66" s="456"/>
    </row>
    <row r="67" spans="2:862 1131:1132" x14ac:dyDescent="0.2">
      <c r="AQM67" s="455"/>
      <c r="AQN67" s="456"/>
    </row>
    <row r="68" spans="2:862 1131:1132" x14ac:dyDescent="0.2">
      <c r="AQM68" s="455"/>
      <c r="AQN68" s="456"/>
    </row>
    <row r="69" spans="2:862 1131:1132" x14ac:dyDescent="0.2">
      <c r="AQM69" s="455"/>
      <c r="AQN69" s="456"/>
    </row>
    <row r="70" spans="2:862 1131:1132" x14ac:dyDescent="0.2">
      <c r="AQM70" s="455"/>
      <c r="AQN70" s="456"/>
    </row>
    <row r="71" spans="2:862 1131:1132" x14ac:dyDescent="0.2">
      <c r="AQM71" s="432"/>
      <c r="AQN71" s="432"/>
    </row>
  </sheetData>
  <mergeCells count="17">
    <mergeCell ref="A63:B63"/>
    <mergeCell ref="A61:B61"/>
    <mergeCell ref="A44:A47"/>
    <mergeCell ref="A49:A51"/>
    <mergeCell ref="AAQ65:AAW65"/>
    <mergeCell ref="A5:A7"/>
    <mergeCell ref="A21:B21"/>
    <mergeCell ref="A13:A15"/>
    <mergeCell ref="A22:A25"/>
    <mergeCell ref="A32:A37"/>
    <mergeCell ref="A8:A10"/>
    <mergeCell ref="A18:A20"/>
    <mergeCell ref="A39:A42"/>
    <mergeCell ref="A28:B28"/>
    <mergeCell ref="RX65:SD65"/>
    <mergeCell ref="A54:A58"/>
    <mergeCell ref="RX64:SD64"/>
  </mergeCells>
  <conditionalFormatting sqref="B19:B20 A1:B18 C1:RN1 C2:CQ35 CW3:CY34 CX35:CY35 A21:B35 CZ32:HM35 HP32:IP35 HU56:IP57 CZ3:RN31 IR32:QP35 C61:QP61 EA2:RN2 QR61:RN61 QR39:RN43 QR32:RM35 A59 RP41:SH41 RQ1:TJ1 RP56:SM57 SJ41:TB41 RP58:TB60 SO56:TB57 RP42:TB43 RP65:SZ65 RP3:TB35 A61:B65 C62:RN65 RO61:RO65 SB2:TC2 TB65:TD65 TF65:TH65 TC2:TJ35 TL59:TO60 TM58:TO58 RP62:TO64 TJ65:TL65 TN65:TO65 TM2:TO2 TL3:TO35 TP56:TQ58 TP64:UA65 UD64:UN65 TP54:TQ54 TL54:TO57 TC54:TJ60 QR54:RN57 IR54:QP57 HP54:IP55 C54:HM58 A54:B54 TL1:UN1 TP39:UD43 TP32:UB35 TR54:UN60 UE37:UN43 UD37:UD38 TP37:UB38 TL37:TO43 TC37:TJ43 RP37:TB40 QR37:RM38 IR37:QP43 HP37:IP43 TP2:UN31 UD32:UM35 UO64:XA64 UO65:UR65 VA65:WC65 UP1:XA1 TP63:WR63 WJ39:WN39 WJ3:WN31 TP62:WP62 WR62 WT63:XA63 XK39:XW39 WT39 WR3:WU31 WT54:WT57 WT59:WT60 WT41:WT42 WT62:WU62 WW62:WX62 XC1:XH1 XC64:XG64 XC62 XE62 WL65:XC65 XK65:YF65 XC63:XF63 XJ64:YF64 XJ1:YF1 XK54:XW55 XK35:XW35 XK41:XW42 XK58:XW60 XW33:XW34 XS56:XW57 XK2:XW32 XJ62:XX63 XZ63:YC63 XZ62 YC62 YE63:YF63 YE62 A37:HM41 YH62 YJ62:YL62 YH1:YS1 YT1:ZK35 YT37:ZK43 YT54:ZK60 AAF39:AAJ39 ZR1:ZW1 YT62:ZS62 ZW62 AAD1 AAF1:AAL1 AAF3:AAJ31 AAF41:AAJ42 AAI32:AAJ32 AAF34:AAJ35 AAF54:AAJ60 ZX62:AAJ63 AAN39 ZX64:AAK65 YG63:ZW65 AAN1:AAZ1 AAN54:AAN57 AAN3:AAN32 AAN35 AAN41:AAN42 AAN59:AAN60 AAN62 AAP3:AAQ32 AAP54:AAQ57 AAP39:AAQ39 AAP35:AAQ35 AAQ34 AAQ41:AAQ42 AAP62:AAS62 AAQ59:AAQ60 AAS37:AAS39 AAS54:AAS57 AAS3:AAS35 AAN63:AAS63 ABK37:ACG39 AAU63:ABC63 AAV62 AAX62:ABC62 ABB1:ABD1 ABH1:ABI1 ABK54:ACG57 ABK42:ACG43 ABK59:ACG60 ABO40:ACB40 ABK41:ACB41 ACF40:ACG41 ABN58:ACG58 ABK2:ACG35 ACK40 HN44:RO53 RP47:TB55 TC44:AAR53 AAS45:ABJ53 ACI56:ADB57 ABK1:AHY1 ACI54:ADJ55 ACI37:ADJ39 ACI42:ADJ43 ACI59:ADJ60 ACP40:ADJ40 ABK44:ADJ53 ACN58:ADJ58 ADD56:ADJ57 ADL39:AEX40 ACI32:ADJ35 ABK65:ADH65 ADO65:AGB65 AAN64:ABG65 ABH63:ABJ65 ADP41:AEX41 A43:HM43 A42 C42:HM42 ADL56:ADN57 ADL37:ADR38 ADT37:AEB38 ADL32:ADR35 AEE37:AEE38 AEH37:AEJ38 AEL37:AEL38 ADT32:AEX35 AEN37:AEX38 ADL42:AEX55 ADL58:AEX60 ADP56:AEX57 ACI2:AEX31 AFA2:AFO2 AEZ59:AFO60 AEZ56:AEZ57 AEZ3:AFO35 AEZ37:AFO55 AFC58:AFO58 AFB56:AFO57 AFP39:AFP60 AFP2:AFY35 AFQ37:AFY60 AGA2:AGA35 AGA59:AGB60 AGA39:AGC55 AGA37:AGA38 AGC3:AGC31 AGC35 ABK62:AGB64 A66:AGB66 AGC64:AGC66 AGA56:AGB57 AGD63:AHY66 AGE59:AHN60 AGE62:AHU62 AGG56:AGH57 AGN56:AGR57 AGL58:AGR58 AGE39:AHY54 AGE37:AHB38 AHE37:AHI38 AGE2:AHY31 AGE33:AHI35 AHK35:AHT35 AHK37:AHK38 AHK34 AHM33:AHP34 AHP59:AHP60 AGE32:AHP32 AHR32:AHT34 AHP37:AHT38 AGE55:AHP55 AHR55:AHY55 AHS59:AHS60 AHW37:AHY38 AHW32:AHY35 AHW62:AHY62 B55:B57 AIA1:ALF1 AIA37:AIB55 AIA59:AIB60 AIA2:AIB35 AID59:ALF60 AIE56:AIE57 AID51 AID53:ALF55 AIF51:ALF51 AIG50:ALF50 AIY52:ALF52 AIG56:AKR57 AID2:ALF35 AID37:ALF49 ALI33:ALR33 ALH34:ALR35 ALH32:ALR32 ALI42:AML42 ALS43:AML43 ALX33:AMN33 ALW34:AMN34 ALH55:AMN55 ALS58:AMN58 ALY32:AOI32 AMD37:AOI38 AMO33:AOI34 ALH39:API41 ALH44:API54 ALH59:API60 AMM42:API43 ALT35:API35 AOM32:API34 AMN55:API58 AHZ62:AQL67 AOW37:APN38 ALH1:AQL31 APJ32:AQI35 APJ39:AQL60 AQN1:XFD1 A67:AHY67 A71:XFD1048576 AQN3:AQR31 A68:AQL70 AQO65:XFD70 AQN59:AQR60 AQN63:XFD64 AQO2:AQR2 AQN39:AQQ39 AQS39:AYA39 AQN62:AQR62 AQT59:AYA60 AQT62:XFD62 ARQ56:AYA56 AXU55:AYA55 ASP33:AXV33 AQT34:AXV35 ARQ37:AXV38 ARQ57:AXU57 AXZ37:AYA38 AQT32:AXV32 AXZ32:AYA35 AQT2:AYA31 AQN40:AYA54 AYC53:XFD54 AYC59:XFD60 BAR61:XFD61 AYD35:AYG35 AYG38 AYD32:AYG32 AYG33:AYG34 AYD37:AYG37 AYK35:AZC35 AYC2:AZC31 AYM32:AZC34 AYM37:AZC38 AZD51:XFD51 AZE3:XFD31 BAR52:XFD52 AYC55:AZC56 AZM57:XFD57 BAP58:XFD58 AZE35:BAP35 AZE56:BAP56 AYC39:XFD49 AZN2:XFD2 AZN32:BAP32 BAK33:BAP33 AZI34:BAP34 BAB37:BAP37 AZT38:BAP38 AZK55:BAP55 BAR37:XFD38 BAR32:XFD35 BAP50:XFD50 BAR55:XFD56">
    <cfRule type="cellIs" dxfId="1460" priority="1676" operator="equal">
      <formula>0</formula>
    </cfRule>
  </conditionalFormatting>
  <conditionalFormatting sqref="CR2:CV35 CW35 CW2:DZ2">
    <cfRule type="cellIs" dxfId="1459" priority="1675" operator="equal">
      <formula>0</formula>
    </cfRule>
  </conditionalFormatting>
  <conditionalFormatting sqref="HN32:HN35 HN54:HN57 HN37:HN43">
    <cfRule type="cellIs" dxfId="1458" priority="1674" operator="equal">
      <formula>0</formula>
    </cfRule>
  </conditionalFormatting>
  <conditionalFormatting sqref="HO32:HO35 HO54:HO57 HO37:HO43">
    <cfRule type="cellIs" dxfId="1457" priority="1673" operator="equal">
      <formula>0</formula>
    </cfRule>
  </conditionalFormatting>
  <conditionalFormatting sqref="HP56:HP57">
    <cfRule type="cellIs" dxfId="1456" priority="1672" operator="equal">
      <formula>0</formula>
    </cfRule>
  </conditionalFormatting>
  <conditionalFormatting sqref="HQ56:HQ57">
    <cfRule type="cellIs" dxfId="1455" priority="1671" operator="equal">
      <formula>0</formula>
    </cfRule>
  </conditionalFormatting>
  <conditionalFormatting sqref="HR56:HR57">
    <cfRule type="cellIs" dxfId="1454" priority="1670" operator="equal">
      <formula>0</formula>
    </cfRule>
  </conditionalFormatting>
  <conditionalFormatting sqref="HS56:HS57">
    <cfRule type="cellIs" dxfId="1453" priority="1669" operator="equal">
      <formula>0</formula>
    </cfRule>
  </conditionalFormatting>
  <conditionalFormatting sqref="HT56:HT57">
    <cfRule type="cellIs" dxfId="1452" priority="1668" operator="equal">
      <formula>0</formula>
    </cfRule>
  </conditionalFormatting>
  <conditionalFormatting sqref="IQ32:IQ35 IQ54:IQ57 IQ37:IQ43">
    <cfRule type="cellIs" dxfId="1451" priority="1667" operator="equal">
      <formula>0</formula>
    </cfRule>
  </conditionalFormatting>
  <conditionalFormatting sqref="QQ32:QQ35 QQ61 QQ54:QQ57 QQ37:QQ43">
    <cfRule type="cellIs" dxfId="1450" priority="1666" operator="equal">
      <formula>0</formula>
    </cfRule>
  </conditionalFormatting>
  <conditionalFormatting sqref="HP58:IP59 HU60:IP60 IR58:QP60 QR58:RN60 A60:HM60 C59:HM59">
    <cfRule type="cellIs" dxfId="1449" priority="1665" operator="equal">
      <formula>0</formula>
    </cfRule>
  </conditionalFormatting>
  <conditionalFormatting sqref="HN58:HN60">
    <cfRule type="cellIs" dxfId="1448" priority="1664" operator="equal">
      <formula>0</formula>
    </cfRule>
  </conditionalFormatting>
  <conditionalFormatting sqref="HO58:HO60">
    <cfRule type="cellIs" dxfId="1447" priority="1663" operator="equal">
      <formula>0</formula>
    </cfRule>
  </conditionalFormatting>
  <conditionalFormatting sqref="HP60">
    <cfRule type="cellIs" dxfId="1446" priority="1662" operator="equal">
      <formula>0</formula>
    </cfRule>
  </conditionalFormatting>
  <conditionalFormatting sqref="HQ60">
    <cfRule type="cellIs" dxfId="1445" priority="1661" operator="equal">
      <formula>0</formula>
    </cfRule>
  </conditionalFormatting>
  <conditionalFormatting sqref="HR60">
    <cfRule type="cellIs" dxfId="1444" priority="1660" operator="equal">
      <formula>0</formula>
    </cfRule>
  </conditionalFormatting>
  <conditionalFormatting sqref="HS60">
    <cfRule type="cellIs" dxfId="1443" priority="1659" operator="equal">
      <formula>0</formula>
    </cfRule>
  </conditionalFormatting>
  <conditionalFormatting sqref="HT60">
    <cfRule type="cellIs" dxfId="1442" priority="1658" operator="equal">
      <formula>0</formula>
    </cfRule>
  </conditionalFormatting>
  <conditionalFormatting sqref="IQ58:IQ60">
    <cfRule type="cellIs" dxfId="1441" priority="1657" operator="equal">
      <formula>0</formula>
    </cfRule>
  </conditionalFormatting>
  <conditionalFormatting sqref="QQ58:QQ60">
    <cfRule type="cellIs" dxfId="1440" priority="1656" operator="equal">
      <formula>0</formula>
    </cfRule>
  </conditionalFormatting>
  <conditionalFormatting sqref="RO1:RO35 RP61:RY61 RO54:RO57 RO37:RO43">
    <cfRule type="cellIs" dxfId="1439" priority="1655" operator="equal">
      <formula>0</formula>
    </cfRule>
  </conditionalFormatting>
  <conditionalFormatting sqref="RO58:RO60">
    <cfRule type="cellIs" dxfId="1438" priority="1654" operator="equal">
      <formula>0</formula>
    </cfRule>
  </conditionalFormatting>
  <conditionalFormatting sqref="RN32:RN35 RN37:RN38">
    <cfRule type="cellIs" dxfId="1437" priority="1653" operator="equal">
      <formula>0</formula>
    </cfRule>
  </conditionalFormatting>
  <conditionalFormatting sqref="RP2">
    <cfRule type="cellIs" dxfId="1436" priority="1652" operator="equal">
      <formula>0</formula>
    </cfRule>
  </conditionalFormatting>
  <conditionalFormatting sqref="RQ2:SA2">
    <cfRule type="cellIs" dxfId="1435" priority="1651" operator="equal">
      <formula>0</formula>
    </cfRule>
  </conditionalFormatting>
  <conditionalFormatting sqref="RZ61:ST61">
    <cfRule type="cellIs" dxfId="1434" priority="1650" operator="equal">
      <formula>0</formula>
    </cfRule>
  </conditionalFormatting>
  <conditionalFormatting sqref="SU61:TJ61">
    <cfRule type="cellIs" dxfId="1433" priority="1649" operator="equal">
      <formula>0</formula>
    </cfRule>
  </conditionalFormatting>
  <conditionalFormatting sqref="TK1:TK35 TL2 TK54:TK60 TK37:TK43">
    <cfRule type="cellIs" dxfId="1432" priority="1648" operator="equal">
      <formula>0</formula>
    </cfRule>
  </conditionalFormatting>
  <conditionalFormatting sqref="TK61:TO61">
    <cfRule type="cellIs" dxfId="1431" priority="1647" operator="equal">
      <formula>0</formula>
    </cfRule>
  </conditionalFormatting>
  <conditionalFormatting sqref="TL58">
    <cfRule type="cellIs" dxfId="1430" priority="1646" operator="equal">
      <formula>0</formula>
    </cfRule>
  </conditionalFormatting>
  <conditionalFormatting sqref="TP59:TP60">
    <cfRule type="cellIs" dxfId="1429" priority="1645" operator="equal">
      <formula>0</formula>
    </cfRule>
  </conditionalFormatting>
  <conditionalFormatting sqref="TP61:UN61">
    <cfRule type="cellIs" dxfId="1428" priority="1644" operator="equal">
      <formula>0</formula>
    </cfRule>
  </conditionalFormatting>
  <conditionalFormatting sqref="TQ59:TQ60">
    <cfRule type="cellIs" dxfId="1427" priority="1642" operator="equal">
      <formula>0</formula>
    </cfRule>
  </conditionalFormatting>
  <conditionalFormatting sqref="A44:HM44 RP46:SH46 SJ46:TB46 RP44:TB45 A47:HM48 B49:HM50 A52:HM53 C51:HM51 A45:A46 C45:HM46">
    <cfRule type="cellIs" dxfId="1426" priority="1640" operator="equal">
      <formula>0</formula>
    </cfRule>
  </conditionalFormatting>
  <conditionalFormatting sqref="B45">
    <cfRule type="cellIs" dxfId="1425" priority="1633" operator="equal">
      <formula>0</formula>
    </cfRule>
  </conditionalFormatting>
  <conditionalFormatting sqref="UC32:UC35 UC37:UC38">
    <cfRule type="cellIs" dxfId="1424" priority="1632" operator="equal">
      <formula>0</formula>
    </cfRule>
  </conditionalFormatting>
  <conditionalFormatting sqref="B59">
    <cfRule type="cellIs" dxfId="1423" priority="1631" operator="equal">
      <formula>0</formula>
    </cfRule>
  </conditionalFormatting>
  <conditionalFormatting sqref="UD36:UM36 TL36:UB36 RP36:TJ36 QR36:RM36 IR36:QP36 HP36:IP36 A36:HM36 XR36:XW36 YT36:ZK36 AAF36:AAJ36 AAS36 ABK36:ACG36 ACI36:ADJ36 ADL36:ADR36 ADT36:AEB36 AED36:AEE36 AEG36:AEJ36 AEL36 AEN36:AEX36 AEZ36:AFO36 AFQ36:AFY36 AGA36 AGE36:AHB36 AHD36:AHI36 AHK36 AHM36:AHN36 AHP36:AHT36 AHW36:AHY36 AIA36:AIB36 AID36:ALF36 ALH36:ALR36 AMD36:AOI36 AOK36:AOU36 APB36:APN36 APW36:AQI36 AQU36:AXV36 AXZ36:AYA36 AYD36:AYG36 AYM36:AZC36 AZK36:BAP36 BAR36:XFD36">
    <cfRule type="cellIs" dxfId="1422" priority="1630" operator="equal">
      <formula>0</formula>
    </cfRule>
  </conditionalFormatting>
  <conditionalFormatting sqref="HN36">
    <cfRule type="cellIs" dxfId="1421" priority="1629" operator="equal">
      <formula>0</formula>
    </cfRule>
  </conditionalFormatting>
  <conditionalFormatting sqref="HO36">
    <cfRule type="cellIs" dxfId="1420" priority="1628" operator="equal">
      <formula>0</formula>
    </cfRule>
  </conditionalFormatting>
  <conditionalFormatting sqref="IQ36">
    <cfRule type="cellIs" dxfId="1419" priority="1627" operator="equal">
      <formula>0</formula>
    </cfRule>
  </conditionalFormatting>
  <conditionalFormatting sqref="QQ36">
    <cfRule type="cellIs" dxfId="1418" priority="1626" operator="equal">
      <formula>0</formula>
    </cfRule>
  </conditionalFormatting>
  <conditionalFormatting sqref="RO36">
    <cfRule type="cellIs" dxfId="1417" priority="1625" operator="equal">
      <formula>0</formula>
    </cfRule>
  </conditionalFormatting>
  <conditionalFormatting sqref="RN36">
    <cfRule type="cellIs" dxfId="1416" priority="1624" operator="equal">
      <formula>0</formula>
    </cfRule>
  </conditionalFormatting>
  <conditionalFormatting sqref="TK36">
    <cfRule type="cellIs" dxfId="1415" priority="1623" operator="equal">
      <formula>0</formula>
    </cfRule>
  </conditionalFormatting>
  <conditionalFormatting sqref="UC36">
    <cfRule type="cellIs" dxfId="1414" priority="1622" operator="equal">
      <formula>0</formula>
    </cfRule>
  </conditionalFormatting>
  <conditionalFormatting sqref="UO1:UO35 UP2:WI31 UO39:WI39 UO37:WH38 UP32:WH35 UO40:WH40 WJ2:WN2 UO41:WN43 UO54:WN60">
    <cfRule type="cellIs" dxfId="1413" priority="1621" operator="equal">
      <formula>0</formula>
    </cfRule>
  </conditionalFormatting>
  <conditionalFormatting sqref="UO61:WN61">
    <cfRule type="cellIs" dxfId="1412" priority="1620" operator="equal">
      <formula>0</formula>
    </cfRule>
  </conditionalFormatting>
  <conditionalFormatting sqref="UO36:WH36">
    <cfRule type="cellIs" dxfId="1411" priority="1618" operator="equal">
      <formula>0</formula>
    </cfRule>
  </conditionalFormatting>
  <conditionalFormatting sqref="UN32:UN36">
    <cfRule type="cellIs" dxfId="1410" priority="1617" operator="equal">
      <formula>0</formula>
    </cfRule>
  </conditionalFormatting>
  <conditionalFormatting sqref="WJ32:WN35 WJ37:WN38">
    <cfRule type="cellIs" dxfId="1409" priority="1616" operator="equal">
      <formula>0</formula>
    </cfRule>
  </conditionalFormatting>
  <conditionalFormatting sqref="WJ36:WN36">
    <cfRule type="cellIs" dxfId="1408" priority="1615" operator="equal">
      <formula>0</formula>
    </cfRule>
  </conditionalFormatting>
  <conditionalFormatting sqref="WI32:WI35 WI37:WI38">
    <cfRule type="cellIs" dxfId="1407" priority="1614" operator="equal">
      <formula>0</formula>
    </cfRule>
  </conditionalFormatting>
  <conditionalFormatting sqref="WI36">
    <cfRule type="cellIs" dxfId="1406" priority="1613" operator="equal">
      <formula>0</formula>
    </cfRule>
  </conditionalFormatting>
  <conditionalFormatting sqref="WI40:WN40">
    <cfRule type="cellIs" dxfId="1405" priority="1612" operator="equal">
      <formula>0</formula>
    </cfRule>
  </conditionalFormatting>
  <conditionalFormatting sqref="WO39 WO3:WO31">
    <cfRule type="cellIs" dxfId="1404" priority="1611" operator="equal">
      <formula>0</formula>
    </cfRule>
  </conditionalFormatting>
  <conditionalFormatting sqref="WO2 WO41:WO43 WO54:WO60">
    <cfRule type="cellIs" dxfId="1403" priority="1610" operator="equal">
      <formula>0</formula>
    </cfRule>
  </conditionalFormatting>
  <conditionalFormatting sqref="WO61">
    <cfRule type="cellIs" dxfId="1402" priority="1609" operator="equal">
      <formula>0</formula>
    </cfRule>
  </conditionalFormatting>
  <conditionalFormatting sqref="WO32:WO35 WO37:WO38">
    <cfRule type="cellIs" dxfId="1401" priority="1607" operator="equal">
      <formula>0</formula>
    </cfRule>
  </conditionalFormatting>
  <conditionalFormatting sqref="WO36">
    <cfRule type="cellIs" dxfId="1400" priority="1606" operator="equal">
      <formula>0</formula>
    </cfRule>
  </conditionalFormatting>
  <conditionalFormatting sqref="WO40">
    <cfRule type="cellIs" dxfId="1399" priority="1605" operator="equal">
      <formula>0</formula>
    </cfRule>
  </conditionalFormatting>
  <conditionalFormatting sqref="WP39 WP3:WP31">
    <cfRule type="cellIs" dxfId="1398" priority="1604" operator="equal">
      <formula>0</formula>
    </cfRule>
  </conditionalFormatting>
  <conditionalFormatting sqref="WP2 WP41:WP43 WP54:WP60">
    <cfRule type="cellIs" dxfId="1397" priority="1603" operator="equal">
      <formula>0</formula>
    </cfRule>
  </conditionalFormatting>
  <conditionalFormatting sqref="WP61">
    <cfRule type="cellIs" dxfId="1396" priority="1602" operator="equal">
      <formula>0</formula>
    </cfRule>
  </conditionalFormatting>
  <conditionalFormatting sqref="WP32 WP35">
    <cfRule type="cellIs" dxfId="1395" priority="1600" operator="equal">
      <formula>0</formula>
    </cfRule>
  </conditionalFormatting>
  <conditionalFormatting sqref="WP36">
    <cfRule type="cellIs" dxfId="1394" priority="1599" operator="equal">
      <formula>0</formula>
    </cfRule>
  </conditionalFormatting>
  <conditionalFormatting sqref="WP40">
    <cfRule type="cellIs" dxfId="1393" priority="1598" operator="equal">
      <formula>0</formula>
    </cfRule>
  </conditionalFormatting>
  <conditionalFormatting sqref="WP37:WP38">
    <cfRule type="cellIs" dxfId="1392" priority="1597" operator="equal">
      <formula>0</formula>
    </cfRule>
  </conditionalFormatting>
  <conditionalFormatting sqref="WP33">
    <cfRule type="cellIs" dxfId="1391" priority="1596" operator="equal">
      <formula>0</formula>
    </cfRule>
  </conditionalFormatting>
  <conditionalFormatting sqref="WP34">
    <cfRule type="cellIs" dxfId="1390" priority="1595" operator="equal">
      <formula>0</formula>
    </cfRule>
  </conditionalFormatting>
  <conditionalFormatting sqref="WQ62">
    <cfRule type="cellIs" dxfId="1389" priority="1594" operator="equal">
      <formula>0</formula>
    </cfRule>
  </conditionalFormatting>
  <conditionalFormatting sqref="WQ39 WQ3:WQ31">
    <cfRule type="cellIs" dxfId="1388" priority="1593" operator="equal">
      <formula>0</formula>
    </cfRule>
  </conditionalFormatting>
  <conditionalFormatting sqref="WQ41:WQ43 WQ54:WQ60 WQ2:WV2">
    <cfRule type="cellIs" dxfId="1387" priority="1592" operator="equal">
      <formula>0</formula>
    </cfRule>
  </conditionalFormatting>
  <conditionalFormatting sqref="WQ61">
    <cfRule type="cellIs" dxfId="1386" priority="1591" operator="equal">
      <formula>0</formula>
    </cfRule>
  </conditionalFormatting>
  <conditionalFormatting sqref="WQ32 WQ35">
    <cfRule type="cellIs" dxfId="1385" priority="1589" operator="equal">
      <formula>0</formula>
    </cfRule>
  </conditionalFormatting>
  <conditionalFormatting sqref="WQ36">
    <cfRule type="cellIs" dxfId="1384" priority="1588" operator="equal">
      <formula>0</formula>
    </cfRule>
  </conditionalFormatting>
  <conditionalFormatting sqref="WQ40">
    <cfRule type="cellIs" dxfId="1383" priority="1587" operator="equal">
      <formula>0</formula>
    </cfRule>
  </conditionalFormatting>
  <conditionalFormatting sqref="WQ37:WQ38">
    <cfRule type="cellIs" dxfId="1382" priority="1586" operator="equal">
      <formula>0</formula>
    </cfRule>
  </conditionalFormatting>
  <conditionalFormatting sqref="WQ33">
    <cfRule type="cellIs" dxfId="1381" priority="1585" operator="equal">
      <formula>0</formula>
    </cfRule>
  </conditionalFormatting>
  <conditionalFormatting sqref="WQ34">
    <cfRule type="cellIs" dxfId="1380" priority="1583" operator="equal">
      <formula>0</formula>
    </cfRule>
  </conditionalFormatting>
  <conditionalFormatting sqref="WR39">
    <cfRule type="cellIs" dxfId="1379" priority="1582" operator="equal">
      <formula>0</formula>
    </cfRule>
  </conditionalFormatting>
  <conditionalFormatting sqref="WR41:WR43 WR54:WR60">
    <cfRule type="cellIs" dxfId="1378" priority="1581" operator="equal">
      <formula>0</formula>
    </cfRule>
  </conditionalFormatting>
  <conditionalFormatting sqref="WR61">
    <cfRule type="cellIs" dxfId="1377" priority="1580" operator="equal">
      <formula>0</formula>
    </cfRule>
  </conditionalFormatting>
  <conditionalFormatting sqref="WR32 WR35">
    <cfRule type="cellIs" dxfId="1376" priority="1578" operator="equal">
      <formula>0</formula>
    </cfRule>
  </conditionalFormatting>
  <conditionalFormatting sqref="WR36">
    <cfRule type="cellIs" dxfId="1375" priority="1577" operator="equal">
      <formula>0</formula>
    </cfRule>
  </conditionalFormatting>
  <conditionalFormatting sqref="WR40">
    <cfRule type="cellIs" dxfId="1374" priority="1576" operator="equal">
      <formula>0</formula>
    </cfRule>
  </conditionalFormatting>
  <conditionalFormatting sqref="WR37:WR38">
    <cfRule type="cellIs" dxfId="1373" priority="1575" operator="equal">
      <formula>0</formula>
    </cfRule>
  </conditionalFormatting>
  <conditionalFormatting sqref="WR33">
    <cfRule type="cellIs" dxfId="1372" priority="1574" operator="equal">
      <formula>0</formula>
    </cfRule>
  </conditionalFormatting>
  <conditionalFormatting sqref="WR34">
    <cfRule type="cellIs" dxfId="1371" priority="1573" operator="equal">
      <formula>0</formula>
    </cfRule>
  </conditionalFormatting>
  <conditionalFormatting sqref="WS62:WS63">
    <cfRule type="cellIs" dxfId="1370" priority="1572" operator="equal">
      <formula>0</formula>
    </cfRule>
  </conditionalFormatting>
  <conditionalFormatting sqref="WS39">
    <cfRule type="cellIs" dxfId="1369" priority="1571" operator="equal">
      <formula>0</formula>
    </cfRule>
  </conditionalFormatting>
  <conditionalFormatting sqref="WS41:WS43 WS54:WS60 WT43">
    <cfRule type="cellIs" dxfId="1368" priority="1570" operator="equal">
      <formula>0</formula>
    </cfRule>
  </conditionalFormatting>
  <conditionalFormatting sqref="WS61:WT61">
    <cfRule type="cellIs" dxfId="1367" priority="1569" operator="equal">
      <formula>0</formula>
    </cfRule>
  </conditionalFormatting>
  <conditionalFormatting sqref="WS32 WS35">
    <cfRule type="cellIs" dxfId="1366" priority="1567" operator="equal">
      <formula>0</formula>
    </cfRule>
  </conditionalFormatting>
  <conditionalFormatting sqref="WS36">
    <cfRule type="cellIs" dxfId="1365" priority="1566" operator="equal">
      <formula>0</formula>
    </cfRule>
  </conditionalFormatting>
  <conditionalFormatting sqref="WS40">
    <cfRule type="cellIs" dxfId="1364" priority="1565" operator="equal">
      <formula>0</formula>
    </cfRule>
  </conditionalFormatting>
  <conditionalFormatting sqref="WS37:WS38">
    <cfRule type="cellIs" dxfId="1363" priority="1564" operator="equal">
      <formula>0</formula>
    </cfRule>
  </conditionalFormatting>
  <conditionalFormatting sqref="WS33">
    <cfRule type="cellIs" dxfId="1362" priority="1563" operator="equal">
      <formula>0</formula>
    </cfRule>
  </conditionalFormatting>
  <conditionalFormatting sqref="WS34">
    <cfRule type="cellIs" dxfId="1361" priority="1562" operator="equal">
      <formula>0</formula>
    </cfRule>
  </conditionalFormatting>
  <conditionalFormatting sqref="WT32 WT35">
    <cfRule type="cellIs" dxfId="1360" priority="1561" operator="equal">
      <formula>0</formula>
    </cfRule>
  </conditionalFormatting>
  <conditionalFormatting sqref="WT36">
    <cfRule type="cellIs" dxfId="1359" priority="1560" operator="equal">
      <formula>0</formula>
    </cfRule>
  </conditionalFormatting>
  <conditionalFormatting sqref="WT37:WT38">
    <cfRule type="cellIs" dxfId="1358" priority="1559" operator="equal">
      <formula>0</formula>
    </cfRule>
  </conditionalFormatting>
  <conditionalFormatting sqref="WT33">
    <cfRule type="cellIs" dxfId="1357" priority="1558" operator="equal">
      <formula>0</formula>
    </cfRule>
  </conditionalFormatting>
  <conditionalFormatting sqref="WT34">
    <cfRule type="cellIs" dxfId="1356" priority="1557" operator="equal">
      <formula>0</formula>
    </cfRule>
  </conditionalFormatting>
  <conditionalFormatting sqref="WT58">
    <cfRule type="cellIs" dxfId="1355" priority="1556" operator="equal">
      <formula>0</formula>
    </cfRule>
  </conditionalFormatting>
  <conditionalFormatting sqref="WT40">
    <cfRule type="cellIs" dxfId="1354" priority="1555" operator="equal">
      <formula>0</formula>
    </cfRule>
  </conditionalFormatting>
  <conditionalFormatting sqref="WU39 WU54:WU57 WU59:WU60 WU41:WU42">
    <cfRule type="cellIs" dxfId="1353" priority="1554" operator="equal">
      <formula>0</formula>
    </cfRule>
  </conditionalFormatting>
  <conditionalFormatting sqref="WU43">
    <cfRule type="cellIs" dxfId="1352" priority="1552" operator="equal">
      <formula>0</formula>
    </cfRule>
  </conditionalFormatting>
  <conditionalFormatting sqref="WU61">
    <cfRule type="cellIs" dxfId="1351" priority="1551" operator="equal">
      <formula>0</formula>
    </cfRule>
  </conditionalFormatting>
  <conditionalFormatting sqref="WU32 WU35">
    <cfRule type="cellIs" dxfId="1350" priority="1550" operator="equal">
      <formula>0</formula>
    </cfRule>
  </conditionalFormatting>
  <conditionalFormatting sqref="WU36">
    <cfRule type="cellIs" dxfId="1349" priority="1549" operator="equal">
      <formula>0</formula>
    </cfRule>
  </conditionalFormatting>
  <conditionalFormatting sqref="WU37:WU38">
    <cfRule type="cellIs" dxfId="1348" priority="1548" operator="equal">
      <formula>0</formula>
    </cfRule>
  </conditionalFormatting>
  <conditionalFormatting sqref="WU33">
    <cfRule type="cellIs" dxfId="1347" priority="1547" operator="equal">
      <formula>0</formula>
    </cfRule>
  </conditionalFormatting>
  <conditionalFormatting sqref="WU58">
    <cfRule type="cellIs" dxfId="1346" priority="1545" operator="equal">
      <formula>0</formula>
    </cfRule>
  </conditionalFormatting>
  <conditionalFormatting sqref="WU40">
    <cfRule type="cellIs" dxfId="1345" priority="1544" operator="equal">
      <formula>0</formula>
    </cfRule>
  </conditionalFormatting>
  <conditionalFormatting sqref="WU34">
    <cfRule type="cellIs" dxfId="1344" priority="1543" operator="equal">
      <formula>0</formula>
    </cfRule>
  </conditionalFormatting>
  <conditionalFormatting sqref="WV3:WV31 WV62">
    <cfRule type="cellIs" dxfId="1343" priority="1542" operator="equal">
      <formula>0</formula>
    </cfRule>
  </conditionalFormatting>
  <conditionalFormatting sqref="WV39 WV54:WV57 WV59:WV60 WV41:WV42">
    <cfRule type="cellIs" dxfId="1342" priority="1540" operator="equal">
      <formula>0</formula>
    </cfRule>
  </conditionalFormatting>
  <conditionalFormatting sqref="WV43">
    <cfRule type="cellIs" dxfId="1341" priority="1538" operator="equal">
      <formula>0</formula>
    </cfRule>
  </conditionalFormatting>
  <conditionalFormatting sqref="WV61">
    <cfRule type="cellIs" dxfId="1340" priority="1537" operator="equal">
      <formula>0</formula>
    </cfRule>
  </conditionalFormatting>
  <conditionalFormatting sqref="WV32 WV35">
    <cfRule type="cellIs" dxfId="1339" priority="1536" operator="equal">
      <formula>0</formula>
    </cfRule>
  </conditionalFormatting>
  <conditionalFormatting sqref="WV36">
    <cfRule type="cellIs" dxfId="1338" priority="1535" operator="equal">
      <formula>0</formula>
    </cfRule>
  </conditionalFormatting>
  <conditionalFormatting sqref="WV37:WV38">
    <cfRule type="cellIs" dxfId="1337" priority="1534" operator="equal">
      <formula>0</formula>
    </cfRule>
  </conditionalFormatting>
  <conditionalFormatting sqref="WV33">
    <cfRule type="cellIs" dxfId="1336" priority="1533" operator="equal">
      <formula>0</formula>
    </cfRule>
  </conditionalFormatting>
  <conditionalFormatting sqref="WV58">
    <cfRule type="cellIs" dxfId="1335" priority="1532" operator="equal">
      <formula>0</formula>
    </cfRule>
  </conditionalFormatting>
  <conditionalFormatting sqref="WV40">
    <cfRule type="cellIs" dxfId="1334" priority="1531" operator="equal">
      <formula>0</formula>
    </cfRule>
  </conditionalFormatting>
  <conditionalFormatting sqref="WV34">
    <cfRule type="cellIs" dxfId="1333" priority="1530" operator="equal">
      <formula>0</formula>
    </cfRule>
  </conditionalFormatting>
  <conditionalFormatting sqref="WW2">
    <cfRule type="cellIs" dxfId="1332" priority="1529" operator="equal">
      <formula>0</formula>
    </cfRule>
  </conditionalFormatting>
  <conditionalFormatting sqref="WW3:WW31">
    <cfRule type="cellIs" dxfId="1331" priority="1528" operator="equal">
      <formula>0</formula>
    </cfRule>
  </conditionalFormatting>
  <conditionalFormatting sqref="WW39 WW54:WW57 WW59:WW60 WW41:WW42">
    <cfRule type="cellIs" dxfId="1330" priority="1527" operator="equal">
      <formula>0</formula>
    </cfRule>
  </conditionalFormatting>
  <conditionalFormatting sqref="WW43">
    <cfRule type="cellIs" dxfId="1329" priority="1525" operator="equal">
      <formula>0</formula>
    </cfRule>
  </conditionalFormatting>
  <conditionalFormatting sqref="WW61">
    <cfRule type="cellIs" dxfId="1328" priority="1524" operator="equal">
      <formula>0</formula>
    </cfRule>
  </conditionalFormatting>
  <conditionalFormatting sqref="WW32 WW35">
    <cfRule type="cellIs" dxfId="1327" priority="1523" operator="equal">
      <formula>0</formula>
    </cfRule>
  </conditionalFormatting>
  <conditionalFormatting sqref="WW36">
    <cfRule type="cellIs" dxfId="1326" priority="1522" operator="equal">
      <formula>0</formula>
    </cfRule>
  </conditionalFormatting>
  <conditionalFormatting sqref="WW37:WW38">
    <cfRule type="cellIs" dxfId="1325" priority="1521" operator="equal">
      <formula>0</formula>
    </cfRule>
  </conditionalFormatting>
  <conditionalFormatting sqref="WW33">
    <cfRule type="cellIs" dxfId="1324" priority="1520" operator="equal">
      <formula>0</formula>
    </cfRule>
  </conditionalFormatting>
  <conditionalFormatting sqref="WW58">
    <cfRule type="cellIs" dxfId="1323" priority="1519" operator="equal">
      <formula>0</formula>
    </cfRule>
  </conditionalFormatting>
  <conditionalFormatting sqref="WW40">
    <cfRule type="cellIs" dxfId="1322" priority="1518" operator="equal">
      <formula>0</formula>
    </cfRule>
  </conditionalFormatting>
  <conditionalFormatting sqref="WW34">
    <cfRule type="cellIs" dxfId="1321" priority="1517" operator="equal">
      <formula>0</formula>
    </cfRule>
  </conditionalFormatting>
  <conditionalFormatting sqref="WX2">
    <cfRule type="cellIs" dxfId="1320" priority="1516" operator="equal">
      <formula>0</formula>
    </cfRule>
  </conditionalFormatting>
  <conditionalFormatting sqref="WX3:WX31">
    <cfRule type="cellIs" dxfId="1319" priority="1515" operator="equal">
      <formula>0</formula>
    </cfRule>
  </conditionalFormatting>
  <conditionalFormatting sqref="WX39 WX54:WX55 WX59:WX60 WX41:WX42">
    <cfRule type="cellIs" dxfId="1318" priority="1514" operator="equal">
      <formula>0</formula>
    </cfRule>
  </conditionalFormatting>
  <conditionalFormatting sqref="WX43">
    <cfRule type="cellIs" dxfId="1317" priority="1512" operator="equal">
      <formula>0</formula>
    </cfRule>
  </conditionalFormatting>
  <conditionalFormatting sqref="WX61">
    <cfRule type="cellIs" dxfId="1316" priority="1511" operator="equal">
      <formula>0</formula>
    </cfRule>
  </conditionalFormatting>
  <conditionalFormatting sqref="WX32 WX35">
    <cfRule type="cellIs" dxfId="1315" priority="1510" operator="equal">
      <formula>0</formula>
    </cfRule>
  </conditionalFormatting>
  <conditionalFormatting sqref="WX36">
    <cfRule type="cellIs" dxfId="1314" priority="1509" operator="equal">
      <formula>0</formula>
    </cfRule>
  </conditionalFormatting>
  <conditionalFormatting sqref="WX37:WX38">
    <cfRule type="cellIs" dxfId="1313" priority="1508" operator="equal">
      <formula>0</formula>
    </cfRule>
  </conditionalFormatting>
  <conditionalFormatting sqref="WX33">
    <cfRule type="cellIs" dxfId="1312" priority="1507" operator="equal">
      <formula>0</formula>
    </cfRule>
  </conditionalFormatting>
  <conditionalFormatting sqref="WX58">
    <cfRule type="cellIs" dxfId="1311" priority="1506" operator="equal">
      <formula>0</formula>
    </cfRule>
  </conditionalFormatting>
  <conditionalFormatting sqref="WX40">
    <cfRule type="cellIs" dxfId="1310" priority="1505" operator="equal">
      <formula>0</formula>
    </cfRule>
  </conditionalFormatting>
  <conditionalFormatting sqref="WX34">
    <cfRule type="cellIs" dxfId="1309" priority="1504" operator="equal">
      <formula>0</formula>
    </cfRule>
  </conditionalFormatting>
  <conditionalFormatting sqref="WX56:WX57">
    <cfRule type="cellIs" dxfId="1308" priority="1503" operator="equal">
      <formula>0</formula>
    </cfRule>
  </conditionalFormatting>
  <conditionalFormatting sqref="WY62">
    <cfRule type="cellIs" dxfId="1307" priority="1502" operator="equal">
      <formula>0</formula>
    </cfRule>
  </conditionalFormatting>
  <conditionalFormatting sqref="WY2">
    <cfRule type="cellIs" dxfId="1306" priority="1501" operator="equal">
      <formula>0</formula>
    </cfRule>
  </conditionalFormatting>
  <conditionalFormatting sqref="WY3:WY31">
    <cfRule type="cellIs" dxfId="1305" priority="1500" operator="equal">
      <formula>0</formula>
    </cfRule>
  </conditionalFormatting>
  <conditionalFormatting sqref="WY39 WY54:WY55 WY59:WY60 WY41:WY42">
    <cfRule type="cellIs" dxfId="1304" priority="1499" operator="equal">
      <formula>0</formula>
    </cfRule>
  </conditionalFormatting>
  <conditionalFormatting sqref="WY43">
    <cfRule type="cellIs" dxfId="1303" priority="1497" operator="equal">
      <formula>0</formula>
    </cfRule>
  </conditionalFormatting>
  <conditionalFormatting sqref="WY61">
    <cfRule type="cellIs" dxfId="1302" priority="1496" operator="equal">
      <formula>0</formula>
    </cfRule>
  </conditionalFormatting>
  <conditionalFormatting sqref="WY32 WY35">
    <cfRule type="cellIs" dxfId="1301" priority="1495" operator="equal">
      <formula>0</formula>
    </cfRule>
  </conditionalFormatting>
  <conditionalFormatting sqref="WY36">
    <cfRule type="cellIs" dxfId="1300" priority="1494" operator="equal">
      <formula>0</formula>
    </cfRule>
  </conditionalFormatting>
  <conditionalFormatting sqref="WY37:WY38">
    <cfRule type="cellIs" dxfId="1299" priority="1493" operator="equal">
      <formula>0</formula>
    </cfRule>
  </conditionalFormatting>
  <conditionalFormatting sqref="WY33">
    <cfRule type="cellIs" dxfId="1298" priority="1492" operator="equal">
      <formula>0</formula>
    </cfRule>
  </conditionalFormatting>
  <conditionalFormatting sqref="WY58">
    <cfRule type="cellIs" dxfId="1297" priority="1491" operator="equal">
      <formula>0</formula>
    </cfRule>
  </conditionalFormatting>
  <conditionalFormatting sqref="WY40">
    <cfRule type="cellIs" dxfId="1296" priority="1490" operator="equal">
      <formula>0</formula>
    </cfRule>
  </conditionalFormatting>
  <conditionalFormatting sqref="WY34">
    <cfRule type="cellIs" dxfId="1295" priority="1489" operator="equal">
      <formula>0</formula>
    </cfRule>
  </conditionalFormatting>
  <conditionalFormatting sqref="WY56:WY57">
    <cfRule type="cellIs" dxfId="1294" priority="1488" operator="equal">
      <formula>0</formula>
    </cfRule>
  </conditionalFormatting>
  <conditionalFormatting sqref="WZ62">
    <cfRule type="cellIs" dxfId="1293" priority="1487" operator="equal">
      <formula>0</formula>
    </cfRule>
  </conditionalFormatting>
  <conditionalFormatting sqref="WZ2">
    <cfRule type="cellIs" dxfId="1292" priority="1486" operator="equal">
      <formula>0</formula>
    </cfRule>
  </conditionalFormatting>
  <conditionalFormatting sqref="WZ3:WZ31">
    <cfRule type="cellIs" dxfId="1291" priority="1485" operator="equal">
      <formula>0</formula>
    </cfRule>
  </conditionalFormatting>
  <conditionalFormatting sqref="WZ39 WZ54:WZ55 WZ59:WZ60 WZ41:WZ42">
    <cfRule type="cellIs" dxfId="1290" priority="1484" operator="equal">
      <formula>0</formula>
    </cfRule>
  </conditionalFormatting>
  <conditionalFormatting sqref="WZ43">
    <cfRule type="cellIs" dxfId="1289" priority="1482" operator="equal">
      <formula>0</formula>
    </cfRule>
  </conditionalFormatting>
  <conditionalFormatting sqref="WZ61">
    <cfRule type="cellIs" dxfId="1288" priority="1481" operator="equal">
      <formula>0</formula>
    </cfRule>
  </conditionalFormatting>
  <conditionalFormatting sqref="WZ32 WZ35">
    <cfRule type="cellIs" dxfId="1287" priority="1480" operator="equal">
      <formula>0</formula>
    </cfRule>
  </conditionalFormatting>
  <conditionalFormatting sqref="WZ36">
    <cfRule type="cellIs" dxfId="1286" priority="1479" operator="equal">
      <formula>0</formula>
    </cfRule>
  </conditionalFormatting>
  <conditionalFormatting sqref="WZ37:WZ38">
    <cfRule type="cellIs" dxfId="1285" priority="1478" operator="equal">
      <formula>0</formula>
    </cfRule>
  </conditionalFormatting>
  <conditionalFormatting sqref="WZ33">
    <cfRule type="cellIs" dxfId="1284" priority="1477" operator="equal">
      <formula>0</formula>
    </cfRule>
  </conditionalFormatting>
  <conditionalFormatting sqref="WZ58">
    <cfRule type="cellIs" dxfId="1283" priority="1476" operator="equal">
      <formula>0</formula>
    </cfRule>
  </conditionalFormatting>
  <conditionalFormatting sqref="WZ40">
    <cfRule type="cellIs" dxfId="1282" priority="1475" operator="equal">
      <formula>0</formula>
    </cfRule>
  </conditionalFormatting>
  <conditionalFormatting sqref="WZ34">
    <cfRule type="cellIs" dxfId="1281" priority="1474" operator="equal">
      <formula>0</formula>
    </cfRule>
  </conditionalFormatting>
  <conditionalFormatting sqref="WZ56:WZ57">
    <cfRule type="cellIs" dxfId="1280" priority="1473" operator="equal">
      <formula>0</formula>
    </cfRule>
  </conditionalFormatting>
  <conditionalFormatting sqref="XA62">
    <cfRule type="cellIs" dxfId="1279" priority="1472" operator="equal">
      <formula>0</formula>
    </cfRule>
  </conditionalFormatting>
  <conditionalFormatting sqref="XA2">
    <cfRule type="cellIs" dxfId="1278" priority="1471" operator="equal">
      <formula>0</formula>
    </cfRule>
  </conditionalFormatting>
  <conditionalFormatting sqref="XA3:XA31">
    <cfRule type="cellIs" dxfId="1277" priority="1470" operator="equal">
      <formula>0</formula>
    </cfRule>
  </conditionalFormatting>
  <conditionalFormatting sqref="XA39 XA54:XA55 XA59:XA60 XA41:XA42">
    <cfRule type="cellIs" dxfId="1276" priority="1469" operator="equal">
      <formula>0</formula>
    </cfRule>
  </conditionalFormatting>
  <conditionalFormatting sqref="XA43">
    <cfRule type="cellIs" dxfId="1275" priority="1467" operator="equal">
      <formula>0</formula>
    </cfRule>
  </conditionalFormatting>
  <conditionalFormatting sqref="XA61">
    <cfRule type="cellIs" dxfId="1274" priority="1466" operator="equal">
      <formula>0</formula>
    </cfRule>
  </conditionalFormatting>
  <conditionalFormatting sqref="XA32 XA35">
    <cfRule type="cellIs" dxfId="1273" priority="1465" operator="equal">
      <formula>0</formula>
    </cfRule>
  </conditionalFormatting>
  <conditionalFormatting sqref="XA36">
    <cfRule type="cellIs" dxfId="1272" priority="1464" operator="equal">
      <formula>0</formula>
    </cfRule>
  </conditionalFormatting>
  <conditionalFormatting sqref="XA37:XA38">
    <cfRule type="cellIs" dxfId="1271" priority="1463" operator="equal">
      <formula>0</formula>
    </cfRule>
  </conditionalFormatting>
  <conditionalFormatting sqref="XA33">
    <cfRule type="cellIs" dxfId="1270" priority="1462" operator="equal">
      <formula>0</formula>
    </cfRule>
  </conditionalFormatting>
  <conditionalFormatting sqref="XA58">
    <cfRule type="cellIs" dxfId="1269" priority="1461" operator="equal">
      <formula>0</formula>
    </cfRule>
  </conditionalFormatting>
  <conditionalFormatting sqref="XA40">
    <cfRule type="cellIs" dxfId="1268" priority="1460" operator="equal">
      <formula>0</formula>
    </cfRule>
  </conditionalFormatting>
  <conditionalFormatting sqref="XA34">
    <cfRule type="cellIs" dxfId="1267" priority="1459" operator="equal">
      <formula>0</formula>
    </cfRule>
  </conditionalFormatting>
  <conditionalFormatting sqref="XA56:XA57">
    <cfRule type="cellIs" dxfId="1266" priority="1458" operator="equal">
      <formula>0</formula>
    </cfRule>
  </conditionalFormatting>
  <conditionalFormatting sqref="XB1 XB63:XB64">
    <cfRule type="cellIs" dxfId="1265" priority="1457" operator="equal">
      <formula>0</formula>
    </cfRule>
  </conditionalFormatting>
  <conditionalFormatting sqref="XB62">
    <cfRule type="cellIs" dxfId="1264" priority="1456" operator="equal">
      <formula>0</formula>
    </cfRule>
  </conditionalFormatting>
  <conditionalFormatting sqref="XB2">
    <cfRule type="cellIs" dxfId="1263" priority="1455" operator="equal">
      <formula>0</formula>
    </cfRule>
  </conditionalFormatting>
  <conditionalFormatting sqref="XB3:XB31">
    <cfRule type="cellIs" dxfId="1262" priority="1454" operator="equal">
      <formula>0</formula>
    </cfRule>
  </conditionalFormatting>
  <conditionalFormatting sqref="XB39 XB54:XB55 XB59:XB60 XB41:XB42">
    <cfRule type="cellIs" dxfId="1261" priority="1453" operator="equal">
      <formula>0</formula>
    </cfRule>
  </conditionalFormatting>
  <conditionalFormatting sqref="XB43">
    <cfRule type="cellIs" dxfId="1260" priority="1451" operator="equal">
      <formula>0</formula>
    </cfRule>
  </conditionalFormatting>
  <conditionalFormatting sqref="XB61">
    <cfRule type="cellIs" dxfId="1259" priority="1450" operator="equal">
      <formula>0</formula>
    </cfRule>
  </conditionalFormatting>
  <conditionalFormatting sqref="XB32 XB35">
    <cfRule type="cellIs" dxfId="1258" priority="1449" operator="equal">
      <formula>0</formula>
    </cfRule>
  </conditionalFormatting>
  <conditionalFormatting sqref="XB36">
    <cfRule type="cellIs" dxfId="1257" priority="1448" operator="equal">
      <formula>0</formula>
    </cfRule>
  </conditionalFormatting>
  <conditionalFormatting sqref="XB33">
    <cfRule type="cellIs" dxfId="1256" priority="1446" operator="equal">
      <formula>0</formula>
    </cfRule>
  </conditionalFormatting>
  <conditionalFormatting sqref="XB58">
    <cfRule type="cellIs" dxfId="1255" priority="1445" operator="equal">
      <formula>0</formula>
    </cfRule>
  </conditionalFormatting>
  <conditionalFormatting sqref="XB40">
    <cfRule type="cellIs" dxfId="1254" priority="1444" operator="equal">
      <formula>0</formula>
    </cfRule>
  </conditionalFormatting>
  <conditionalFormatting sqref="XB34">
    <cfRule type="cellIs" dxfId="1253" priority="1443" operator="equal">
      <formula>0</formula>
    </cfRule>
  </conditionalFormatting>
  <conditionalFormatting sqref="XB56:XB57">
    <cfRule type="cellIs" dxfId="1252" priority="1442" operator="equal">
      <formula>0</formula>
    </cfRule>
  </conditionalFormatting>
  <conditionalFormatting sqref="XB37:XB38">
    <cfRule type="cellIs" dxfId="1251" priority="1441" operator="equal">
      <formula>0</formula>
    </cfRule>
  </conditionalFormatting>
  <conditionalFormatting sqref="XC2">
    <cfRule type="cellIs" dxfId="1250" priority="1440" operator="equal">
      <formula>0</formula>
    </cfRule>
  </conditionalFormatting>
  <conditionalFormatting sqref="XC3:XC31">
    <cfRule type="cellIs" dxfId="1249" priority="1439" operator="equal">
      <formula>0</formula>
    </cfRule>
  </conditionalFormatting>
  <conditionalFormatting sqref="XC39 XC54:XC55 XC59:XC60 XC41:XC42">
    <cfRule type="cellIs" dxfId="1248" priority="1438" operator="equal">
      <formula>0</formula>
    </cfRule>
  </conditionalFormatting>
  <conditionalFormatting sqref="XC43">
    <cfRule type="cellIs" dxfId="1247" priority="1436" operator="equal">
      <formula>0</formula>
    </cfRule>
  </conditionalFormatting>
  <conditionalFormatting sqref="XC61">
    <cfRule type="cellIs" dxfId="1246" priority="1435" operator="equal">
      <formula>0</formula>
    </cfRule>
  </conditionalFormatting>
  <conditionalFormatting sqref="XC32 XC35">
    <cfRule type="cellIs" dxfId="1245" priority="1434" operator="equal">
      <formula>0</formula>
    </cfRule>
  </conditionalFormatting>
  <conditionalFormatting sqref="XC36">
    <cfRule type="cellIs" dxfId="1244" priority="1433" operator="equal">
      <formula>0</formula>
    </cfRule>
  </conditionalFormatting>
  <conditionalFormatting sqref="XC40">
    <cfRule type="cellIs" dxfId="1243" priority="1430" operator="equal">
      <formula>0</formula>
    </cfRule>
  </conditionalFormatting>
  <conditionalFormatting sqref="XC58">
    <cfRule type="cellIs" dxfId="1242" priority="1431" operator="equal">
      <formula>0</formula>
    </cfRule>
  </conditionalFormatting>
  <conditionalFormatting sqref="XC34">
    <cfRule type="cellIs" dxfId="1241" priority="1429" operator="equal">
      <formula>0</formula>
    </cfRule>
  </conditionalFormatting>
  <conditionalFormatting sqref="XC56:XC57">
    <cfRule type="cellIs" dxfId="1240" priority="1428" operator="equal">
      <formula>0</formula>
    </cfRule>
  </conditionalFormatting>
  <conditionalFormatting sqref="XC33">
    <cfRule type="cellIs" dxfId="1239" priority="1426" operator="equal">
      <formula>0</formula>
    </cfRule>
  </conditionalFormatting>
  <conditionalFormatting sqref="XC37:XC38">
    <cfRule type="cellIs" dxfId="1238" priority="1425" operator="equal">
      <formula>0</formula>
    </cfRule>
  </conditionalFormatting>
  <conditionalFormatting sqref="XD62">
    <cfRule type="cellIs" dxfId="1237" priority="1424" operator="equal">
      <formula>0</formula>
    </cfRule>
  </conditionalFormatting>
  <conditionalFormatting sqref="XD2">
    <cfRule type="cellIs" dxfId="1236" priority="1423" operator="equal">
      <formula>0</formula>
    </cfRule>
  </conditionalFormatting>
  <conditionalFormatting sqref="XD3:XD31">
    <cfRule type="cellIs" dxfId="1235" priority="1422" operator="equal">
      <formula>0</formula>
    </cfRule>
  </conditionalFormatting>
  <conditionalFormatting sqref="XD39 XD54:XD55 XD59:XD60 XD41:XD42">
    <cfRule type="cellIs" dxfId="1234" priority="1421" operator="equal">
      <formula>0</formula>
    </cfRule>
  </conditionalFormatting>
  <conditionalFormatting sqref="XD43">
    <cfRule type="cellIs" dxfId="1233" priority="1419" operator="equal">
      <formula>0</formula>
    </cfRule>
  </conditionalFormatting>
  <conditionalFormatting sqref="XD61">
    <cfRule type="cellIs" dxfId="1232" priority="1418" operator="equal">
      <formula>0</formula>
    </cfRule>
  </conditionalFormatting>
  <conditionalFormatting sqref="XD32 XD35">
    <cfRule type="cellIs" dxfId="1231" priority="1417" operator="equal">
      <formula>0</formula>
    </cfRule>
  </conditionalFormatting>
  <conditionalFormatting sqref="XD36">
    <cfRule type="cellIs" dxfId="1230" priority="1416" operator="equal">
      <formula>0</formula>
    </cfRule>
  </conditionalFormatting>
  <conditionalFormatting sqref="XD40">
    <cfRule type="cellIs" dxfId="1229" priority="1414" operator="equal">
      <formula>0</formula>
    </cfRule>
  </conditionalFormatting>
  <conditionalFormatting sqref="XD58">
    <cfRule type="cellIs" dxfId="1228" priority="1415" operator="equal">
      <formula>0</formula>
    </cfRule>
  </conditionalFormatting>
  <conditionalFormatting sqref="XD34">
    <cfRule type="cellIs" dxfId="1227" priority="1413" operator="equal">
      <formula>0</formula>
    </cfRule>
  </conditionalFormatting>
  <conditionalFormatting sqref="XD56:XD57">
    <cfRule type="cellIs" dxfId="1226" priority="1412" operator="equal">
      <formula>0</formula>
    </cfRule>
  </conditionalFormatting>
  <conditionalFormatting sqref="XD33">
    <cfRule type="cellIs" dxfId="1225" priority="1409" operator="equal">
      <formula>0</formula>
    </cfRule>
  </conditionalFormatting>
  <conditionalFormatting sqref="XD37:XD38">
    <cfRule type="cellIs" dxfId="1224" priority="1408" operator="equal">
      <formula>0</formula>
    </cfRule>
  </conditionalFormatting>
  <conditionalFormatting sqref="XE2">
    <cfRule type="cellIs" dxfId="1223" priority="1407" operator="equal">
      <formula>0</formula>
    </cfRule>
  </conditionalFormatting>
  <conditionalFormatting sqref="XE3:XE31">
    <cfRule type="cellIs" dxfId="1222" priority="1406" operator="equal">
      <formula>0</formula>
    </cfRule>
  </conditionalFormatting>
  <conditionalFormatting sqref="XE39 XE54:XE55 XE59:XE60 XE41:XE42">
    <cfRule type="cellIs" dxfId="1221" priority="1405" operator="equal">
      <formula>0</formula>
    </cfRule>
  </conditionalFormatting>
  <conditionalFormatting sqref="XE43">
    <cfRule type="cellIs" dxfId="1220" priority="1403" operator="equal">
      <formula>0</formula>
    </cfRule>
  </conditionalFormatting>
  <conditionalFormatting sqref="XE61">
    <cfRule type="cellIs" dxfId="1219" priority="1402" operator="equal">
      <formula>0</formula>
    </cfRule>
  </conditionalFormatting>
  <conditionalFormatting sqref="XE32 XE35">
    <cfRule type="cellIs" dxfId="1218" priority="1401" operator="equal">
      <formula>0</formula>
    </cfRule>
  </conditionalFormatting>
  <conditionalFormatting sqref="XE36">
    <cfRule type="cellIs" dxfId="1217" priority="1400" operator="equal">
      <formula>0</formula>
    </cfRule>
  </conditionalFormatting>
  <conditionalFormatting sqref="XE40">
    <cfRule type="cellIs" dxfId="1216" priority="1398" operator="equal">
      <formula>0</formula>
    </cfRule>
  </conditionalFormatting>
  <conditionalFormatting sqref="XE58">
    <cfRule type="cellIs" dxfId="1215" priority="1399" operator="equal">
      <formula>0</formula>
    </cfRule>
  </conditionalFormatting>
  <conditionalFormatting sqref="XE34">
    <cfRule type="cellIs" dxfId="1214" priority="1397" operator="equal">
      <formula>0</formula>
    </cfRule>
  </conditionalFormatting>
  <conditionalFormatting sqref="XE56:XE57">
    <cfRule type="cellIs" dxfId="1213" priority="1396" operator="equal">
      <formula>0</formula>
    </cfRule>
  </conditionalFormatting>
  <conditionalFormatting sqref="XE33">
    <cfRule type="cellIs" dxfId="1212" priority="1395" operator="equal">
      <formula>0</formula>
    </cfRule>
  </conditionalFormatting>
  <conditionalFormatting sqref="XE37:XE38">
    <cfRule type="cellIs" dxfId="1211" priority="1394" operator="equal">
      <formula>0</formula>
    </cfRule>
  </conditionalFormatting>
  <conditionalFormatting sqref="XF62">
    <cfRule type="cellIs" dxfId="1210" priority="1393" operator="equal">
      <formula>0</formula>
    </cfRule>
  </conditionalFormatting>
  <conditionalFormatting sqref="XF2">
    <cfRule type="cellIs" dxfId="1209" priority="1392" operator="equal">
      <formula>0</formula>
    </cfRule>
  </conditionalFormatting>
  <conditionalFormatting sqref="XF3:XF31">
    <cfRule type="cellIs" dxfId="1208" priority="1391" operator="equal">
      <formula>0</formula>
    </cfRule>
  </conditionalFormatting>
  <conditionalFormatting sqref="XF39 XF54:XF55 XF59:XF60 XF41:XF42">
    <cfRule type="cellIs" dxfId="1207" priority="1390" operator="equal">
      <formula>0</formula>
    </cfRule>
  </conditionalFormatting>
  <conditionalFormatting sqref="XF43">
    <cfRule type="cellIs" dxfId="1206" priority="1388" operator="equal">
      <formula>0</formula>
    </cfRule>
  </conditionalFormatting>
  <conditionalFormatting sqref="XF61">
    <cfRule type="cellIs" dxfId="1205" priority="1387" operator="equal">
      <formula>0</formula>
    </cfRule>
  </conditionalFormatting>
  <conditionalFormatting sqref="XF32 XF35">
    <cfRule type="cellIs" dxfId="1204" priority="1386" operator="equal">
      <formula>0</formula>
    </cfRule>
  </conditionalFormatting>
  <conditionalFormatting sqref="XF36">
    <cfRule type="cellIs" dxfId="1203" priority="1385" operator="equal">
      <formula>0</formula>
    </cfRule>
  </conditionalFormatting>
  <conditionalFormatting sqref="XF40">
    <cfRule type="cellIs" dxfId="1202" priority="1383" operator="equal">
      <formula>0</formula>
    </cfRule>
  </conditionalFormatting>
  <conditionalFormatting sqref="XF58">
    <cfRule type="cellIs" dxfId="1201" priority="1384" operator="equal">
      <formula>0</formula>
    </cfRule>
  </conditionalFormatting>
  <conditionalFormatting sqref="XF34">
    <cfRule type="cellIs" dxfId="1200" priority="1382" operator="equal">
      <formula>0</formula>
    </cfRule>
  </conditionalFormatting>
  <conditionalFormatting sqref="XF56:XF57">
    <cfRule type="cellIs" dxfId="1199" priority="1381" operator="equal">
      <formula>0</formula>
    </cfRule>
  </conditionalFormatting>
  <conditionalFormatting sqref="XF33">
    <cfRule type="cellIs" dxfId="1198" priority="1380" operator="equal">
      <formula>0</formula>
    </cfRule>
  </conditionalFormatting>
  <conditionalFormatting sqref="XF37:XF38">
    <cfRule type="cellIs" dxfId="1197" priority="1379" operator="equal">
      <formula>0</formula>
    </cfRule>
  </conditionalFormatting>
  <conditionalFormatting sqref="XG63">
    <cfRule type="cellIs" dxfId="1196" priority="1378" operator="equal">
      <formula>0</formula>
    </cfRule>
  </conditionalFormatting>
  <conditionalFormatting sqref="XG62">
    <cfRule type="cellIs" dxfId="1195" priority="1377" operator="equal">
      <formula>0</formula>
    </cfRule>
  </conditionalFormatting>
  <conditionalFormatting sqref="XG2">
    <cfRule type="cellIs" dxfId="1194" priority="1376" operator="equal">
      <formula>0</formula>
    </cfRule>
  </conditionalFormatting>
  <conditionalFormatting sqref="XG3:XG31">
    <cfRule type="cellIs" dxfId="1193" priority="1375" operator="equal">
      <formula>0</formula>
    </cfRule>
  </conditionalFormatting>
  <conditionalFormatting sqref="XG39 XG54:XG55 XG59:XG60 XG41:XG42">
    <cfRule type="cellIs" dxfId="1192" priority="1374" operator="equal">
      <formula>0</formula>
    </cfRule>
  </conditionalFormatting>
  <conditionalFormatting sqref="XG43">
    <cfRule type="cellIs" dxfId="1191" priority="1372" operator="equal">
      <formula>0</formula>
    </cfRule>
  </conditionalFormatting>
  <conditionalFormatting sqref="XG61">
    <cfRule type="cellIs" dxfId="1190" priority="1371" operator="equal">
      <formula>0</formula>
    </cfRule>
  </conditionalFormatting>
  <conditionalFormatting sqref="XG32 XG35">
    <cfRule type="cellIs" dxfId="1189" priority="1370" operator="equal">
      <formula>0</formula>
    </cfRule>
  </conditionalFormatting>
  <conditionalFormatting sqref="XG36">
    <cfRule type="cellIs" dxfId="1188" priority="1369" operator="equal">
      <formula>0</formula>
    </cfRule>
  </conditionalFormatting>
  <conditionalFormatting sqref="XG40">
    <cfRule type="cellIs" dxfId="1187" priority="1367" operator="equal">
      <formula>0</formula>
    </cfRule>
  </conditionalFormatting>
  <conditionalFormatting sqref="XG58">
    <cfRule type="cellIs" dxfId="1186" priority="1368" operator="equal">
      <formula>0</formula>
    </cfRule>
  </conditionalFormatting>
  <conditionalFormatting sqref="XG56:XG57">
    <cfRule type="cellIs" dxfId="1185" priority="1365" operator="equal">
      <formula>0</formula>
    </cfRule>
  </conditionalFormatting>
  <conditionalFormatting sqref="XG37:XG38">
    <cfRule type="cellIs" dxfId="1184" priority="1362" operator="equal">
      <formula>0</formula>
    </cfRule>
  </conditionalFormatting>
  <conditionalFormatting sqref="XG34">
    <cfRule type="cellIs" dxfId="1183" priority="1360" operator="equal">
      <formula>0</formula>
    </cfRule>
  </conditionalFormatting>
  <conditionalFormatting sqref="XG33">
    <cfRule type="cellIs" dxfId="1182" priority="1361" operator="equal">
      <formula>0</formula>
    </cfRule>
  </conditionalFormatting>
  <conditionalFormatting sqref="XH64">
    <cfRule type="cellIs" dxfId="1181" priority="1359" operator="equal">
      <formula>0</formula>
    </cfRule>
  </conditionalFormatting>
  <conditionalFormatting sqref="XH63">
    <cfRule type="cellIs" dxfId="1180" priority="1358" operator="equal">
      <formula>0</formula>
    </cfRule>
  </conditionalFormatting>
  <conditionalFormatting sqref="XH62">
    <cfRule type="cellIs" dxfId="1179" priority="1357" operator="equal">
      <formula>0</formula>
    </cfRule>
  </conditionalFormatting>
  <conditionalFormatting sqref="XH2">
    <cfRule type="cellIs" dxfId="1178" priority="1356" operator="equal">
      <formula>0</formula>
    </cfRule>
  </conditionalFormatting>
  <conditionalFormatting sqref="XH3:XH31">
    <cfRule type="cellIs" dxfId="1177" priority="1355" operator="equal">
      <formula>0</formula>
    </cfRule>
  </conditionalFormatting>
  <conditionalFormatting sqref="XH39 XH54:XH55 XH59:XH60 XH41:XH42">
    <cfRule type="cellIs" dxfId="1176" priority="1354" operator="equal">
      <formula>0</formula>
    </cfRule>
  </conditionalFormatting>
  <conditionalFormatting sqref="XH43">
    <cfRule type="cellIs" dxfId="1175" priority="1352" operator="equal">
      <formula>0</formula>
    </cfRule>
  </conditionalFormatting>
  <conditionalFormatting sqref="XH61">
    <cfRule type="cellIs" dxfId="1174" priority="1351" operator="equal">
      <formula>0</formula>
    </cfRule>
  </conditionalFormatting>
  <conditionalFormatting sqref="XH32 XH35">
    <cfRule type="cellIs" dxfId="1173" priority="1350" operator="equal">
      <formula>0</formula>
    </cfRule>
  </conditionalFormatting>
  <conditionalFormatting sqref="XH36">
    <cfRule type="cellIs" dxfId="1172" priority="1349" operator="equal">
      <formula>0</formula>
    </cfRule>
  </conditionalFormatting>
  <conditionalFormatting sqref="XH40">
    <cfRule type="cellIs" dxfId="1171" priority="1347" operator="equal">
      <formula>0</formula>
    </cfRule>
  </conditionalFormatting>
  <conditionalFormatting sqref="XH58">
    <cfRule type="cellIs" dxfId="1170" priority="1348" operator="equal">
      <formula>0</formula>
    </cfRule>
  </conditionalFormatting>
  <conditionalFormatting sqref="XH56:XH57">
    <cfRule type="cellIs" dxfId="1169" priority="1346" operator="equal">
      <formula>0</formula>
    </cfRule>
  </conditionalFormatting>
  <conditionalFormatting sqref="XH33">
    <cfRule type="cellIs" dxfId="1168" priority="1342" operator="equal">
      <formula>0</formula>
    </cfRule>
  </conditionalFormatting>
  <conditionalFormatting sqref="XH37:XH38">
    <cfRule type="cellIs" dxfId="1167" priority="1341" operator="equal">
      <formula>0</formula>
    </cfRule>
  </conditionalFormatting>
  <conditionalFormatting sqref="XH34">
    <cfRule type="cellIs" dxfId="1166" priority="1340" operator="equal">
      <formula>0</formula>
    </cfRule>
  </conditionalFormatting>
  <conditionalFormatting sqref="XI34">
    <cfRule type="cellIs" dxfId="1165" priority="1322" operator="equal">
      <formula>0</formula>
    </cfRule>
  </conditionalFormatting>
  <conditionalFormatting sqref="XI1">
    <cfRule type="cellIs" dxfId="1164" priority="1339" operator="equal">
      <formula>0</formula>
    </cfRule>
  </conditionalFormatting>
  <conditionalFormatting sqref="XI64">
    <cfRule type="cellIs" dxfId="1163" priority="1338" operator="equal">
      <formula>0</formula>
    </cfRule>
  </conditionalFormatting>
  <conditionalFormatting sqref="XI63">
    <cfRule type="cellIs" dxfId="1162" priority="1337" operator="equal">
      <formula>0</formula>
    </cfRule>
  </conditionalFormatting>
  <conditionalFormatting sqref="XI62">
    <cfRule type="cellIs" dxfId="1161" priority="1336" operator="equal">
      <formula>0</formula>
    </cfRule>
  </conditionalFormatting>
  <conditionalFormatting sqref="XI2">
    <cfRule type="cellIs" dxfId="1160" priority="1335" operator="equal">
      <formula>0</formula>
    </cfRule>
  </conditionalFormatting>
  <conditionalFormatting sqref="XI3:XI31">
    <cfRule type="cellIs" dxfId="1159" priority="1334" operator="equal">
      <formula>0</formula>
    </cfRule>
  </conditionalFormatting>
  <conditionalFormatting sqref="XI39 XI54:XI55 XI59:XI60 XI41:XI42">
    <cfRule type="cellIs" dxfId="1158" priority="1333" operator="equal">
      <formula>0</formula>
    </cfRule>
  </conditionalFormatting>
  <conditionalFormatting sqref="XI43">
    <cfRule type="cellIs" dxfId="1157" priority="1331" operator="equal">
      <formula>0</formula>
    </cfRule>
  </conditionalFormatting>
  <conditionalFormatting sqref="XI61">
    <cfRule type="cellIs" dxfId="1156" priority="1330" operator="equal">
      <formula>0</formula>
    </cfRule>
  </conditionalFormatting>
  <conditionalFormatting sqref="XI32 XI35">
    <cfRule type="cellIs" dxfId="1155" priority="1329" operator="equal">
      <formula>0</formula>
    </cfRule>
  </conditionalFormatting>
  <conditionalFormatting sqref="XI36">
    <cfRule type="cellIs" dxfId="1154" priority="1328" operator="equal">
      <formula>0</formula>
    </cfRule>
  </conditionalFormatting>
  <conditionalFormatting sqref="XI40">
    <cfRule type="cellIs" dxfId="1153" priority="1326" operator="equal">
      <formula>0</formula>
    </cfRule>
  </conditionalFormatting>
  <conditionalFormatting sqref="XI58">
    <cfRule type="cellIs" dxfId="1152" priority="1327" operator="equal">
      <formula>0</formula>
    </cfRule>
  </conditionalFormatting>
  <conditionalFormatting sqref="XI56:XI57">
    <cfRule type="cellIs" dxfId="1151" priority="1325" operator="equal">
      <formula>0</formula>
    </cfRule>
  </conditionalFormatting>
  <conditionalFormatting sqref="XI33">
    <cfRule type="cellIs" dxfId="1150" priority="1324" operator="equal">
      <formula>0</formula>
    </cfRule>
  </conditionalFormatting>
  <conditionalFormatting sqref="XI37:XI38">
    <cfRule type="cellIs" dxfId="1149" priority="1323" operator="equal">
      <formula>0</formula>
    </cfRule>
  </conditionalFormatting>
  <conditionalFormatting sqref="XJ34:XV34">
    <cfRule type="cellIs" dxfId="1148" priority="1308" operator="equal">
      <formula>0</formula>
    </cfRule>
  </conditionalFormatting>
  <conditionalFormatting sqref="XJ2">
    <cfRule type="cellIs" dxfId="1147" priority="1321" operator="equal">
      <formula>0</formula>
    </cfRule>
  </conditionalFormatting>
  <conditionalFormatting sqref="XJ3:XJ31">
    <cfRule type="cellIs" dxfId="1146" priority="1320" operator="equal">
      <formula>0</formula>
    </cfRule>
  </conditionalFormatting>
  <conditionalFormatting sqref="XJ39 XJ54:XJ55 XJ59:XJ60 XJ41:XJ42">
    <cfRule type="cellIs" dxfId="1145" priority="1319" operator="equal">
      <formula>0</formula>
    </cfRule>
  </conditionalFormatting>
  <conditionalFormatting sqref="XJ43:XW43">
    <cfRule type="cellIs" dxfId="1144" priority="1317" operator="equal">
      <formula>0</formula>
    </cfRule>
  </conditionalFormatting>
  <conditionalFormatting sqref="XJ61:XW61">
    <cfRule type="cellIs" dxfId="1143" priority="1316" operator="equal">
      <formula>0</formula>
    </cfRule>
  </conditionalFormatting>
  <conditionalFormatting sqref="XJ32 XJ35">
    <cfRule type="cellIs" dxfId="1142" priority="1315" operator="equal">
      <formula>0</formula>
    </cfRule>
  </conditionalFormatting>
  <conditionalFormatting sqref="XJ36:XQ36">
    <cfRule type="cellIs" dxfId="1141" priority="1314" operator="equal">
      <formula>0</formula>
    </cfRule>
  </conditionalFormatting>
  <conditionalFormatting sqref="XJ40:XW40">
    <cfRule type="cellIs" dxfId="1140" priority="1312" operator="equal">
      <formula>0</formula>
    </cfRule>
  </conditionalFormatting>
  <conditionalFormatting sqref="XJ58">
    <cfRule type="cellIs" dxfId="1139" priority="1313" operator="equal">
      <formula>0</formula>
    </cfRule>
  </conditionalFormatting>
  <conditionalFormatting sqref="XJ56:XR57">
    <cfRule type="cellIs" dxfId="1138" priority="1311" operator="equal">
      <formula>0</formula>
    </cfRule>
  </conditionalFormatting>
  <conditionalFormatting sqref="XJ33:XV33">
    <cfRule type="cellIs" dxfId="1137" priority="1310" operator="equal">
      <formula>0</formula>
    </cfRule>
  </conditionalFormatting>
  <conditionalFormatting sqref="XJ37:XW38">
    <cfRule type="cellIs" dxfId="1136" priority="1309" operator="equal">
      <formula>0</formula>
    </cfRule>
  </conditionalFormatting>
  <conditionalFormatting sqref="XX39 XX41:XX42 XX54:XX60 XX2:XX35">
    <cfRule type="cellIs" dxfId="1135" priority="1307" operator="equal">
      <formula>0</formula>
    </cfRule>
  </conditionalFormatting>
  <conditionalFormatting sqref="XX36">
    <cfRule type="cellIs" dxfId="1134" priority="1305" operator="equal">
      <formula>0</formula>
    </cfRule>
  </conditionalFormatting>
  <conditionalFormatting sqref="XX43">
    <cfRule type="cellIs" dxfId="1133" priority="1304" operator="equal">
      <formula>0</formula>
    </cfRule>
  </conditionalFormatting>
  <conditionalFormatting sqref="XX61">
    <cfRule type="cellIs" dxfId="1132" priority="1303" operator="equal">
      <formula>0</formula>
    </cfRule>
  </conditionalFormatting>
  <conditionalFormatting sqref="XX40">
    <cfRule type="cellIs" dxfId="1131" priority="1302" operator="equal">
      <formula>0</formula>
    </cfRule>
  </conditionalFormatting>
  <conditionalFormatting sqref="XX37:XX38">
    <cfRule type="cellIs" dxfId="1130" priority="1301" operator="equal">
      <formula>0</formula>
    </cfRule>
  </conditionalFormatting>
  <conditionalFormatting sqref="XY62:XY63">
    <cfRule type="cellIs" dxfId="1129" priority="1300" operator="equal">
      <formula>0</formula>
    </cfRule>
  </conditionalFormatting>
  <conditionalFormatting sqref="XY39 XY41:XY42 XY54:XY60 XY2:XY32 XY35">
    <cfRule type="cellIs" dxfId="1128" priority="1299" operator="equal">
      <formula>0</formula>
    </cfRule>
  </conditionalFormatting>
  <conditionalFormatting sqref="XY61">
    <cfRule type="cellIs" dxfId="1127" priority="1295" operator="equal">
      <formula>0</formula>
    </cfRule>
  </conditionalFormatting>
  <conditionalFormatting sqref="XY43">
    <cfRule type="cellIs" dxfId="1126" priority="1296" operator="equal">
      <formula>0</formula>
    </cfRule>
  </conditionalFormatting>
  <conditionalFormatting sqref="XY40">
    <cfRule type="cellIs" dxfId="1125" priority="1294" operator="equal">
      <formula>0</formula>
    </cfRule>
  </conditionalFormatting>
  <conditionalFormatting sqref="XY36">
    <cfRule type="cellIs" dxfId="1124" priority="1291" operator="equal">
      <formula>0</formula>
    </cfRule>
  </conditionalFormatting>
  <conditionalFormatting sqref="XY33:XY34">
    <cfRule type="cellIs" dxfId="1123" priority="1292" operator="equal">
      <formula>0</formula>
    </cfRule>
  </conditionalFormatting>
  <conditionalFormatting sqref="XY37:XY38">
    <cfRule type="cellIs" dxfId="1122" priority="1290" operator="equal">
      <formula>0</formula>
    </cfRule>
  </conditionalFormatting>
  <conditionalFormatting sqref="XZ39 XZ41:XZ42 XZ54:XZ60 XZ2:XZ32 XZ35">
    <cfRule type="cellIs" dxfId="1121" priority="1289" operator="equal">
      <formula>0</formula>
    </cfRule>
  </conditionalFormatting>
  <conditionalFormatting sqref="XZ61">
    <cfRule type="cellIs" dxfId="1120" priority="1286" operator="equal">
      <formula>0</formula>
    </cfRule>
  </conditionalFormatting>
  <conditionalFormatting sqref="XZ43">
    <cfRule type="cellIs" dxfId="1119" priority="1287" operator="equal">
      <formula>0</formula>
    </cfRule>
  </conditionalFormatting>
  <conditionalFormatting sqref="XZ40">
    <cfRule type="cellIs" dxfId="1118" priority="1285" operator="equal">
      <formula>0</formula>
    </cfRule>
  </conditionalFormatting>
  <conditionalFormatting sqref="XZ36">
    <cfRule type="cellIs" dxfId="1117" priority="1283" operator="equal">
      <formula>0</formula>
    </cfRule>
  </conditionalFormatting>
  <conditionalFormatting sqref="XZ33:XZ34">
    <cfRule type="cellIs" dxfId="1116" priority="1284" operator="equal">
      <formula>0</formula>
    </cfRule>
  </conditionalFormatting>
  <conditionalFormatting sqref="XZ37:XZ38">
    <cfRule type="cellIs" dxfId="1115" priority="1282" operator="equal">
      <formula>0</formula>
    </cfRule>
  </conditionalFormatting>
  <conditionalFormatting sqref="YA62">
    <cfRule type="cellIs" dxfId="1114" priority="1281" operator="equal">
      <formula>0</formula>
    </cfRule>
  </conditionalFormatting>
  <conditionalFormatting sqref="YA39 YA41:YA42 YA54:YA60 YA2:YA32 YA35">
    <cfRule type="cellIs" dxfId="1113" priority="1280" operator="equal">
      <formula>0</formula>
    </cfRule>
  </conditionalFormatting>
  <conditionalFormatting sqref="YA61">
    <cfRule type="cellIs" dxfId="1112" priority="1277" operator="equal">
      <formula>0</formula>
    </cfRule>
  </conditionalFormatting>
  <conditionalFormatting sqref="YA43">
    <cfRule type="cellIs" dxfId="1111" priority="1278" operator="equal">
      <formula>0</formula>
    </cfRule>
  </conditionalFormatting>
  <conditionalFormatting sqref="YA40">
    <cfRule type="cellIs" dxfId="1110" priority="1276" operator="equal">
      <formula>0</formula>
    </cfRule>
  </conditionalFormatting>
  <conditionalFormatting sqref="YA36">
    <cfRule type="cellIs" dxfId="1109" priority="1274" operator="equal">
      <formula>0</formula>
    </cfRule>
  </conditionalFormatting>
  <conditionalFormatting sqref="YA33:YA34">
    <cfRule type="cellIs" dxfId="1108" priority="1275" operator="equal">
      <formula>0</formula>
    </cfRule>
  </conditionalFormatting>
  <conditionalFormatting sqref="YA37:YA38">
    <cfRule type="cellIs" dxfId="1107" priority="1273" operator="equal">
      <formula>0</formula>
    </cfRule>
  </conditionalFormatting>
  <conditionalFormatting sqref="YB62">
    <cfRule type="cellIs" dxfId="1106" priority="1272" operator="equal">
      <formula>0</formula>
    </cfRule>
  </conditionalFormatting>
  <conditionalFormatting sqref="YB39 YB41:YB42 YB54:YB60 YB2:YB32 YB35">
    <cfRule type="cellIs" dxfId="1105" priority="1271" operator="equal">
      <formula>0</formula>
    </cfRule>
  </conditionalFormatting>
  <conditionalFormatting sqref="YB61">
    <cfRule type="cellIs" dxfId="1104" priority="1268" operator="equal">
      <formula>0</formula>
    </cfRule>
  </conditionalFormatting>
  <conditionalFormatting sqref="YB43">
    <cfRule type="cellIs" dxfId="1103" priority="1269" operator="equal">
      <formula>0</formula>
    </cfRule>
  </conditionalFormatting>
  <conditionalFormatting sqref="YB40">
    <cfRule type="cellIs" dxfId="1102" priority="1267" operator="equal">
      <formula>0</formula>
    </cfRule>
  </conditionalFormatting>
  <conditionalFormatting sqref="YB36">
    <cfRule type="cellIs" dxfId="1101" priority="1265" operator="equal">
      <formula>0</formula>
    </cfRule>
  </conditionalFormatting>
  <conditionalFormatting sqref="YB33:YB34">
    <cfRule type="cellIs" dxfId="1100" priority="1266" operator="equal">
      <formula>0</formula>
    </cfRule>
  </conditionalFormatting>
  <conditionalFormatting sqref="YB37:YB38">
    <cfRule type="cellIs" dxfId="1099" priority="1264" operator="equal">
      <formula>0</formula>
    </cfRule>
  </conditionalFormatting>
  <conditionalFormatting sqref="YC39 YC41:YC42 YC54:YC60 YC2:YC32 YC35">
    <cfRule type="cellIs" dxfId="1098" priority="1263" operator="equal">
      <formula>0</formula>
    </cfRule>
  </conditionalFormatting>
  <conditionalFormatting sqref="YC61">
    <cfRule type="cellIs" dxfId="1097" priority="1260" operator="equal">
      <formula>0</formula>
    </cfRule>
  </conditionalFormatting>
  <conditionalFormatting sqref="YC43">
    <cfRule type="cellIs" dxfId="1096" priority="1261" operator="equal">
      <formula>0</formula>
    </cfRule>
  </conditionalFormatting>
  <conditionalFormatting sqref="YC40">
    <cfRule type="cellIs" dxfId="1095" priority="1259" operator="equal">
      <formula>0</formula>
    </cfRule>
  </conditionalFormatting>
  <conditionalFormatting sqref="YC36">
    <cfRule type="cellIs" dxfId="1094" priority="1257" operator="equal">
      <formula>0</formula>
    </cfRule>
  </conditionalFormatting>
  <conditionalFormatting sqref="YC33:YC34">
    <cfRule type="cellIs" dxfId="1093" priority="1258" operator="equal">
      <formula>0</formula>
    </cfRule>
  </conditionalFormatting>
  <conditionalFormatting sqref="YC37:YC38">
    <cfRule type="cellIs" dxfId="1092" priority="1256" operator="equal">
      <formula>0</formula>
    </cfRule>
  </conditionalFormatting>
  <conditionalFormatting sqref="YD62:YD63">
    <cfRule type="cellIs" dxfId="1091" priority="1255" operator="equal">
      <formula>0</formula>
    </cfRule>
  </conditionalFormatting>
  <conditionalFormatting sqref="YD39 YD41:YD42 YD54:YD60 YD2:YD32 YD35">
    <cfRule type="cellIs" dxfId="1090" priority="1254" operator="equal">
      <formula>0</formula>
    </cfRule>
  </conditionalFormatting>
  <conditionalFormatting sqref="YD61">
    <cfRule type="cellIs" dxfId="1089" priority="1251" operator="equal">
      <formula>0</formula>
    </cfRule>
  </conditionalFormatting>
  <conditionalFormatting sqref="YD43">
    <cfRule type="cellIs" dxfId="1088" priority="1252" operator="equal">
      <formula>0</formula>
    </cfRule>
  </conditionalFormatting>
  <conditionalFormatting sqref="YD40">
    <cfRule type="cellIs" dxfId="1087" priority="1250" operator="equal">
      <formula>0</formula>
    </cfRule>
  </conditionalFormatting>
  <conditionalFormatting sqref="YD36">
    <cfRule type="cellIs" dxfId="1086" priority="1248" operator="equal">
      <formula>0</formula>
    </cfRule>
  </conditionalFormatting>
  <conditionalFormatting sqref="YD33:YD34">
    <cfRule type="cellIs" dxfId="1085" priority="1249" operator="equal">
      <formula>0</formula>
    </cfRule>
  </conditionalFormatting>
  <conditionalFormatting sqref="YD37:YD38">
    <cfRule type="cellIs" dxfId="1084" priority="1247" operator="equal">
      <formula>0</formula>
    </cfRule>
  </conditionalFormatting>
  <conditionalFormatting sqref="YE39 YE41:YE42 YE54:YE60 YE2:YE32 YE35">
    <cfRule type="cellIs" dxfId="1083" priority="1246" operator="equal">
      <formula>0</formula>
    </cfRule>
  </conditionalFormatting>
  <conditionalFormatting sqref="YE61">
    <cfRule type="cellIs" dxfId="1082" priority="1243" operator="equal">
      <formula>0</formula>
    </cfRule>
  </conditionalFormatting>
  <conditionalFormatting sqref="YE43">
    <cfRule type="cellIs" dxfId="1081" priority="1244" operator="equal">
      <formula>0</formula>
    </cfRule>
  </conditionalFormatting>
  <conditionalFormatting sqref="YE40">
    <cfRule type="cellIs" dxfId="1080" priority="1242" operator="equal">
      <formula>0</formula>
    </cfRule>
  </conditionalFormatting>
  <conditionalFormatting sqref="YE36">
    <cfRule type="cellIs" dxfId="1079" priority="1240" operator="equal">
      <formula>0</formula>
    </cfRule>
  </conditionalFormatting>
  <conditionalFormatting sqref="YE34">
    <cfRule type="cellIs" dxfId="1078" priority="1241" operator="equal">
      <formula>0</formula>
    </cfRule>
  </conditionalFormatting>
  <conditionalFormatting sqref="YE37:YE38">
    <cfRule type="cellIs" dxfId="1077" priority="1239" operator="equal">
      <formula>0</formula>
    </cfRule>
  </conditionalFormatting>
  <conditionalFormatting sqref="YE33">
    <cfRule type="cellIs" dxfId="1076" priority="1238" operator="equal">
      <formula>0</formula>
    </cfRule>
  </conditionalFormatting>
  <conditionalFormatting sqref="YF62">
    <cfRule type="cellIs" dxfId="1075" priority="1237" operator="equal">
      <formula>0</formula>
    </cfRule>
  </conditionalFormatting>
  <conditionalFormatting sqref="YF39 YF41:YF42 YF54:YF60 YF2:YF32 YF35">
    <cfRule type="cellIs" dxfId="1074" priority="1236" operator="equal">
      <formula>0</formula>
    </cfRule>
  </conditionalFormatting>
  <conditionalFormatting sqref="YF61">
    <cfRule type="cellIs" dxfId="1073" priority="1233" operator="equal">
      <formula>0</formula>
    </cfRule>
  </conditionalFormatting>
  <conditionalFormatting sqref="YF43">
    <cfRule type="cellIs" dxfId="1072" priority="1234" operator="equal">
      <formula>0</formula>
    </cfRule>
  </conditionalFormatting>
  <conditionalFormatting sqref="YF40">
    <cfRule type="cellIs" dxfId="1071" priority="1232" operator="equal">
      <formula>0</formula>
    </cfRule>
  </conditionalFormatting>
  <conditionalFormatting sqref="YF34">
    <cfRule type="cellIs" dxfId="1070" priority="1227" operator="equal">
      <formula>0</formula>
    </cfRule>
  </conditionalFormatting>
  <conditionalFormatting sqref="YF37:YF38">
    <cfRule type="cellIs" dxfId="1069" priority="1224" operator="equal">
      <formula>0</formula>
    </cfRule>
  </conditionalFormatting>
  <conditionalFormatting sqref="YF33">
    <cfRule type="cellIs" dxfId="1068" priority="1226" operator="equal">
      <formula>0</formula>
    </cfRule>
  </conditionalFormatting>
  <conditionalFormatting sqref="YF36">
    <cfRule type="cellIs" dxfId="1067" priority="1225" operator="equal">
      <formula>0</formula>
    </cfRule>
  </conditionalFormatting>
  <conditionalFormatting sqref="YG1">
    <cfRule type="cellIs" dxfId="1066" priority="1223" operator="equal">
      <formula>0</formula>
    </cfRule>
  </conditionalFormatting>
  <conditionalFormatting sqref="YG62">
    <cfRule type="cellIs" dxfId="1065" priority="1222" operator="equal">
      <formula>0</formula>
    </cfRule>
  </conditionalFormatting>
  <conditionalFormatting sqref="YG39 YG41:YG42 YG54:YG60 YG2:YG32 YG35">
    <cfRule type="cellIs" dxfId="1064" priority="1221" operator="equal">
      <formula>0</formula>
    </cfRule>
  </conditionalFormatting>
  <conditionalFormatting sqref="YG61">
    <cfRule type="cellIs" dxfId="1063" priority="1218" operator="equal">
      <formula>0</formula>
    </cfRule>
  </conditionalFormatting>
  <conditionalFormatting sqref="YG43">
    <cfRule type="cellIs" dxfId="1062" priority="1219" operator="equal">
      <formula>0</formula>
    </cfRule>
  </conditionalFormatting>
  <conditionalFormatting sqref="YG40">
    <cfRule type="cellIs" dxfId="1061" priority="1217" operator="equal">
      <formula>0</formula>
    </cfRule>
  </conditionalFormatting>
  <conditionalFormatting sqref="YG34">
    <cfRule type="cellIs" dxfId="1060" priority="1216" operator="equal">
      <formula>0</formula>
    </cfRule>
  </conditionalFormatting>
  <conditionalFormatting sqref="YG37:YG38">
    <cfRule type="cellIs" dxfId="1059" priority="1213" operator="equal">
      <formula>0</formula>
    </cfRule>
  </conditionalFormatting>
  <conditionalFormatting sqref="YG33">
    <cfRule type="cellIs" dxfId="1058" priority="1215" operator="equal">
      <formula>0</formula>
    </cfRule>
  </conditionalFormatting>
  <conditionalFormatting sqref="YG36">
    <cfRule type="cellIs" dxfId="1057" priority="1214" operator="equal">
      <formula>0</formula>
    </cfRule>
  </conditionalFormatting>
  <conditionalFormatting sqref="YH39 YH41:YH42 YH54:YH60 YH2:YH32 YH35">
    <cfRule type="cellIs" dxfId="1056" priority="1212" operator="equal">
      <formula>0</formula>
    </cfRule>
  </conditionalFormatting>
  <conditionalFormatting sqref="YH61">
    <cfRule type="cellIs" dxfId="1055" priority="1209" operator="equal">
      <formula>0</formula>
    </cfRule>
  </conditionalFormatting>
  <conditionalFormatting sqref="YH43">
    <cfRule type="cellIs" dxfId="1054" priority="1210" operator="equal">
      <formula>0</formula>
    </cfRule>
  </conditionalFormatting>
  <conditionalFormatting sqref="YH40">
    <cfRule type="cellIs" dxfId="1053" priority="1208" operator="equal">
      <formula>0</formula>
    </cfRule>
  </conditionalFormatting>
  <conditionalFormatting sqref="YH34">
    <cfRule type="cellIs" dxfId="1052" priority="1207" operator="equal">
      <formula>0</formula>
    </cfRule>
  </conditionalFormatting>
  <conditionalFormatting sqref="YH37:YH38">
    <cfRule type="cellIs" dxfId="1051" priority="1204" operator="equal">
      <formula>0</formula>
    </cfRule>
  </conditionalFormatting>
  <conditionalFormatting sqref="YH33">
    <cfRule type="cellIs" dxfId="1050" priority="1206" operator="equal">
      <formula>0</formula>
    </cfRule>
  </conditionalFormatting>
  <conditionalFormatting sqref="YH36">
    <cfRule type="cellIs" dxfId="1049" priority="1205" operator="equal">
      <formula>0</formula>
    </cfRule>
  </conditionalFormatting>
  <conditionalFormatting sqref="YI62">
    <cfRule type="cellIs" dxfId="1048" priority="1203" operator="equal">
      <formula>0</formula>
    </cfRule>
  </conditionalFormatting>
  <conditionalFormatting sqref="YI39 YI41:YI42 YI54:YI60 YI2:YI32 YI35">
    <cfRule type="cellIs" dxfId="1047" priority="1202" operator="equal">
      <formula>0</formula>
    </cfRule>
  </conditionalFormatting>
  <conditionalFormatting sqref="YI61">
    <cfRule type="cellIs" dxfId="1046" priority="1199" operator="equal">
      <formula>0</formula>
    </cfRule>
  </conditionalFormatting>
  <conditionalFormatting sqref="YI43">
    <cfRule type="cellIs" dxfId="1045" priority="1200" operator="equal">
      <formula>0</formula>
    </cfRule>
  </conditionalFormatting>
  <conditionalFormatting sqref="YI40">
    <cfRule type="cellIs" dxfId="1044" priority="1198" operator="equal">
      <formula>0</formula>
    </cfRule>
  </conditionalFormatting>
  <conditionalFormatting sqref="YI34">
    <cfRule type="cellIs" dxfId="1043" priority="1197" operator="equal">
      <formula>0</formula>
    </cfRule>
  </conditionalFormatting>
  <conditionalFormatting sqref="YI33">
    <cfRule type="cellIs" dxfId="1042" priority="1193" operator="equal">
      <formula>0</formula>
    </cfRule>
  </conditionalFormatting>
  <conditionalFormatting sqref="YI36">
    <cfRule type="cellIs" dxfId="1041" priority="1195" operator="equal">
      <formula>0</formula>
    </cfRule>
  </conditionalFormatting>
  <conditionalFormatting sqref="YI37:YI38">
    <cfRule type="cellIs" dxfId="1040" priority="1192" operator="equal">
      <formula>0</formula>
    </cfRule>
  </conditionalFormatting>
  <conditionalFormatting sqref="YJ39:YK39 YJ41:YK42 YJ2:YK31 YJ35 YJ54:YK60 YJ32">
    <cfRule type="cellIs" dxfId="1039" priority="1191" operator="equal">
      <formula>0</formula>
    </cfRule>
  </conditionalFormatting>
  <conditionalFormatting sqref="YJ61:YK61">
    <cfRule type="cellIs" dxfId="1038" priority="1188" operator="equal">
      <formula>0</formula>
    </cfRule>
  </conditionalFormatting>
  <conditionalFormatting sqref="YJ43:YK43">
    <cfRule type="cellIs" dxfId="1037" priority="1189" operator="equal">
      <formula>0</formula>
    </cfRule>
  </conditionalFormatting>
  <conditionalFormatting sqref="YJ40:YK40">
    <cfRule type="cellIs" dxfId="1036" priority="1187" operator="equal">
      <formula>0</formula>
    </cfRule>
  </conditionalFormatting>
  <conditionalFormatting sqref="YJ34">
    <cfRule type="cellIs" dxfId="1035" priority="1186" operator="equal">
      <formula>0</formula>
    </cfRule>
  </conditionalFormatting>
  <conditionalFormatting sqref="YJ33">
    <cfRule type="cellIs" dxfId="1034" priority="1184" operator="equal">
      <formula>0</formula>
    </cfRule>
  </conditionalFormatting>
  <conditionalFormatting sqref="YJ36">
    <cfRule type="cellIs" dxfId="1033" priority="1185" operator="equal">
      <formula>0</formula>
    </cfRule>
  </conditionalFormatting>
  <conditionalFormatting sqref="YJ37:YJ38">
    <cfRule type="cellIs" dxfId="1032" priority="1183" operator="equal">
      <formula>0</formula>
    </cfRule>
  </conditionalFormatting>
  <conditionalFormatting sqref="YK35 YK32">
    <cfRule type="cellIs" dxfId="1031" priority="1182" operator="equal">
      <formula>0</formula>
    </cfRule>
  </conditionalFormatting>
  <conditionalFormatting sqref="YK34">
    <cfRule type="cellIs" dxfId="1030" priority="1181" operator="equal">
      <formula>0</formula>
    </cfRule>
  </conditionalFormatting>
  <conditionalFormatting sqref="YK33">
    <cfRule type="cellIs" dxfId="1029" priority="1179" operator="equal">
      <formula>0</formula>
    </cfRule>
  </conditionalFormatting>
  <conditionalFormatting sqref="YK36">
    <cfRule type="cellIs" dxfId="1028" priority="1180" operator="equal">
      <formula>0</formula>
    </cfRule>
  </conditionalFormatting>
  <conditionalFormatting sqref="YK37:YK38">
    <cfRule type="cellIs" dxfId="1027" priority="1178" operator="equal">
      <formula>0</formula>
    </cfRule>
  </conditionalFormatting>
  <conditionalFormatting sqref="YL39 YL41:YL42 YL2:YL31 YL54:YL60">
    <cfRule type="cellIs" dxfId="1026" priority="1177" operator="equal">
      <formula>0</formula>
    </cfRule>
  </conditionalFormatting>
  <conditionalFormatting sqref="YL61">
    <cfRule type="cellIs" dxfId="1025" priority="1174" operator="equal">
      <formula>0</formula>
    </cfRule>
  </conditionalFormatting>
  <conditionalFormatting sqref="YL43">
    <cfRule type="cellIs" dxfId="1024" priority="1175" operator="equal">
      <formula>0</formula>
    </cfRule>
  </conditionalFormatting>
  <conditionalFormatting sqref="YL40">
    <cfRule type="cellIs" dxfId="1023" priority="1173" operator="equal">
      <formula>0</formula>
    </cfRule>
  </conditionalFormatting>
  <conditionalFormatting sqref="YL35 YL32">
    <cfRule type="cellIs" dxfId="1022" priority="1172" operator="equal">
      <formula>0</formula>
    </cfRule>
  </conditionalFormatting>
  <conditionalFormatting sqref="YL34">
    <cfRule type="cellIs" dxfId="1021" priority="1171" operator="equal">
      <formula>0</formula>
    </cfRule>
  </conditionalFormatting>
  <conditionalFormatting sqref="YL33">
    <cfRule type="cellIs" dxfId="1020" priority="1169" operator="equal">
      <formula>0</formula>
    </cfRule>
  </conditionalFormatting>
  <conditionalFormatting sqref="YL36">
    <cfRule type="cellIs" dxfId="1019" priority="1170" operator="equal">
      <formula>0</formula>
    </cfRule>
  </conditionalFormatting>
  <conditionalFormatting sqref="YL37:YL38">
    <cfRule type="cellIs" dxfId="1018" priority="1168" operator="equal">
      <formula>0</formula>
    </cfRule>
  </conditionalFormatting>
  <conditionalFormatting sqref="YM62">
    <cfRule type="cellIs" dxfId="1017" priority="1167" operator="equal">
      <formula>0</formula>
    </cfRule>
  </conditionalFormatting>
  <conditionalFormatting sqref="YM39 YM41:YM42 YM2:YM31 YM54:YM60">
    <cfRule type="cellIs" dxfId="1016" priority="1166" operator="equal">
      <formula>0</formula>
    </cfRule>
  </conditionalFormatting>
  <conditionalFormatting sqref="YM61">
    <cfRule type="cellIs" dxfId="1015" priority="1163" operator="equal">
      <formula>0</formula>
    </cfRule>
  </conditionalFormatting>
  <conditionalFormatting sqref="YM43">
    <cfRule type="cellIs" dxfId="1014" priority="1164" operator="equal">
      <formula>0</formula>
    </cfRule>
  </conditionalFormatting>
  <conditionalFormatting sqref="YM40">
    <cfRule type="cellIs" dxfId="1013" priority="1162" operator="equal">
      <formula>0</formula>
    </cfRule>
  </conditionalFormatting>
  <conditionalFormatting sqref="YM35 YM32">
    <cfRule type="cellIs" dxfId="1012" priority="1161" operator="equal">
      <formula>0</formula>
    </cfRule>
  </conditionalFormatting>
  <conditionalFormatting sqref="YM34">
    <cfRule type="cellIs" dxfId="1011" priority="1156" operator="equal">
      <formula>0</formula>
    </cfRule>
  </conditionalFormatting>
  <conditionalFormatting sqref="YM36">
    <cfRule type="cellIs" dxfId="1010" priority="1154" operator="equal">
      <formula>0</formula>
    </cfRule>
  </conditionalFormatting>
  <conditionalFormatting sqref="YM33">
    <cfRule type="cellIs" dxfId="1009" priority="1155" operator="equal">
      <formula>0</formula>
    </cfRule>
  </conditionalFormatting>
  <conditionalFormatting sqref="YM37:YM38">
    <cfRule type="cellIs" dxfId="1008" priority="1153" operator="equal">
      <formula>0</formula>
    </cfRule>
  </conditionalFormatting>
  <conditionalFormatting sqref="YN37:YN38">
    <cfRule type="cellIs" dxfId="1007" priority="1139" operator="equal">
      <formula>0</formula>
    </cfRule>
  </conditionalFormatting>
  <conditionalFormatting sqref="YN62">
    <cfRule type="cellIs" dxfId="1006" priority="1152" operator="equal">
      <formula>0</formula>
    </cfRule>
  </conditionalFormatting>
  <conditionalFormatting sqref="YN39 YN41:YN42 YN2:YN31 YN54:YN60">
    <cfRule type="cellIs" dxfId="1005" priority="1151" operator="equal">
      <formula>0</formula>
    </cfRule>
  </conditionalFormatting>
  <conditionalFormatting sqref="YN61">
    <cfRule type="cellIs" dxfId="1004" priority="1148" operator="equal">
      <formula>0</formula>
    </cfRule>
  </conditionalFormatting>
  <conditionalFormatting sqref="YN43">
    <cfRule type="cellIs" dxfId="1003" priority="1149" operator="equal">
      <formula>0</formula>
    </cfRule>
  </conditionalFormatting>
  <conditionalFormatting sqref="YN40">
    <cfRule type="cellIs" dxfId="1002" priority="1147" operator="equal">
      <formula>0</formula>
    </cfRule>
  </conditionalFormatting>
  <conditionalFormatting sqref="YN35 YN32">
    <cfRule type="cellIs" dxfId="1001" priority="1146" operator="equal">
      <formula>0</formula>
    </cfRule>
  </conditionalFormatting>
  <conditionalFormatting sqref="YN36">
    <cfRule type="cellIs" dxfId="1000" priority="1143" operator="equal">
      <formula>0</formula>
    </cfRule>
  </conditionalFormatting>
  <conditionalFormatting sqref="YN34">
    <cfRule type="cellIs" dxfId="999" priority="1141" operator="equal">
      <formula>0</formula>
    </cfRule>
  </conditionalFormatting>
  <conditionalFormatting sqref="YN33">
    <cfRule type="cellIs" dxfId="998" priority="1140" operator="equal">
      <formula>0</formula>
    </cfRule>
  </conditionalFormatting>
  <conditionalFormatting sqref="YO34">
    <cfRule type="cellIs" dxfId="997" priority="1126" operator="equal">
      <formula>0</formula>
    </cfRule>
  </conditionalFormatting>
  <conditionalFormatting sqref="YO62">
    <cfRule type="cellIs" dxfId="996" priority="1138" operator="equal">
      <formula>0</formula>
    </cfRule>
  </conditionalFormatting>
  <conditionalFormatting sqref="YO39 YO41:YO42 YO2:YO31 YO54:YO60">
    <cfRule type="cellIs" dxfId="995" priority="1137" operator="equal">
      <formula>0</formula>
    </cfRule>
  </conditionalFormatting>
  <conditionalFormatting sqref="YO61">
    <cfRule type="cellIs" dxfId="994" priority="1134" operator="equal">
      <formula>0</formula>
    </cfRule>
  </conditionalFormatting>
  <conditionalFormatting sqref="YO43">
    <cfRule type="cellIs" dxfId="993" priority="1135" operator="equal">
      <formula>0</formula>
    </cfRule>
  </conditionalFormatting>
  <conditionalFormatting sqref="YO40">
    <cfRule type="cellIs" dxfId="992" priority="1133" operator="equal">
      <formula>0</formula>
    </cfRule>
  </conditionalFormatting>
  <conditionalFormatting sqref="YO35 YO32">
    <cfRule type="cellIs" dxfId="991" priority="1132" operator="equal">
      <formula>0</formula>
    </cfRule>
  </conditionalFormatting>
  <conditionalFormatting sqref="YO33">
    <cfRule type="cellIs" dxfId="990" priority="1127" operator="equal">
      <formula>0</formula>
    </cfRule>
  </conditionalFormatting>
  <conditionalFormatting sqref="YO36">
    <cfRule type="cellIs" dxfId="989" priority="1125" operator="equal">
      <formula>0</formula>
    </cfRule>
  </conditionalFormatting>
  <conditionalFormatting sqref="YO37:YO38">
    <cfRule type="cellIs" dxfId="988" priority="1124" operator="equal">
      <formula>0</formula>
    </cfRule>
  </conditionalFormatting>
  <conditionalFormatting sqref="YP33">
    <cfRule type="cellIs" dxfId="987" priority="1112" operator="equal">
      <formula>0</formula>
    </cfRule>
  </conditionalFormatting>
  <conditionalFormatting sqref="YP62">
    <cfRule type="cellIs" dxfId="986" priority="1123" operator="equal">
      <formula>0</formula>
    </cfRule>
  </conditionalFormatting>
  <conditionalFormatting sqref="YP39 YP41:YP42 YP2:YP31 YP54:YP60">
    <cfRule type="cellIs" dxfId="985" priority="1122" operator="equal">
      <formula>0</formula>
    </cfRule>
  </conditionalFormatting>
  <conditionalFormatting sqref="YP61">
    <cfRule type="cellIs" dxfId="984" priority="1119" operator="equal">
      <formula>0</formula>
    </cfRule>
  </conditionalFormatting>
  <conditionalFormatting sqref="YP43">
    <cfRule type="cellIs" dxfId="983" priority="1120" operator="equal">
      <formula>0</formula>
    </cfRule>
  </conditionalFormatting>
  <conditionalFormatting sqref="YP40">
    <cfRule type="cellIs" dxfId="982" priority="1118" operator="equal">
      <formula>0</formula>
    </cfRule>
  </conditionalFormatting>
  <conditionalFormatting sqref="YP35 YP32">
    <cfRule type="cellIs" dxfId="981" priority="1117" operator="equal">
      <formula>0</formula>
    </cfRule>
  </conditionalFormatting>
  <conditionalFormatting sqref="YP36">
    <cfRule type="cellIs" dxfId="980" priority="1114" operator="equal">
      <formula>0</formula>
    </cfRule>
  </conditionalFormatting>
  <conditionalFormatting sqref="YP34">
    <cfRule type="cellIs" dxfId="979" priority="1111" operator="equal">
      <formula>0</formula>
    </cfRule>
  </conditionalFormatting>
  <conditionalFormatting sqref="YP37:YP38">
    <cfRule type="cellIs" dxfId="978" priority="1110" operator="equal">
      <formula>0</formula>
    </cfRule>
  </conditionalFormatting>
  <conditionalFormatting sqref="YQ33">
    <cfRule type="cellIs" dxfId="977" priority="1098" operator="equal">
      <formula>0</formula>
    </cfRule>
  </conditionalFormatting>
  <conditionalFormatting sqref="YQ62">
    <cfRule type="cellIs" dxfId="976" priority="1109" operator="equal">
      <formula>0</formula>
    </cfRule>
  </conditionalFormatting>
  <conditionalFormatting sqref="YQ39 YQ41:YQ42 YQ2:YQ31 YQ54:YQ60">
    <cfRule type="cellIs" dxfId="975" priority="1108" operator="equal">
      <formula>0</formula>
    </cfRule>
  </conditionalFormatting>
  <conditionalFormatting sqref="YQ61">
    <cfRule type="cellIs" dxfId="974" priority="1105" operator="equal">
      <formula>0</formula>
    </cfRule>
  </conditionalFormatting>
  <conditionalFormatting sqref="YQ43">
    <cfRule type="cellIs" dxfId="973" priority="1106" operator="equal">
      <formula>0</formula>
    </cfRule>
  </conditionalFormatting>
  <conditionalFormatting sqref="YQ40">
    <cfRule type="cellIs" dxfId="972" priority="1104" operator="equal">
      <formula>0</formula>
    </cfRule>
  </conditionalFormatting>
  <conditionalFormatting sqref="YQ35 YQ32">
    <cfRule type="cellIs" dxfId="971" priority="1103" operator="equal">
      <formula>0</formula>
    </cfRule>
  </conditionalFormatting>
  <conditionalFormatting sqref="YQ36">
    <cfRule type="cellIs" dxfId="970" priority="1102" operator="equal">
      <formula>0</formula>
    </cfRule>
  </conditionalFormatting>
  <conditionalFormatting sqref="YQ34">
    <cfRule type="cellIs" dxfId="969" priority="1097" operator="equal">
      <formula>0</formula>
    </cfRule>
  </conditionalFormatting>
  <conditionalFormatting sqref="YQ37:YQ38">
    <cfRule type="cellIs" dxfId="968" priority="1096" operator="equal">
      <formula>0</formula>
    </cfRule>
  </conditionalFormatting>
  <conditionalFormatting sqref="YR34:YS34">
    <cfRule type="cellIs" dxfId="967" priority="1083" operator="equal">
      <formula>0</formula>
    </cfRule>
  </conditionalFormatting>
  <conditionalFormatting sqref="YR62:YS62">
    <cfRule type="cellIs" dxfId="966" priority="1095" operator="equal">
      <formula>0</formula>
    </cfRule>
  </conditionalFormatting>
  <conditionalFormatting sqref="YR39:YS39 YR41:YS42 YR2:YS31 YR54:YS60">
    <cfRule type="cellIs" dxfId="965" priority="1094" operator="equal">
      <formula>0</formula>
    </cfRule>
  </conditionalFormatting>
  <conditionalFormatting sqref="YR61:ZK61">
    <cfRule type="cellIs" dxfId="964" priority="1091" operator="equal">
      <formula>0</formula>
    </cfRule>
  </conditionalFormatting>
  <conditionalFormatting sqref="YR43:YS43">
    <cfRule type="cellIs" dxfId="963" priority="1092" operator="equal">
      <formula>0</formula>
    </cfRule>
  </conditionalFormatting>
  <conditionalFormatting sqref="YR40:YS40">
    <cfRule type="cellIs" dxfId="962" priority="1090" operator="equal">
      <formula>0</formula>
    </cfRule>
  </conditionalFormatting>
  <conditionalFormatting sqref="YR35:YS35 YR32:YS32">
    <cfRule type="cellIs" dxfId="961" priority="1089" operator="equal">
      <formula>0</formula>
    </cfRule>
  </conditionalFormatting>
  <conditionalFormatting sqref="YR33:YS33">
    <cfRule type="cellIs" dxfId="960" priority="1084" operator="equal">
      <formula>0</formula>
    </cfRule>
  </conditionalFormatting>
  <conditionalFormatting sqref="YR36:YS36">
    <cfRule type="cellIs" dxfId="959" priority="1082" operator="equal">
      <formula>0</formula>
    </cfRule>
  </conditionalFormatting>
  <conditionalFormatting sqref="YR37:YS38">
    <cfRule type="cellIs" dxfId="958" priority="1081" operator="equal">
      <formula>0</formula>
    </cfRule>
  </conditionalFormatting>
  <conditionalFormatting sqref="ZL1:ZL35 ZL37:ZL43 ZL54:ZL60">
    <cfRule type="cellIs" dxfId="957" priority="1079" operator="equal">
      <formula>0</formula>
    </cfRule>
  </conditionalFormatting>
  <conditionalFormatting sqref="ZL36">
    <cfRule type="cellIs" dxfId="956" priority="1077" operator="equal">
      <formula>0</formula>
    </cfRule>
  </conditionalFormatting>
  <conditionalFormatting sqref="ZL61">
    <cfRule type="cellIs" dxfId="955" priority="1076" operator="equal">
      <formula>0</formula>
    </cfRule>
  </conditionalFormatting>
  <conditionalFormatting sqref="ZM1:ZM31 ZM54:ZM60">
    <cfRule type="cellIs" dxfId="954" priority="1074" operator="equal">
      <formula>0</formula>
    </cfRule>
  </conditionalFormatting>
  <conditionalFormatting sqref="ZM61">
    <cfRule type="cellIs" dxfId="953" priority="1071" operator="equal">
      <formula>0</formula>
    </cfRule>
  </conditionalFormatting>
  <conditionalFormatting sqref="ZN1:ZN35 ZN37:ZN43 ZN54:ZN60">
    <cfRule type="cellIs" dxfId="952" priority="1069" operator="equal">
      <formula>0</formula>
    </cfRule>
  </conditionalFormatting>
  <conditionalFormatting sqref="ZN36">
    <cfRule type="cellIs" dxfId="951" priority="1067" operator="equal">
      <formula>0</formula>
    </cfRule>
  </conditionalFormatting>
  <conditionalFormatting sqref="ZN61">
    <cfRule type="cellIs" dxfId="950" priority="1066" operator="equal">
      <formula>0</formula>
    </cfRule>
  </conditionalFormatting>
  <conditionalFormatting sqref="ZM32:ZM35 ZM37:ZM43">
    <cfRule type="cellIs" dxfId="949" priority="1065" operator="equal">
      <formula>0</formula>
    </cfRule>
  </conditionalFormatting>
  <conditionalFormatting sqref="ZM36">
    <cfRule type="cellIs" dxfId="948" priority="1064" operator="equal">
      <formula>0</formula>
    </cfRule>
  </conditionalFormatting>
  <conditionalFormatting sqref="ZO1:ZO35 ZO37:ZO43 ZO54:ZO60">
    <cfRule type="cellIs" dxfId="947" priority="1062" operator="equal">
      <formula>0</formula>
    </cfRule>
  </conditionalFormatting>
  <conditionalFormatting sqref="ZO36">
    <cfRule type="cellIs" dxfId="946" priority="1060" operator="equal">
      <formula>0</formula>
    </cfRule>
  </conditionalFormatting>
  <conditionalFormatting sqref="ZO61">
    <cfRule type="cellIs" dxfId="945" priority="1059" operator="equal">
      <formula>0</formula>
    </cfRule>
  </conditionalFormatting>
  <conditionalFormatting sqref="ZP1:ZP35 ZP37:ZP43 ZP54:ZP60">
    <cfRule type="cellIs" dxfId="944" priority="1057" operator="equal">
      <formula>0</formula>
    </cfRule>
  </conditionalFormatting>
  <conditionalFormatting sqref="ZP36">
    <cfRule type="cellIs" dxfId="943" priority="1055" operator="equal">
      <formula>0</formula>
    </cfRule>
  </conditionalFormatting>
  <conditionalFormatting sqref="ZP61">
    <cfRule type="cellIs" dxfId="942" priority="1054" operator="equal">
      <formula>0</formula>
    </cfRule>
  </conditionalFormatting>
  <conditionalFormatting sqref="ZQ1:ZQ32 ZQ39:ZQ43 ZQ54:ZQ60 ZQ34:ZQ35">
    <cfRule type="cellIs" dxfId="941" priority="1052" operator="equal">
      <formula>0</formula>
    </cfRule>
  </conditionalFormatting>
  <conditionalFormatting sqref="ZQ36">
    <cfRule type="cellIs" dxfId="940" priority="1050" operator="equal">
      <formula>0</formula>
    </cfRule>
  </conditionalFormatting>
  <conditionalFormatting sqref="ZQ61">
    <cfRule type="cellIs" dxfId="939" priority="1049" operator="equal">
      <formula>0</formula>
    </cfRule>
  </conditionalFormatting>
  <conditionalFormatting sqref="ZQ33">
    <cfRule type="cellIs" dxfId="938" priority="1048" operator="equal">
      <formula>0</formula>
    </cfRule>
  </conditionalFormatting>
  <conditionalFormatting sqref="ZQ37:ZQ38">
    <cfRule type="cellIs" dxfId="937" priority="1047" operator="equal">
      <formula>0</formula>
    </cfRule>
  </conditionalFormatting>
  <conditionalFormatting sqref="ZR2:ZR32 ZR39:ZR43 ZR54:ZR60 ZR34:ZR35">
    <cfRule type="cellIs" dxfId="936" priority="1046" operator="equal">
      <formula>0</formula>
    </cfRule>
  </conditionalFormatting>
  <conditionalFormatting sqref="ZR36">
    <cfRule type="cellIs" dxfId="935" priority="1044" operator="equal">
      <formula>0</formula>
    </cfRule>
  </conditionalFormatting>
  <conditionalFormatting sqref="ZR61">
    <cfRule type="cellIs" dxfId="934" priority="1043" operator="equal">
      <formula>0</formula>
    </cfRule>
  </conditionalFormatting>
  <conditionalFormatting sqref="ZR33">
    <cfRule type="cellIs" dxfId="933" priority="1042" operator="equal">
      <formula>0</formula>
    </cfRule>
  </conditionalFormatting>
  <conditionalFormatting sqref="ZR37:ZR38">
    <cfRule type="cellIs" dxfId="932" priority="1041" operator="equal">
      <formula>0</formula>
    </cfRule>
  </conditionalFormatting>
  <conditionalFormatting sqref="ZS2:ZS32 ZS39:ZS43 ZS54:ZS60 ZS34:ZS35">
    <cfRule type="cellIs" dxfId="931" priority="1040" operator="equal">
      <formula>0</formula>
    </cfRule>
  </conditionalFormatting>
  <conditionalFormatting sqref="ZS36">
    <cfRule type="cellIs" dxfId="930" priority="1038" operator="equal">
      <formula>0</formula>
    </cfRule>
  </conditionalFormatting>
  <conditionalFormatting sqref="ZS61">
    <cfRule type="cellIs" dxfId="929" priority="1037" operator="equal">
      <formula>0</formula>
    </cfRule>
  </conditionalFormatting>
  <conditionalFormatting sqref="ZS33">
    <cfRule type="cellIs" dxfId="928" priority="1036" operator="equal">
      <formula>0</formula>
    </cfRule>
  </conditionalFormatting>
  <conditionalFormatting sqref="ZS37:ZS38">
    <cfRule type="cellIs" dxfId="927" priority="1035" operator="equal">
      <formula>0</formula>
    </cfRule>
  </conditionalFormatting>
  <conditionalFormatting sqref="ZT62">
    <cfRule type="cellIs" dxfId="926" priority="1034" operator="equal">
      <formula>0</formula>
    </cfRule>
  </conditionalFormatting>
  <conditionalFormatting sqref="ZT2:ZT32 ZT39:ZT43 ZT54:ZT60 ZT34:ZT35">
    <cfRule type="cellIs" dxfId="925" priority="1033" operator="equal">
      <formula>0</formula>
    </cfRule>
  </conditionalFormatting>
  <conditionalFormatting sqref="ZT36">
    <cfRule type="cellIs" dxfId="924" priority="1031" operator="equal">
      <formula>0</formula>
    </cfRule>
  </conditionalFormatting>
  <conditionalFormatting sqref="ZT61">
    <cfRule type="cellIs" dxfId="923" priority="1030" operator="equal">
      <formula>0</formula>
    </cfRule>
  </conditionalFormatting>
  <conditionalFormatting sqref="ZT33">
    <cfRule type="cellIs" dxfId="922" priority="1029" operator="equal">
      <formula>0</formula>
    </cfRule>
  </conditionalFormatting>
  <conditionalFormatting sqref="ZT37:ZT38">
    <cfRule type="cellIs" dxfId="921" priority="1028" operator="equal">
      <formula>0</formula>
    </cfRule>
  </conditionalFormatting>
  <conditionalFormatting sqref="ZU62">
    <cfRule type="cellIs" dxfId="920" priority="1027" operator="equal">
      <formula>0</formula>
    </cfRule>
  </conditionalFormatting>
  <conditionalFormatting sqref="ZU2:ZU32 ZU39:ZU43 ZU54:ZU60 ZU34:ZU35">
    <cfRule type="cellIs" dxfId="919" priority="1026" operator="equal">
      <formula>0</formula>
    </cfRule>
  </conditionalFormatting>
  <conditionalFormatting sqref="ZU36">
    <cfRule type="cellIs" dxfId="918" priority="1024" operator="equal">
      <formula>0</formula>
    </cfRule>
  </conditionalFormatting>
  <conditionalFormatting sqref="ZU61">
    <cfRule type="cellIs" dxfId="917" priority="1023" operator="equal">
      <formula>0</formula>
    </cfRule>
  </conditionalFormatting>
  <conditionalFormatting sqref="ZU33">
    <cfRule type="cellIs" dxfId="916" priority="1022" operator="equal">
      <formula>0</formula>
    </cfRule>
  </conditionalFormatting>
  <conditionalFormatting sqref="ZU37:ZU38">
    <cfRule type="cellIs" dxfId="915" priority="1021" operator="equal">
      <formula>0</formula>
    </cfRule>
  </conditionalFormatting>
  <conditionalFormatting sqref="ZV62">
    <cfRule type="cellIs" dxfId="914" priority="1020" operator="equal">
      <formula>0</formula>
    </cfRule>
  </conditionalFormatting>
  <conditionalFormatting sqref="ZV2:ZV32 ZV39:ZV43 ZV54:ZV60 ZV34:ZV35">
    <cfRule type="cellIs" dxfId="913" priority="1019" operator="equal">
      <formula>0</formula>
    </cfRule>
  </conditionalFormatting>
  <conditionalFormatting sqref="ZV36">
    <cfRule type="cellIs" dxfId="912" priority="1017" operator="equal">
      <formula>0</formula>
    </cfRule>
  </conditionalFormatting>
  <conditionalFormatting sqref="ZV61">
    <cfRule type="cellIs" dxfId="911" priority="1016" operator="equal">
      <formula>0</formula>
    </cfRule>
  </conditionalFormatting>
  <conditionalFormatting sqref="ZV33">
    <cfRule type="cellIs" dxfId="910" priority="1015" operator="equal">
      <formula>0</formula>
    </cfRule>
  </conditionalFormatting>
  <conditionalFormatting sqref="ZV37:ZV38">
    <cfRule type="cellIs" dxfId="909" priority="1014" operator="equal">
      <formula>0</formula>
    </cfRule>
  </conditionalFormatting>
  <conditionalFormatting sqref="ZW2:ZW32 ZW39:ZW43 ZW54:ZW60 ZW34:ZW35">
    <cfRule type="cellIs" dxfId="908" priority="1013" operator="equal">
      <formula>0</formula>
    </cfRule>
  </conditionalFormatting>
  <conditionalFormatting sqref="ZW36">
    <cfRule type="cellIs" dxfId="907" priority="1011" operator="equal">
      <formula>0</formula>
    </cfRule>
  </conditionalFormatting>
  <conditionalFormatting sqref="ZW61">
    <cfRule type="cellIs" dxfId="906" priority="1010" operator="equal">
      <formula>0</formula>
    </cfRule>
  </conditionalFormatting>
  <conditionalFormatting sqref="ZW33">
    <cfRule type="cellIs" dxfId="905" priority="1009" operator="equal">
      <formula>0</formula>
    </cfRule>
  </conditionalFormatting>
  <conditionalFormatting sqref="ZW37:ZW38">
    <cfRule type="cellIs" dxfId="904" priority="1008" operator="equal">
      <formula>0</formula>
    </cfRule>
  </conditionalFormatting>
  <conditionalFormatting sqref="ZX1">
    <cfRule type="cellIs" dxfId="903" priority="1007" operator="equal">
      <formula>0</formula>
    </cfRule>
  </conditionalFormatting>
  <conditionalFormatting sqref="ZX2:ZX32 ZX39:ZX43 ZX54:ZX60 ZX34:ZX35">
    <cfRule type="cellIs" dxfId="902" priority="1006" operator="equal">
      <formula>0</formula>
    </cfRule>
  </conditionalFormatting>
  <conditionalFormatting sqref="ZX36">
    <cfRule type="cellIs" dxfId="901" priority="1004" operator="equal">
      <formula>0</formula>
    </cfRule>
  </conditionalFormatting>
  <conditionalFormatting sqref="ZX61">
    <cfRule type="cellIs" dxfId="900" priority="1003" operator="equal">
      <formula>0</formula>
    </cfRule>
  </conditionalFormatting>
  <conditionalFormatting sqref="ZX33">
    <cfRule type="cellIs" dxfId="899" priority="1002" operator="equal">
      <formula>0</formula>
    </cfRule>
  </conditionalFormatting>
  <conditionalFormatting sqref="ZX37:ZX38">
    <cfRule type="cellIs" dxfId="898" priority="1001" operator="equal">
      <formula>0</formula>
    </cfRule>
  </conditionalFormatting>
  <conditionalFormatting sqref="ZY1">
    <cfRule type="cellIs" dxfId="897" priority="999" operator="equal">
      <formula>0</formula>
    </cfRule>
  </conditionalFormatting>
  <conditionalFormatting sqref="ZY2:ZY32 ZY39:ZY43 ZY54:ZY60 ZY34:ZY35">
    <cfRule type="cellIs" dxfId="896" priority="998" operator="equal">
      <formula>0</formula>
    </cfRule>
  </conditionalFormatting>
  <conditionalFormatting sqref="ZY36">
    <cfRule type="cellIs" dxfId="895" priority="996" operator="equal">
      <formula>0</formula>
    </cfRule>
  </conditionalFormatting>
  <conditionalFormatting sqref="ZY61">
    <cfRule type="cellIs" dxfId="894" priority="995" operator="equal">
      <formula>0</formula>
    </cfRule>
  </conditionalFormatting>
  <conditionalFormatting sqref="ZY33">
    <cfRule type="cellIs" dxfId="893" priority="992" operator="equal">
      <formula>0</formula>
    </cfRule>
  </conditionalFormatting>
  <conditionalFormatting sqref="ZY37:ZY38">
    <cfRule type="cellIs" dxfId="892" priority="991" operator="equal">
      <formula>0</formula>
    </cfRule>
  </conditionalFormatting>
  <conditionalFormatting sqref="ZZ1">
    <cfRule type="cellIs" dxfId="891" priority="989" operator="equal">
      <formula>0</formula>
    </cfRule>
  </conditionalFormatting>
  <conditionalFormatting sqref="ZZ2:ZZ31 ZZ39:ZZ43 ZZ54:ZZ60 ZZ35">
    <cfRule type="cellIs" dxfId="890" priority="988" operator="equal">
      <formula>0</formula>
    </cfRule>
  </conditionalFormatting>
  <conditionalFormatting sqref="ZZ61">
    <cfRule type="cellIs" dxfId="889" priority="985" operator="equal">
      <formula>0</formula>
    </cfRule>
  </conditionalFormatting>
  <conditionalFormatting sqref="ZZ32 ZZ34">
    <cfRule type="cellIs" dxfId="888" priority="982" operator="equal">
      <formula>0</formula>
    </cfRule>
  </conditionalFormatting>
  <conditionalFormatting sqref="ZZ33">
    <cfRule type="cellIs" dxfId="887" priority="981" operator="equal">
      <formula>0</formula>
    </cfRule>
  </conditionalFormatting>
  <conditionalFormatting sqref="ZZ36">
    <cfRule type="cellIs" dxfId="886" priority="980" operator="equal">
      <formula>0</formula>
    </cfRule>
  </conditionalFormatting>
  <conditionalFormatting sqref="ZZ37:ZZ38">
    <cfRule type="cellIs" dxfId="885" priority="979" operator="equal">
      <formula>0</formula>
    </cfRule>
  </conditionalFormatting>
  <conditionalFormatting sqref="AAA1">
    <cfRule type="cellIs" dxfId="884" priority="977" operator="equal">
      <formula>0</formula>
    </cfRule>
  </conditionalFormatting>
  <conditionalFormatting sqref="AAA2:AAA31 AAA39:AAA43 AAA54:AAA60 AAA35">
    <cfRule type="cellIs" dxfId="883" priority="976" operator="equal">
      <formula>0</formula>
    </cfRule>
  </conditionalFormatting>
  <conditionalFormatting sqref="AAA61">
    <cfRule type="cellIs" dxfId="882" priority="974" operator="equal">
      <formula>0</formula>
    </cfRule>
  </conditionalFormatting>
  <conditionalFormatting sqref="AAA32 AAA34">
    <cfRule type="cellIs" dxfId="881" priority="973" operator="equal">
      <formula>0</formula>
    </cfRule>
  </conditionalFormatting>
  <conditionalFormatting sqref="AAA33">
    <cfRule type="cellIs" dxfId="880" priority="972" operator="equal">
      <formula>0</formula>
    </cfRule>
  </conditionalFormatting>
  <conditionalFormatting sqref="AAA36">
    <cfRule type="cellIs" dxfId="879" priority="971" operator="equal">
      <formula>0</formula>
    </cfRule>
  </conditionalFormatting>
  <conditionalFormatting sqref="AAA37:AAA38">
    <cfRule type="cellIs" dxfId="878" priority="970" operator="equal">
      <formula>0</formula>
    </cfRule>
  </conditionalFormatting>
  <conditionalFormatting sqref="AAB1">
    <cfRule type="cellIs" dxfId="877" priority="968" operator="equal">
      <formula>0</formula>
    </cfRule>
  </conditionalFormatting>
  <conditionalFormatting sqref="AAB2:AAB31 AAB39:AAB43 AAB54:AAB60">
    <cfRule type="cellIs" dxfId="876" priority="967" operator="equal">
      <formula>0</formula>
    </cfRule>
  </conditionalFormatting>
  <conditionalFormatting sqref="AAB61">
    <cfRule type="cellIs" dxfId="875" priority="965" operator="equal">
      <formula>0</formula>
    </cfRule>
  </conditionalFormatting>
  <conditionalFormatting sqref="AAB32">
    <cfRule type="cellIs" dxfId="874" priority="964" operator="equal">
      <formula>0</formula>
    </cfRule>
  </conditionalFormatting>
  <conditionalFormatting sqref="AAB35">
    <cfRule type="cellIs" dxfId="873" priority="960" operator="equal">
      <formula>0</formula>
    </cfRule>
  </conditionalFormatting>
  <conditionalFormatting sqref="AAB34">
    <cfRule type="cellIs" dxfId="872" priority="959" operator="equal">
      <formula>0</formula>
    </cfRule>
  </conditionalFormatting>
  <conditionalFormatting sqref="AAB36">
    <cfRule type="cellIs" dxfId="871" priority="958" operator="equal">
      <formula>0</formula>
    </cfRule>
  </conditionalFormatting>
  <conditionalFormatting sqref="AAB37:AAB38">
    <cfRule type="cellIs" dxfId="870" priority="957" operator="equal">
      <formula>0</formula>
    </cfRule>
  </conditionalFormatting>
  <conditionalFormatting sqref="AAC1">
    <cfRule type="cellIs" dxfId="869" priority="955" operator="equal">
      <formula>0</formula>
    </cfRule>
  </conditionalFormatting>
  <conditionalFormatting sqref="AAC2:AAC31 AAC39:AAC43 AAC54:AAC60">
    <cfRule type="cellIs" dxfId="868" priority="954" operator="equal">
      <formula>0</formula>
    </cfRule>
  </conditionalFormatting>
  <conditionalFormatting sqref="AAC61">
    <cfRule type="cellIs" dxfId="867" priority="952" operator="equal">
      <formula>0</formula>
    </cfRule>
  </conditionalFormatting>
  <conditionalFormatting sqref="AAC32">
    <cfRule type="cellIs" dxfId="866" priority="951" operator="equal">
      <formula>0</formula>
    </cfRule>
  </conditionalFormatting>
  <conditionalFormatting sqref="AAC34">
    <cfRule type="cellIs" dxfId="865" priority="944" operator="equal">
      <formula>0</formula>
    </cfRule>
  </conditionalFormatting>
  <conditionalFormatting sqref="AAC35">
    <cfRule type="cellIs" dxfId="864" priority="949" operator="equal">
      <formula>0</formula>
    </cfRule>
  </conditionalFormatting>
  <conditionalFormatting sqref="AAC37:AAC38">
    <cfRule type="cellIs" dxfId="863" priority="942" operator="equal">
      <formula>0</formula>
    </cfRule>
  </conditionalFormatting>
  <conditionalFormatting sqref="AAC36">
    <cfRule type="cellIs" dxfId="862" priority="943" operator="equal">
      <formula>0</formula>
    </cfRule>
  </conditionalFormatting>
  <conditionalFormatting sqref="AAB33">
    <cfRule type="cellIs" dxfId="861" priority="941" operator="equal">
      <formula>0</formula>
    </cfRule>
  </conditionalFormatting>
  <conditionalFormatting sqref="AAC33">
    <cfRule type="cellIs" dxfId="860" priority="940" operator="equal">
      <formula>0</formula>
    </cfRule>
  </conditionalFormatting>
  <conditionalFormatting sqref="AAD2:AAD31 AAD39:AAD43 AAD54:AAD60">
    <cfRule type="cellIs" dxfId="859" priority="939" operator="equal">
      <formula>0</formula>
    </cfRule>
  </conditionalFormatting>
  <conditionalFormatting sqref="AAD61">
    <cfRule type="cellIs" dxfId="858" priority="937" operator="equal">
      <formula>0</formula>
    </cfRule>
  </conditionalFormatting>
  <conditionalFormatting sqref="AAD32">
    <cfRule type="cellIs" dxfId="857" priority="936" operator="equal">
      <formula>0</formula>
    </cfRule>
  </conditionalFormatting>
  <conditionalFormatting sqref="AAD34">
    <cfRule type="cellIs" dxfId="856" priority="934" operator="equal">
      <formula>0</formula>
    </cfRule>
  </conditionalFormatting>
  <conditionalFormatting sqref="AAD35">
    <cfRule type="cellIs" dxfId="855" priority="935" operator="equal">
      <formula>0</formula>
    </cfRule>
  </conditionalFormatting>
  <conditionalFormatting sqref="AAD37:AAD38">
    <cfRule type="cellIs" dxfId="854" priority="932" operator="equal">
      <formula>0</formula>
    </cfRule>
  </conditionalFormatting>
  <conditionalFormatting sqref="AAD36">
    <cfRule type="cellIs" dxfId="853" priority="933" operator="equal">
      <formula>0</formula>
    </cfRule>
  </conditionalFormatting>
  <conditionalFormatting sqref="AAD33">
    <cfRule type="cellIs" dxfId="852" priority="931" operator="equal">
      <formula>0</formula>
    </cfRule>
  </conditionalFormatting>
  <conditionalFormatting sqref="AAE1">
    <cfRule type="cellIs" dxfId="851" priority="930" operator="equal">
      <formula>0</formula>
    </cfRule>
  </conditionalFormatting>
  <conditionalFormatting sqref="AAE2:AAE31 AAE39:AAE43 AAE54:AAE60 AAF2:AAJ2 AAF40:AAJ40 AAF43:AAJ43">
    <cfRule type="cellIs" dxfId="850" priority="929" operator="equal">
      <formula>0</formula>
    </cfRule>
  </conditionalFormatting>
  <conditionalFormatting sqref="AAE61:AAJ61">
    <cfRule type="cellIs" dxfId="849" priority="927" operator="equal">
      <formula>0</formula>
    </cfRule>
  </conditionalFormatting>
  <conditionalFormatting sqref="AAE32:AAH32">
    <cfRule type="cellIs" dxfId="848" priority="926" operator="equal">
      <formula>0</formula>
    </cfRule>
  </conditionalFormatting>
  <conditionalFormatting sqref="AAE36">
    <cfRule type="cellIs" dxfId="847" priority="923" operator="equal">
      <formula>0</formula>
    </cfRule>
  </conditionalFormatting>
  <conditionalFormatting sqref="AAE35">
    <cfRule type="cellIs" dxfId="846" priority="925" operator="equal">
      <formula>0</formula>
    </cfRule>
  </conditionalFormatting>
  <conditionalFormatting sqref="AAE33:AAJ33">
    <cfRule type="cellIs" dxfId="845" priority="919" operator="equal">
      <formula>0</formula>
    </cfRule>
  </conditionalFormatting>
  <conditionalFormatting sqref="AAE37:AAJ38">
    <cfRule type="cellIs" dxfId="844" priority="920" operator="equal">
      <formula>0</formula>
    </cfRule>
  </conditionalFormatting>
  <conditionalFormatting sqref="AAE34">
    <cfRule type="cellIs" dxfId="843" priority="918" operator="equal">
      <formula>0</formula>
    </cfRule>
  </conditionalFormatting>
  <conditionalFormatting sqref="AAK39 AAK41:AAK42 AAK3:AAK32 AAK34:AAK35 AAK54:AAK60 AAK62:AAK63">
    <cfRule type="cellIs" dxfId="842" priority="917" operator="equal">
      <formula>0</formula>
    </cfRule>
  </conditionalFormatting>
  <conditionalFormatting sqref="AAK36">
    <cfRule type="cellIs" dxfId="841" priority="915" operator="equal">
      <formula>0</formula>
    </cfRule>
  </conditionalFormatting>
  <conditionalFormatting sqref="AAK2 AAK40 AAK43">
    <cfRule type="cellIs" dxfId="840" priority="914" operator="equal">
      <formula>0</formula>
    </cfRule>
  </conditionalFormatting>
  <conditionalFormatting sqref="AAK61">
    <cfRule type="cellIs" dxfId="839" priority="913" operator="equal">
      <formula>0</formula>
    </cfRule>
  </conditionalFormatting>
  <conditionalFormatting sqref="AAK33">
    <cfRule type="cellIs" dxfId="838" priority="911" operator="equal">
      <formula>0</formula>
    </cfRule>
  </conditionalFormatting>
  <conditionalFormatting sqref="AAK37:AAK38">
    <cfRule type="cellIs" dxfId="837" priority="912" operator="equal">
      <formula>0</formula>
    </cfRule>
  </conditionalFormatting>
  <conditionalFormatting sqref="AAL64:AAL65">
    <cfRule type="cellIs" dxfId="836" priority="910" operator="equal">
      <formula>0</formula>
    </cfRule>
  </conditionalFormatting>
  <conditionalFormatting sqref="AAL39 AAL41:AAL42 AAL3:AAL32 AAL35 AAL54:AAL60 AAL62:AAL63">
    <cfRule type="cellIs" dxfId="835" priority="909" operator="equal">
      <formula>0</formula>
    </cfRule>
  </conditionalFormatting>
  <conditionalFormatting sqref="AAL36">
    <cfRule type="cellIs" dxfId="834" priority="907" operator="equal">
      <formula>0</formula>
    </cfRule>
  </conditionalFormatting>
  <conditionalFormatting sqref="AAL2 AAL40 AAL43">
    <cfRule type="cellIs" dxfId="833" priority="906" operator="equal">
      <formula>0</formula>
    </cfRule>
  </conditionalFormatting>
  <conditionalFormatting sqref="AAL61">
    <cfRule type="cellIs" dxfId="832" priority="905" operator="equal">
      <formula>0</formula>
    </cfRule>
  </conditionalFormatting>
  <conditionalFormatting sqref="AAL37:AAL38">
    <cfRule type="cellIs" dxfId="831" priority="900" operator="equal">
      <formula>0</formula>
    </cfRule>
  </conditionalFormatting>
  <conditionalFormatting sqref="AAL33">
    <cfRule type="cellIs" dxfId="830" priority="902" operator="equal">
      <formula>0</formula>
    </cfRule>
  </conditionalFormatting>
  <conditionalFormatting sqref="AAL34">
    <cfRule type="cellIs" dxfId="829" priority="901" operator="equal">
      <formula>0</formula>
    </cfRule>
  </conditionalFormatting>
  <conditionalFormatting sqref="AAM1">
    <cfRule type="cellIs" dxfId="828" priority="899" operator="equal">
      <formula>0</formula>
    </cfRule>
  </conditionalFormatting>
  <conditionalFormatting sqref="AAM64:AAM65">
    <cfRule type="cellIs" dxfId="827" priority="898" operator="equal">
      <formula>0</formula>
    </cfRule>
  </conditionalFormatting>
  <conditionalFormatting sqref="AAM39 AAM41:AAM42 AAM3:AAM32 AAM35 AAM54:AAM60 AAM62:AAM63 AAN58">
    <cfRule type="cellIs" dxfId="826" priority="897" operator="equal">
      <formula>0</formula>
    </cfRule>
  </conditionalFormatting>
  <conditionalFormatting sqref="AAM36:AAN36">
    <cfRule type="cellIs" dxfId="825" priority="895" operator="equal">
      <formula>0</formula>
    </cfRule>
  </conditionalFormatting>
  <conditionalFormatting sqref="AAM2:AAN2 AAM40:AAN40 AAM43:AAN43">
    <cfRule type="cellIs" dxfId="824" priority="894" operator="equal">
      <formula>0</formula>
    </cfRule>
  </conditionalFormatting>
  <conditionalFormatting sqref="AAM61:AAN61">
    <cfRule type="cellIs" dxfId="823" priority="893" operator="equal">
      <formula>0</formula>
    </cfRule>
  </conditionalFormatting>
  <conditionalFormatting sqref="AAM33:AAN33">
    <cfRule type="cellIs" dxfId="822" priority="889" operator="equal">
      <formula>0</formula>
    </cfRule>
  </conditionalFormatting>
  <conditionalFormatting sqref="AAM34:AAN34">
    <cfRule type="cellIs" dxfId="821" priority="891" operator="equal">
      <formula>0</formula>
    </cfRule>
  </conditionalFormatting>
  <conditionalFormatting sqref="AAM37:AAN38">
    <cfRule type="cellIs" dxfId="820" priority="888" operator="equal">
      <formula>0</formula>
    </cfRule>
  </conditionalFormatting>
  <conditionalFormatting sqref="AAO39 AAO54:AAO57 AAO3:AAO32 AAO35 AAO41:AAO42 AAO59:AAO60 AAO62">
    <cfRule type="cellIs" dxfId="819" priority="887" operator="equal">
      <formula>0</formula>
    </cfRule>
  </conditionalFormatting>
  <conditionalFormatting sqref="AAO58">
    <cfRule type="cellIs" dxfId="818" priority="885" operator="equal">
      <formula>0</formula>
    </cfRule>
  </conditionalFormatting>
  <conditionalFormatting sqref="AAO61">
    <cfRule type="cellIs" dxfId="817" priority="882" operator="equal">
      <formula>0</formula>
    </cfRule>
  </conditionalFormatting>
  <conditionalFormatting sqref="AAO40 AAO43 AAO2:AAQ2">
    <cfRule type="cellIs" dxfId="816" priority="883" operator="equal">
      <formula>0</formula>
    </cfRule>
  </conditionalFormatting>
  <conditionalFormatting sqref="AAO36">
    <cfRule type="cellIs" dxfId="815" priority="876" operator="equal">
      <formula>0</formula>
    </cfRule>
  </conditionalFormatting>
  <conditionalFormatting sqref="AAO33">
    <cfRule type="cellIs" dxfId="814" priority="878" operator="equal">
      <formula>0</formula>
    </cfRule>
  </conditionalFormatting>
  <conditionalFormatting sqref="AAO34">
    <cfRule type="cellIs" dxfId="813" priority="877" operator="equal">
      <formula>0</formula>
    </cfRule>
  </conditionalFormatting>
  <conditionalFormatting sqref="AAO37:AAO38">
    <cfRule type="cellIs" dxfId="812" priority="875" operator="equal">
      <formula>0</formula>
    </cfRule>
  </conditionalFormatting>
  <conditionalFormatting sqref="AAP34">
    <cfRule type="cellIs" dxfId="811" priority="871" operator="equal">
      <formula>0</formula>
    </cfRule>
  </conditionalFormatting>
  <conditionalFormatting sqref="AAP37:AAP38">
    <cfRule type="cellIs" dxfId="810" priority="873" operator="equal">
      <formula>0</formula>
    </cfRule>
  </conditionalFormatting>
  <conditionalFormatting sqref="AAP33">
    <cfRule type="cellIs" dxfId="809" priority="872" operator="equal">
      <formula>0</formula>
    </cfRule>
  </conditionalFormatting>
  <conditionalFormatting sqref="AAP36">
    <cfRule type="cellIs" dxfId="808" priority="870" operator="equal">
      <formula>0</formula>
    </cfRule>
  </conditionalFormatting>
  <conditionalFormatting sqref="AAP41:AAP42">
    <cfRule type="cellIs" dxfId="807" priority="869" operator="equal">
      <formula>0</formula>
    </cfRule>
  </conditionalFormatting>
  <conditionalFormatting sqref="AAP40 AAP43">
    <cfRule type="cellIs" dxfId="806" priority="868" operator="equal">
      <formula>0</formula>
    </cfRule>
  </conditionalFormatting>
  <conditionalFormatting sqref="AAP59:AAP60">
    <cfRule type="cellIs" dxfId="805" priority="867" operator="equal">
      <formula>0</formula>
    </cfRule>
  </conditionalFormatting>
  <conditionalFormatting sqref="AAP58">
    <cfRule type="cellIs" dxfId="804" priority="866" operator="equal">
      <formula>0</formula>
    </cfRule>
  </conditionalFormatting>
  <conditionalFormatting sqref="AAP61">
    <cfRule type="cellIs" dxfId="803" priority="865" operator="equal">
      <formula>0</formula>
    </cfRule>
  </conditionalFormatting>
  <conditionalFormatting sqref="AAQ33">
    <cfRule type="cellIs" dxfId="802" priority="864" operator="equal">
      <formula>0</formula>
    </cfRule>
  </conditionalFormatting>
  <conditionalFormatting sqref="AAQ37:AAQ38">
    <cfRule type="cellIs" dxfId="801" priority="863" operator="equal">
      <formula>0</formula>
    </cfRule>
  </conditionalFormatting>
  <conditionalFormatting sqref="AAQ36">
    <cfRule type="cellIs" dxfId="800" priority="862" operator="equal">
      <formula>0</formula>
    </cfRule>
  </conditionalFormatting>
  <conditionalFormatting sqref="AAQ40">
    <cfRule type="cellIs" dxfId="799" priority="861" operator="equal">
      <formula>0</formula>
    </cfRule>
  </conditionalFormatting>
  <conditionalFormatting sqref="AAQ43">
    <cfRule type="cellIs" dxfId="798" priority="860" operator="equal">
      <formula>0</formula>
    </cfRule>
  </conditionalFormatting>
  <conditionalFormatting sqref="AAQ58">
    <cfRule type="cellIs" dxfId="797" priority="859" operator="equal">
      <formula>0</formula>
    </cfRule>
  </conditionalFormatting>
  <conditionalFormatting sqref="AAQ61">
    <cfRule type="cellIs" dxfId="796" priority="858" operator="equal">
      <formula>0</formula>
    </cfRule>
  </conditionalFormatting>
  <conditionalFormatting sqref="AAR3:AAR32 AAR54:AAR57 AAR39 AAR34:AAR35 AAR41:AAR42 AAR59:AAR60">
    <cfRule type="cellIs" dxfId="795" priority="857" operator="equal">
      <formula>0</formula>
    </cfRule>
  </conditionalFormatting>
  <conditionalFormatting sqref="AAR2:AAS2">
    <cfRule type="cellIs" dxfId="794" priority="855" operator="equal">
      <formula>0</formula>
    </cfRule>
  </conditionalFormatting>
  <conditionalFormatting sqref="AAR40">
    <cfRule type="cellIs" dxfId="793" priority="851" operator="equal">
      <formula>0</formula>
    </cfRule>
  </conditionalFormatting>
  <conditionalFormatting sqref="AAR36">
    <cfRule type="cellIs" dxfId="792" priority="852" operator="equal">
      <formula>0</formula>
    </cfRule>
  </conditionalFormatting>
  <conditionalFormatting sqref="AAR43">
    <cfRule type="cellIs" dxfId="791" priority="850" operator="equal">
      <formula>0</formula>
    </cfRule>
  </conditionalFormatting>
  <conditionalFormatting sqref="AAR58">
    <cfRule type="cellIs" dxfId="790" priority="849" operator="equal">
      <formula>0</formula>
    </cfRule>
  </conditionalFormatting>
  <conditionalFormatting sqref="AAR61">
    <cfRule type="cellIs" dxfId="789" priority="848" operator="equal">
      <formula>0</formula>
    </cfRule>
  </conditionalFormatting>
  <conditionalFormatting sqref="AAR37:AAR38">
    <cfRule type="cellIs" dxfId="788" priority="847" operator="equal">
      <formula>0</formula>
    </cfRule>
  </conditionalFormatting>
  <conditionalFormatting sqref="AAR33">
    <cfRule type="cellIs" dxfId="787" priority="846" operator="equal">
      <formula>0</formula>
    </cfRule>
  </conditionalFormatting>
  <conditionalFormatting sqref="AAS41:AAS42">
    <cfRule type="cellIs" dxfId="786" priority="845" operator="equal">
      <formula>0</formula>
    </cfRule>
  </conditionalFormatting>
  <conditionalFormatting sqref="AAS44">
    <cfRule type="cellIs" dxfId="785" priority="844" operator="equal">
      <formula>0</formula>
    </cfRule>
  </conditionalFormatting>
  <conditionalFormatting sqref="AAS40">
    <cfRule type="cellIs" dxfId="784" priority="843" operator="equal">
      <formula>0</formula>
    </cfRule>
  </conditionalFormatting>
  <conditionalFormatting sqref="AAS43">
    <cfRule type="cellIs" dxfId="783" priority="842" operator="equal">
      <formula>0</formula>
    </cfRule>
  </conditionalFormatting>
  <conditionalFormatting sqref="AAS59:AAS60">
    <cfRule type="cellIs" dxfId="782" priority="841" operator="equal">
      <formula>0</formula>
    </cfRule>
  </conditionalFormatting>
  <conditionalFormatting sqref="AAS58">
    <cfRule type="cellIs" dxfId="781" priority="840" operator="equal">
      <formula>0</formula>
    </cfRule>
  </conditionalFormatting>
  <conditionalFormatting sqref="AAS61">
    <cfRule type="cellIs" dxfId="780" priority="839" operator="equal">
      <formula>0</formula>
    </cfRule>
  </conditionalFormatting>
  <conditionalFormatting sqref="AAT37:AAT39 AAT54:AAT57 AAT3:AAT35 AAT62:AAT63">
    <cfRule type="cellIs" dxfId="779" priority="838" operator="equal">
      <formula>0</formula>
    </cfRule>
  </conditionalFormatting>
  <conditionalFormatting sqref="AAT36">
    <cfRule type="cellIs" dxfId="778" priority="836" operator="equal">
      <formula>0</formula>
    </cfRule>
  </conditionalFormatting>
  <conditionalFormatting sqref="AAT2">
    <cfRule type="cellIs" dxfId="777" priority="835" operator="equal">
      <formula>0</formula>
    </cfRule>
  </conditionalFormatting>
  <conditionalFormatting sqref="AAT41:AAT42">
    <cfRule type="cellIs" dxfId="776" priority="834" operator="equal">
      <formula>0</formula>
    </cfRule>
  </conditionalFormatting>
  <conditionalFormatting sqref="AAT44">
    <cfRule type="cellIs" dxfId="775" priority="833" operator="equal">
      <formula>0</formula>
    </cfRule>
  </conditionalFormatting>
  <conditionalFormatting sqref="AAT40">
    <cfRule type="cellIs" dxfId="774" priority="832" operator="equal">
      <formula>0</formula>
    </cfRule>
  </conditionalFormatting>
  <conditionalFormatting sqref="AAT43">
    <cfRule type="cellIs" dxfId="773" priority="831" operator="equal">
      <formula>0</formula>
    </cfRule>
  </conditionalFormatting>
  <conditionalFormatting sqref="AAT59:AAT60">
    <cfRule type="cellIs" dxfId="772" priority="830" operator="equal">
      <formula>0</formula>
    </cfRule>
  </conditionalFormatting>
  <conditionalFormatting sqref="AAT58">
    <cfRule type="cellIs" dxfId="771" priority="829" operator="equal">
      <formula>0</formula>
    </cfRule>
  </conditionalFormatting>
  <conditionalFormatting sqref="AAT61">
    <cfRule type="cellIs" dxfId="770" priority="828" operator="equal">
      <formula>0</formula>
    </cfRule>
  </conditionalFormatting>
  <conditionalFormatting sqref="AAU39 AAU54:AAU57 AAU3:AAU32 AAU62 AAU35">
    <cfRule type="cellIs" dxfId="769" priority="827" operator="equal">
      <formula>0</formula>
    </cfRule>
  </conditionalFormatting>
  <conditionalFormatting sqref="AAU41:AAU42">
    <cfRule type="cellIs" dxfId="768" priority="823" operator="equal">
      <formula>0</formula>
    </cfRule>
  </conditionalFormatting>
  <conditionalFormatting sqref="AAU2">
    <cfRule type="cellIs" dxfId="767" priority="824" operator="equal">
      <formula>0</formula>
    </cfRule>
  </conditionalFormatting>
  <conditionalFormatting sqref="AAU44">
    <cfRule type="cellIs" dxfId="766" priority="822" operator="equal">
      <formula>0</formula>
    </cfRule>
  </conditionalFormatting>
  <conditionalFormatting sqref="AAU40">
    <cfRule type="cellIs" dxfId="765" priority="821" operator="equal">
      <formula>0</formula>
    </cfRule>
  </conditionalFormatting>
  <conditionalFormatting sqref="AAU43">
    <cfRule type="cellIs" dxfId="764" priority="820" operator="equal">
      <formula>0</formula>
    </cfRule>
  </conditionalFormatting>
  <conditionalFormatting sqref="AAU59:AAU60">
    <cfRule type="cellIs" dxfId="763" priority="819" operator="equal">
      <formula>0</formula>
    </cfRule>
  </conditionalFormatting>
  <conditionalFormatting sqref="AAU58">
    <cfRule type="cellIs" dxfId="762" priority="818" operator="equal">
      <formula>0</formula>
    </cfRule>
  </conditionalFormatting>
  <conditionalFormatting sqref="AAU61">
    <cfRule type="cellIs" dxfId="761" priority="817" operator="equal">
      <formula>0</formula>
    </cfRule>
  </conditionalFormatting>
  <conditionalFormatting sqref="AAU33:AAU34">
    <cfRule type="cellIs" dxfId="760" priority="816" operator="equal">
      <formula>0</formula>
    </cfRule>
  </conditionalFormatting>
  <conditionalFormatting sqref="AAU37:AAU38">
    <cfRule type="cellIs" dxfId="759" priority="815" operator="equal">
      <formula>0</formula>
    </cfRule>
  </conditionalFormatting>
  <conditionalFormatting sqref="AAU36">
    <cfRule type="cellIs" dxfId="758" priority="814" operator="equal">
      <formula>0</formula>
    </cfRule>
  </conditionalFormatting>
  <conditionalFormatting sqref="AAV39 AAV54:AAV57 AAV3:AAV31 AAV35">
    <cfRule type="cellIs" dxfId="757" priority="813" operator="equal">
      <formula>0</formula>
    </cfRule>
  </conditionalFormatting>
  <conditionalFormatting sqref="AAV41:AAV42">
    <cfRule type="cellIs" dxfId="756" priority="810" operator="equal">
      <formula>0</formula>
    </cfRule>
  </conditionalFormatting>
  <conditionalFormatting sqref="AAV2">
    <cfRule type="cellIs" dxfId="755" priority="811" operator="equal">
      <formula>0</formula>
    </cfRule>
  </conditionalFormatting>
  <conditionalFormatting sqref="AAV44">
    <cfRule type="cellIs" dxfId="754" priority="809" operator="equal">
      <formula>0</formula>
    </cfRule>
  </conditionalFormatting>
  <conditionalFormatting sqref="AAV40">
    <cfRule type="cellIs" dxfId="753" priority="808" operator="equal">
      <formula>0</formula>
    </cfRule>
  </conditionalFormatting>
  <conditionalFormatting sqref="AAV43">
    <cfRule type="cellIs" dxfId="752" priority="807" operator="equal">
      <formula>0</formula>
    </cfRule>
  </conditionalFormatting>
  <conditionalFormatting sqref="AAV59:AAV60">
    <cfRule type="cellIs" dxfId="751" priority="806" operator="equal">
      <formula>0</formula>
    </cfRule>
  </conditionalFormatting>
  <conditionalFormatting sqref="AAV58">
    <cfRule type="cellIs" dxfId="750" priority="805" operator="equal">
      <formula>0</formula>
    </cfRule>
  </conditionalFormatting>
  <conditionalFormatting sqref="AAV61">
    <cfRule type="cellIs" dxfId="749" priority="804" operator="equal">
      <formula>0</formula>
    </cfRule>
  </conditionalFormatting>
  <conditionalFormatting sqref="AAV33:AAV34">
    <cfRule type="cellIs" dxfId="748" priority="799" operator="equal">
      <formula>0</formula>
    </cfRule>
  </conditionalFormatting>
  <conditionalFormatting sqref="AAV32">
    <cfRule type="cellIs" dxfId="747" priority="800" operator="equal">
      <formula>0</formula>
    </cfRule>
  </conditionalFormatting>
  <conditionalFormatting sqref="AAV37:AAV38">
    <cfRule type="cellIs" dxfId="746" priority="798" operator="equal">
      <formula>0</formula>
    </cfRule>
  </conditionalFormatting>
  <conditionalFormatting sqref="AAV36">
    <cfRule type="cellIs" dxfId="745" priority="797" operator="equal">
      <formula>0</formula>
    </cfRule>
  </conditionalFormatting>
  <conditionalFormatting sqref="AAW62">
    <cfRule type="cellIs" dxfId="744" priority="796" operator="equal">
      <formula>0</formula>
    </cfRule>
  </conditionalFormatting>
  <conditionalFormatting sqref="AAW39 AAW54:AAW57 AAW3:AAW31 AAW35">
    <cfRule type="cellIs" dxfId="743" priority="795" operator="equal">
      <formula>0</formula>
    </cfRule>
  </conditionalFormatting>
  <conditionalFormatting sqref="AAW41:AAW42">
    <cfRule type="cellIs" dxfId="742" priority="792" operator="equal">
      <formula>0</formula>
    </cfRule>
  </conditionalFormatting>
  <conditionalFormatting sqref="AAW2">
    <cfRule type="cellIs" dxfId="741" priority="793" operator="equal">
      <formula>0</formula>
    </cfRule>
  </conditionalFormatting>
  <conditionalFormatting sqref="AAW44">
    <cfRule type="cellIs" dxfId="740" priority="791" operator="equal">
      <formula>0</formula>
    </cfRule>
  </conditionalFormatting>
  <conditionalFormatting sqref="AAW40">
    <cfRule type="cellIs" dxfId="739" priority="790" operator="equal">
      <formula>0</formula>
    </cfRule>
  </conditionalFormatting>
  <conditionalFormatting sqref="AAW43">
    <cfRule type="cellIs" dxfId="738" priority="789" operator="equal">
      <formula>0</formula>
    </cfRule>
  </conditionalFormatting>
  <conditionalFormatting sqref="AAW59:AAW60">
    <cfRule type="cellIs" dxfId="737" priority="788" operator="equal">
      <formula>0</formula>
    </cfRule>
  </conditionalFormatting>
  <conditionalFormatting sqref="AAW58">
    <cfRule type="cellIs" dxfId="736" priority="787" operator="equal">
      <formula>0</formula>
    </cfRule>
  </conditionalFormatting>
  <conditionalFormatting sqref="AAW61">
    <cfRule type="cellIs" dxfId="735" priority="786" operator="equal">
      <formula>0</formula>
    </cfRule>
  </conditionalFormatting>
  <conditionalFormatting sqref="AAW33:AAW34">
    <cfRule type="cellIs" dxfId="734" priority="780" operator="equal">
      <formula>0</formula>
    </cfRule>
  </conditionalFormatting>
  <conditionalFormatting sqref="AAW32">
    <cfRule type="cellIs" dxfId="733" priority="781" operator="equal">
      <formula>0</formula>
    </cfRule>
  </conditionalFormatting>
  <conditionalFormatting sqref="AAW37:AAW38">
    <cfRule type="cellIs" dxfId="732" priority="779" operator="equal">
      <formula>0</formula>
    </cfRule>
  </conditionalFormatting>
  <conditionalFormatting sqref="AAW36">
    <cfRule type="cellIs" dxfId="731" priority="778" operator="equal">
      <formula>0</formula>
    </cfRule>
  </conditionalFormatting>
  <conditionalFormatting sqref="AAX39 AAX54:AAX57 AAX3:AAX31 AAX35">
    <cfRule type="cellIs" dxfId="730" priority="777" operator="equal">
      <formula>0</formula>
    </cfRule>
  </conditionalFormatting>
  <conditionalFormatting sqref="AAX41:AAX42">
    <cfRule type="cellIs" dxfId="729" priority="774" operator="equal">
      <formula>0</formula>
    </cfRule>
  </conditionalFormatting>
  <conditionalFormatting sqref="AAX2">
    <cfRule type="cellIs" dxfId="728" priority="775" operator="equal">
      <formula>0</formula>
    </cfRule>
  </conditionalFormatting>
  <conditionalFormatting sqref="AAX44">
    <cfRule type="cellIs" dxfId="727" priority="773" operator="equal">
      <formula>0</formula>
    </cfRule>
  </conditionalFormatting>
  <conditionalFormatting sqref="AAX40">
    <cfRule type="cellIs" dxfId="726" priority="772" operator="equal">
      <formula>0</formula>
    </cfRule>
  </conditionalFormatting>
  <conditionalFormatting sqref="AAX43">
    <cfRule type="cellIs" dxfId="725" priority="771" operator="equal">
      <formula>0</formula>
    </cfRule>
  </conditionalFormatting>
  <conditionalFormatting sqref="AAX59:AAX60">
    <cfRule type="cellIs" dxfId="724" priority="770" operator="equal">
      <formula>0</formula>
    </cfRule>
  </conditionalFormatting>
  <conditionalFormatting sqref="AAX58">
    <cfRule type="cellIs" dxfId="723" priority="769" operator="equal">
      <formula>0</formula>
    </cfRule>
  </conditionalFormatting>
  <conditionalFormatting sqref="AAX61">
    <cfRule type="cellIs" dxfId="722" priority="768" operator="equal">
      <formula>0</formula>
    </cfRule>
  </conditionalFormatting>
  <conditionalFormatting sqref="AAX33:AAX34">
    <cfRule type="cellIs" dxfId="721" priority="766" operator="equal">
      <formula>0</formula>
    </cfRule>
  </conditionalFormatting>
  <conditionalFormatting sqref="AAX32">
    <cfRule type="cellIs" dxfId="720" priority="767" operator="equal">
      <formula>0</formula>
    </cfRule>
  </conditionalFormatting>
  <conditionalFormatting sqref="AAX37:AAX38">
    <cfRule type="cellIs" dxfId="719" priority="765" operator="equal">
      <formula>0</formula>
    </cfRule>
  </conditionalFormatting>
  <conditionalFormatting sqref="AAX36">
    <cfRule type="cellIs" dxfId="718" priority="764" operator="equal">
      <formula>0</formula>
    </cfRule>
  </conditionalFormatting>
  <conditionalFormatting sqref="AAY39 AAY54:AAY57 AAY3:AAY31 AAY35">
    <cfRule type="cellIs" dxfId="717" priority="763" operator="equal">
      <formula>0</formula>
    </cfRule>
  </conditionalFormatting>
  <conditionalFormatting sqref="AAY41:AAY42">
    <cfRule type="cellIs" dxfId="716" priority="760" operator="equal">
      <formula>0</formula>
    </cfRule>
  </conditionalFormatting>
  <conditionalFormatting sqref="AAY2">
    <cfRule type="cellIs" dxfId="715" priority="761" operator="equal">
      <formula>0</formula>
    </cfRule>
  </conditionalFormatting>
  <conditionalFormatting sqref="AAY44">
    <cfRule type="cellIs" dxfId="714" priority="759" operator="equal">
      <formula>0</formula>
    </cfRule>
  </conditionalFormatting>
  <conditionalFormatting sqref="AAY40">
    <cfRule type="cellIs" dxfId="713" priority="758" operator="equal">
      <formula>0</formula>
    </cfRule>
  </conditionalFormatting>
  <conditionalFormatting sqref="AAY43">
    <cfRule type="cellIs" dxfId="712" priority="757" operator="equal">
      <formula>0</formula>
    </cfRule>
  </conditionalFormatting>
  <conditionalFormatting sqref="AAY59:AAY60">
    <cfRule type="cellIs" dxfId="711" priority="756" operator="equal">
      <formula>0</formula>
    </cfRule>
  </conditionalFormatting>
  <conditionalFormatting sqref="AAY58">
    <cfRule type="cellIs" dxfId="710" priority="755" operator="equal">
      <formula>0</formula>
    </cfRule>
  </conditionalFormatting>
  <conditionalFormatting sqref="AAY61">
    <cfRule type="cellIs" dxfId="709" priority="754" operator="equal">
      <formula>0</formula>
    </cfRule>
  </conditionalFormatting>
  <conditionalFormatting sqref="AAY33:AAY34">
    <cfRule type="cellIs" dxfId="708" priority="752" operator="equal">
      <formula>0</formula>
    </cfRule>
  </conditionalFormatting>
  <conditionalFormatting sqref="AAY32">
    <cfRule type="cellIs" dxfId="707" priority="753" operator="equal">
      <formula>0</formula>
    </cfRule>
  </conditionalFormatting>
  <conditionalFormatting sqref="AAY37:AAY38">
    <cfRule type="cellIs" dxfId="706" priority="751" operator="equal">
      <formula>0</formula>
    </cfRule>
  </conditionalFormatting>
  <conditionalFormatting sqref="AAY36">
    <cfRule type="cellIs" dxfId="705" priority="750" operator="equal">
      <formula>0</formula>
    </cfRule>
  </conditionalFormatting>
  <conditionalFormatting sqref="AAZ39 AAZ54:AAZ57 AAZ3:AAZ31 AAZ35">
    <cfRule type="cellIs" dxfId="704" priority="749" operator="equal">
      <formula>0</formula>
    </cfRule>
  </conditionalFormatting>
  <conditionalFormatting sqref="AAZ41:AAZ42">
    <cfRule type="cellIs" dxfId="703" priority="746" operator="equal">
      <formula>0</formula>
    </cfRule>
  </conditionalFormatting>
  <conditionalFormatting sqref="AAZ2">
    <cfRule type="cellIs" dxfId="702" priority="747" operator="equal">
      <formula>0</formula>
    </cfRule>
  </conditionalFormatting>
  <conditionalFormatting sqref="AAZ44">
    <cfRule type="cellIs" dxfId="701" priority="745" operator="equal">
      <formula>0</formula>
    </cfRule>
  </conditionalFormatting>
  <conditionalFormatting sqref="AAZ40">
    <cfRule type="cellIs" dxfId="700" priority="744" operator="equal">
      <formula>0</formula>
    </cfRule>
  </conditionalFormatting>
  <conditionalFormatting sqref="AAZ43">
    <cfRule type="cellIs" dxfId="699" priority="743" operator="equal">
      <formula>0</formula>
    </cfRule>
  </conditionalFormatting>
  <conditionalFormatting sqref="AAZ59:AAZ60">
    <cfRule type="cellIs" dxfId="698" priority="742" operator="equal">
      <formula>0</formula>
    </cfRule>
  </conditionalFormatting>
  <conditionalFormatting sqref="AAZ58">
    <cfRule type="cellIs" dxfId="697" priority="741" operator="equal">
      <formula>0</formula>
    </cfRule>
  </conditionalFormatting>
  <conditionalFormatting sqref="AAZ61">
    <cfRule type="cellIs" dxfId="696" priority="740" operator="equal">
      <formula>0</formula>
    </cfRule>
  </conditionalFormatting>
  <conditionalFormatting sqref="AAZ33:AAZ34">
    <cfRule type="cellIs" dxfId="695" priority="738" operator="equal">
      <formula>0</formula>
    </cfRule>
  </conditionalFormatting>
  <conditionalFormatting sqref="AAZ32">
    <cfRule type="cellIs" dxfId="694" priority="739" operator="equal">
      <formula>0</formula>
    </cfRule>
  </conditionalFormatting>
  <conditionalFormatting sqref="AAZ37:AAZ38">
    <cfRule type="cellIs" dxfId="693" priority="737" operator="equal">
      <formula>0</formula>
    </cfRule>
  </conditionalFormatting>
  <conditionalFormatting sqref="AAZ36">
    <cfRule type="cellIs" dxfId="692" priority="736" operator="equal">
      <formula>0</formula>
    </cfRule>
  </conditionalFormatting>
  <conditionalFormatting sqref="ABA36">
    <cfRule type="cellIs" dxfId="691" priority="721" operator="equal">
      <formula>0</formula>
    </cfRule>
  </conditionalFormatting>
  <conditionalFormatting sqref="ABA1">
    <cfRule type="cellIs" dxfId="690" priority="735" operator="equal">
      <formula>0</formula>
    </cfRule>
  </conditionalFormatting>
  <conditionalFormatting sqref="ABA39 ABA54:ABA57 ABA3:ABA31 ABA35">
    <cfRule type="cellIs" dxfId="689" priority="734" operator="equal">
      <formula>0</formula>
    </cfRule>
  </conditionalFormatting>
  <conditionalFormatting sqref="ABA41:ABA42">
    <cfRule type="cellIs" dxfId="688" priority="731" operator="equal">
      <formula>0</formula>
    </cfRule>
  </conditionalFormatting>
  <conditionalFormatting sqref="ABA2">
    <cfRule type="cellIs" dxfId="687" priority="732" operator="equal">
      <formula>0</formula>
    </cfRule>
  </conditionalFormatting>
  <conditionalFormatting sqref="ABA44">
    <cfRule type="cellIs" dxfId="686" priority="730" operator="equal">
      <formula>0</formula>
    </cfRule>
  </conditionalFormatting>
  <conditionalFormatting sqref="ABA40">
    <cfRule type="cellIs" dxfId="685" priority="729" operator="equal">
      <formula>0</formula>
    </cfRule>
  </conditionalFormatting>
  <conditionalFormatting sqref="ABA43">
    <cfRule type="cellIs" dxfId="684" priority="728" operator="equal">
      <formula>0</formula>
    </cfRule>
  </conditionalFormatting>
  <conditionalFormatting sqref="ABA59:ABA60">
    <cfRule type="cellIs" dxfId="683" priority="727" operator="equal">
      <formula>0</formula>
    </cfRule>
  </conditionalFormatting>
  <conditionalFormatting sqref="ABA58">
    <cfRule type="cellIs" dxfId="682" priority="726" operator="equal">
      <formula>0</formula>
    </cfRule>
  </conditionalFormatting>
  <conditionalFormatting sqref="ABA61">
    <cfRule type="cellIs" dxfId="681" priority="725" operator="equal">
      <formula>0</formula>
    </cfRule>
  </conditionalFormatting>
  <conditionalFormatting sqref="ABA33:ABA34">
    <cfRule type="cellIs" dxfId="680" priority="723" operator="equal">
      <formula>0</formula>
    </cfRule>
  </conditionalFormatting>
  <conditionalFormatting sqref="ABA32">
    <cfRule type="cellIs" dxfId="679" priority="724" operator="equal">
      <formula>0</formula>
    </cfRule>
  </conditionalFormatting>
  <conditionalFormatting sqref="ABA37:ABA38">
    <cfRule type="cellIs" dxfId="678" priority="722" operator="equal">
      <formula>0</formula>
    </cfRule>
  </conditionalFormatting>
  <conditionalFormatting sqref="ABB36">
    <cfRule type="cellIs" dxfId="677" priority="707" operator="equal">
      <formula>0</formula>
    </cfRule>
  </conditionalFormatting>
  <conditionalFormatting sqref="ABB39 ABB54:ABB57 ABB3:ABB31 ABB35">
    <cfRule type="cellIs" dxfId="676" priority="720" operator="equal">
      <formula>0</formula>
    </cfRule>
  </conditionalFormatting>
  <conditionalFormatting sqref="ABB41:ABB42">
    <cfRule type="cellIs" dxfId="675" priority="717" operator="equal">
      <formula>0</formula>
    </cfRule>
  </conditionalFormatting>
  <conditionalFormatting sqref="ABB2">
    <cfRule type="cellIs" dxfId="674" priority="718" operator="equal">
      <formula>0</formula>
    </cfRule>
  </conditionalFormatting>
  <conditionalFormatting sqref="ABB44">
    <cfRule type="cellIs" dxfId="673" priority="716" operator="equal">
      <formula>0</formula>
    </cfRule>
  </conditionalFormatting>
  <conditionalFormatting sqref="ABB40">
    <cfRule type="cellIs" dxfId="672" priority="715" operator="equal">
      <formula>0</formula>
    </cfRule>
  </conditionalFormatting>
  <conditionalFormatting sqref="ABB43">
    <cfRule type="cellIs" dxfId="671" priority="714" operator="equal">
      <formula>0</formula>
    </cfRule>
  </conditionalFormatting>
  <conditionalFormatting sqref="ABB59:ABB60">
    <cfRule type="cellIs" dxfId="670" priority="713" operator="equal">
      <formula>0</formula>
    </cfRule>
  </conditionalFormatting>
  <conditionalFormatting sqref="ABB58">
    <cfRule type="cellIs" dxfId="669" priority="712" operator="equal">
      <formula>0</formula>
    </cfRule>
  </conditionalFormatting>
  <conditionalFormatting sqref="ABB61">
    <cfRule type="cellIs" dxfId="668" priority="711" operator="equal">
      <formula>0</formula>
    </cfRule>
  </conditionalFormatting>
  <conditionalFormatting sqref="ABB33:ABB34">
    <cfRule type="cellIs" dxfId="667" priority="709" operator="equal">
      <formula>0</formula>
    </cfRule>
  </conditionalFormatting>
  <conditionalFormatting sqref="ABB32">
    <cfRule type="cellIs" dxfId="666" priority="710" operator="equal">
      <formula>0</formula>
    </cfRule>
  </conditionalFormatting>
  <conditionalFormatting sqref="ABB37:ABB38">
    <cfRule type="cellIs" dxfId="665" priority="708" operator="equal">
      <formula>0</formula>
    </cfRule>
  </conditionalFormatting>
  <conditionalFormatting sqref="ABC36">
    <cfRule type="cellIs" dxfId="664" priority="693" operator="equal">
      <formula>0</formula>
    </cfRule>
  </conditionalFormatting>
  <conditionalFormatting sqref="ABC39 ABC54:ABC57 ABC3:ABC31 ABC35">
    <cfRule type="cellIs" dxfId="663" priority="706" operator="equal">
      <formula>0</formula>
    </cfRule>
  </conditionalFormatting>
  <conditionalFormatting sqref="ABC41:ABC42">
    <cfRule type="cellIs" dxfId="662" priority="703" operator="equal">
      <formula>0</formula>
    </cfRule>
  </conditionalFormatting>
  <conditionalFormatting sqref="ABC2">
    <cfRule type="cellIs" dxfId="661" priority="704" operator="equal">
      <formula>0</formula>
    </cfRule>
  </conditionalFormatting>
  <conditionalFormatting sqref="ABC44">
    <cfRule type="cellIs" dxfId="660" priority="702" operator="equal">
      <formula>0</formula>
    </cfRule>
  </conditionalFormatting>
  <conditionalFormatting sqref="ABC40">
    <cfRule type="cellIs" dxfId="659" priority="701" operator="equal">
      <formula>0</formula>
    </cfRule>
  </conditionalFormatting>
  <conditionalFormatting sqref="ABC43">
    <cfRule type="cellIs" dxfId="658" priority="700" operator="equal">
      <formula>0</formula>
    </cfRule>
  </conditionalFormatting>
  <conditionalFormatting sqref="ABC59:ABC60">
    <cfRule type="cellIs" dxfId="657" priority="699" operator="equal">
      <formula>0</formula>
    </cfRule>
  </conditionalFormatting>
  <conditionalFormatting sqref="ABC58">
    <cfRule type="cellIs" dxfId="656" priority="698" operator="equal">
      <formula>0</formula>
    </cfRule>
  </conditionalFormatting>
  <conditionalFormatting sqref="ABC61">
    <cfRule type="cellIs" dxfId="655" priority="697" operator="equal">
      <formula>0</formula>
    </cfRule>
  </conditionalFormatting>
  <conditionalFormatting sqref="ABC33:ABC34">
    <cfRule type="cellIs" dxfId="654" priority="695" operator="equal">
      <formula>0</formula>
    </cfRule>
  </conditionalFormatting>
  <conditionalFormatting sqref="ABC32">
    <cfRule type="cellIs" dxfId="653" priority="696" operator="equal">
      <formula>0</formula>
    </cfRule>
  </conditionalFormatting>
  <conditionalFormatting sqref="ABC37:ABC38">
    <cfRule type="cellIs" dxfId="652" priority="694" operator="equal">
      <formula>0</formula>
    </cfRule>
  </conditionalFormatting>
  <conditionalFormatting sqref="ABD62:ABD63">
    <cfRule type="cellIs" dxfId="651" priority="692" operator="equal">
      <formula>0</formula>
    </cfRule>
  </conditionalFormatting>
  <conditionalFormatting sqref="ABD36">
    <cfRule type="cellIs" dxfId="650" priority="678" operator="equal">
      <formula>0</formula>
    </cfRule>
  </conditionalFormatting>
  <conditionalFormatting sqref="ABD39 ABD54:ABD57 ABD3:ABD31 ABD35">
    <cfRule type="cellIs" dxfId="649" priority="691" operator="equal">
      <formula>0</formula>
    </cfRule>
  </conditionalFormatting>
  <conditionalFormatting sqref="ABD41:ABD42">
    <cfRule type="cellIs" dxfId="648" priority="688" operator="equal">
      <formula>0</formula>
    </cfRule>
  </conditionalFormatting>
  <conditionalFormatting sqref="ABD2">
    <cfRule type="cellIs" dxfId="647" priority="689" operator="equal">
      <formula>0</formula>
    </cfRule>
  </conditionalFormatting>
  <conditionalFormatting sqref="ABD44">
    <cfRule type="cellIs" dxfId="646" priority="687" operator="equal">
      <formula>0</formula>
    </cfRule>
  </conditionalFormatting>
  <conditionalFormatting sqref="ABD40">
    <cfRule type="cellIs" dxfId="645" priority="686" operator="equal">
      <formula>0</formula>
    </cfRule>
  </conditionalFormatting>
  <conditionalFormatting sqref="ABD43">
    <cfRule type="cellIs" dxfId="644" priority="685" operator="equal">
      <formula>0</formula>
    </cfRule>
  </conditionalFormatting>
  <conditionalFormatting sqref="ABD59:ABD60">
    <cfRule type="cellIs" dxfId="643" priority="684" operator="equal">
      <formula>0</formula>
    </cfRule>
  </conditionalFormatting>
  <conditionalFormatting sqref="ABD58">
    <cfRule type="cellIs" dxfId="642" priority="683" operator="equal">
      <formula>0</formula>
    </cfRule>
  </conditionalFormatting>
  <conditionalFormatting sqref="ABD61">
    <cfRule type="cellIs" dxfId="641" priority="682" operator="equal">
      <formula>0</formula>
    </cfRule>
  </conditionalFormatting>
  <conditionalFormatting sqref="ABD33:ABD34">
    <cfRule type="cellIs" dxfId="640" priority="680" operator="equal">
      <formula>0</formula>
    </cfRule>
  </conditionalFormatting>
  <conditionalFormatting sqref="ABD32">
    <cfRule type="cellIs" dxfId="639" priority="681" operator="equal">
      <formula>0</formula>
    </cfRule>
  </conditionalFormatting>
  <conditionalFormatting sqref="ABD37:ABD38">
    <cfRule type="cellIs" dxfId="638" priority="679" operator="equal">
      <formula>0</formula>
    </cfRule>
  </conditionalFormatting>
  <conditionalFormatting sqref="ABE1">
    <cfRule type="cellIs" dxfId="637" priority="677" operator="equal">
      <formula>0</formula>
    </cfRule>
  </conditionalFormatting>
  <conditionalFormatting sqref="ABE62:ABE63">
    <cfRule type="cellIs" dxfId="636" priority="676" operator="equal">
      <formula>0</formula>
    </cfRule>
  </conditionalFormatting>
  <conditionalFormatting sqref="ABE36">
    <cfRule type="cellIs" dxfId="635" priority="662" operator="equal">
      <formula>0</formula>
    </cfRule>
  </conditionalFormatting>
  <conditionalFormatting sqref="ABE39 ABE54:ABE57 ABE3:ABE31 ABE35">
    <cfRule type="cellIs" dxfId="634" priority="675" operator="equal">
      <formula>0</formula>
    </cfRule>
  </conditionalFormatting>
  <conditionalFormatting sqref="ABE41:ABE42">
    <cfRule type="cellIs" dxfId="633" priority="672" operator="equal">
      <formula>0</formula>
    </cfRule>
  </conditionalFormatting>
  <conditionalFormatting sqref="ABE2">
    <cfRule type="cellIs" dxfId="632" priority="673" operator="equal">
      <formula>0</formula>
    </cfRule>
  </conditionalFormatting>
  <conditionalFormatting sqref="ABE44">
    <cfRule type="cellIs" dxfId="631" priority="671" operator="equal">
      <formula>0</formula>
    </cfRule>
  </conditionalFormatting>
  <conditionalFormatting sqref="ABE40">
    <cfRule type="cellIs" dxfId="630" priority="670" operator="equal">
      <formula>0</formula>
    </cfRule>
  </conditionalFormatting>
  <conditionalFormatting sqref="ABE43">
    <cfRule type="cellIs" dxfId="629" priority="669" operator="equal">
      <formula>0</formula>
    </cfRule>
  </conditionalFormatting>
  <conditionalFormatting sqref="ABE59:ABE60">
    <cfRule type="cellIs" dxfId="628" priority="668" operator="equal">
      <formula>0</formula>
    </cfRule>
  </conditionalFormatting>
  <conditionalFormatting sqref="ABE58">
    <cfRule type="cellIs" dxfId="627" priority="667" operator="equal">
      <formula>0</formula>
    </cfRule>
  </conditionalFormatting>
  <conditionalFormatting sqref="ABE61">
    <cfRule type="cellIs" dxfId="626" priority="666" operator="equal">
      <formula>0</formula>
    </cfRule>
  </conditionalFormatting>
  <conditionalFormatting sqref="ABE33:ABE34">
    <cfRule type="cellIs" dxfId="625" priority="664" operator="equal">
      <formula>0</formula>
    </cfRule>
  </conditionalFormatting>
  <conditionalFormatting sqref="ABE32">
    <cfRule type="cellIs" dxfId="624" priority="665" operator="equal">
      <formula>0</formula>
    </cfRule>
  </conditionalFormatting>
  <conditionalFormatting sqref="ABE37:ABE38">
    <cfRule type="cellIs" dxfId="623" priority="663" operator="equal">
      <formula>0</formula>
    </cfRule>
  </conditionalFormatting>
  <conditionalFormatting sqref="ABF1">
    <cfRule type="cellIs" dxfId="622" priority="660" operator="equal">
      <formula>0</formula>
    </cfRule>
  </conditionalFormatting>
  <conditionalFormatting sqref="ABF62:ABF63">
    <cfRule type="cellIs" dxfId="621" priority="659" operator="equal">
      <formula>0</formula>
    </cfRule>
  </conditionalFormatting>
  <conditionalFormatting sqref="ABF36">
    <cfRule type="cellIs" dxfId="620" priority="645" operator="equal">
      <formula>0</formula>
    </cfRule>
  </conditionalFormatting>
  <conditionalFormatting sqref="ABF39 ABF54:ABF57 ABF3:ABF31 ABF35">
    <cfRule type="cellIs" dxfId="619" priority="658" operator="equal">
      <formula>0</formula>
    </cfRule>
  </conditionalFormatting>
  <conditionalFormatting sqref="ABF41:ABF42">
    <cfRule type="cellIs" dxfId="618" priority="655" operator="equal">
      <formula>0</formula>
    </cfRule>
  </conditionalFormatting>
  <conditionalFormatting sqref="ABF2">
    <cfRule type="cellIs" dxfId="617" priority="656" operator="equal">
      <formula>0</formula>
    </cfRule>
  </conditionalFormatting>
  <conditionalFormatting sqref="ABF44">
    <cfRule type="cellIs" dxfId="616" priority="654" operator="equal">
      <formula>0</formula>
    </cfRule>
  </conditionalFormatting>
  <conditionalFormatting sqref="ABF40">
    <cfRule type="cellIs" dxfId="615" priority="653" operator="equal">
      <formula>0</formula>
    </cfRule>
  </conditionalFormatting>
  <conditionalFormatting sqref="ABF43">
    <cfRule type="cellIs" dxfId="614" priority="652" operator="equal">
      <formula>0</formula>
    </cfRule>
  </conditionalFormatting>
  <conditionalFormatting sqref="ABF59:ABF60">
    <cfRule type="cellIs" dxfId="613" priority="651" operator="equal">
      <formula>0</formula>
    </cfRule>
  </conditionalFormatting>
  <conditionalFormatting sqref="ABF58">
    <cfRule type="cellIs" dxfId="612" priority="650" operator="equal">
      <formula>0</formula>
    </cfRule>
  </conditionalFormatting>
  <conditionalFormatting sqref="ABF61">
    <cfRule type="cellIs" dxfId="611" priority="649" operator="equal">
      <formula>0</formula>
    </cfRule>
  </conditionalFormatting>
  <conditionalFormatting sqref="ABF33:ABF34">
    <cfRule type="cellIs" dxfId="610" priority="647" operator="equal">
      <formula>0</formula>
    </cfRule>
  </conditionalFormatting>
  <conditionalFormatting sqref="ABF32">
    <cfRule type="cellIs" dxfId="609" priority="648" operator="equal">
      <formula>0</formula>
    </cfRule>
  </conditionalFormatting>
  <conditionalFormatting sqref="ABF37:ABF38">
    <cfRule type="cellIs" dxfId="608" priority="646" operator="equal">
      <formula>0</formula>
    </cfRule>
  </conditionalFormatting>
  <conditionalFormatting sqref="ABG1">
    <cfRule type="cellIs" dxfId="607" priority="643" operator="equal">
      <formula>0</formula>
    </cfRule>
  </conditionalFormatting>
  <conditionalFormatting sqref="ABG62:ABG63">
    <cfRule type="cellIs" dxfId="606" priority="642" operator="equal">
      <formula>0</formula>
    </cfRule>
  </conditionalFormatting>
  <conditionalFormatting sqref="ABG36">
    <cfRule type="cellIs" dxfId="605" priority="628" operator="equal">
      <formula>0</formula>
    </cfRule>
  </conditionalFormatting>
  <conditionalFormatting sqref="ABG39 ABG54:ABG57 ABG3:ABG31 ABG35">
    <cfRule type="cellIs" dxfId="604" priority="641" operator="equal">
      <formula>0</formula>
    </cfRule>
  </conditionalFormatting>
  <conditionalFormatting sqref="ABG41:ABG42">
    <cfRule type="cellIs" dxfId="603" priority="638" operator="equal">
      <formula>0</formula>
    </cfRule>
  </conditionalFormatting>
  <conditionalFormatting sqref="ABG2">
    <cfRule type="cellIs" dxfId="602" priority="639" operator="equal">
      <formula>0</formula>
    </cfRule>
  </conditionalFormatting>
  <conditionalFormatting sqref="ABG44">
    <cfRule type="cellIs" dxfId="601" priority="637" operator="equal">
      <formula>0</formula>
    </cfRule>
  </conditionalFormatting>
  <conditionalFormatting sqref="ABG40">
    <cfRule type="cellIs" dxfId="600" priority="636" operator="equal">
      <formula>0</formula>
    </cfRule>
  </conditionalFormatting>
  <conditionalFormatting sqref="ABG43">
    <cfRule type="cellIs" dxfId="599" priority="635" operator="equal">
      <formula>0</formula>
    </cfRule>
  </conditionalFormatting>
  <conditionalFormatting sqref="ABG59:ABG60">
    <cfRule type="cellIs" dxfId="598" priority="634" operator="equal">
      <formula>0</formula>
    </cfRule>
  </conditionalFormatting>
  <conditionalFormatting sqref="ABG58">
    <cfRule type="cellIs" dxfId="597" priority="633" operator="equal">
      <formula>0</formula>
    </cfRule>
  </conditionalFormatting>
  <conditionalFormatting sqref="ABG61">
    <cfRule type="cellIs" dxfId="596" priority="632" operator="equal">
      <formula>0</formula>
    </cfRule>
  </conditionalFormatting>
  <conditionalFormatting sqref="ABG33:ABG34">
    <cfRule type="cellIs" dxfId="595" priority="630" operator="equal">
      <formula>0</formula>
    </cfRule>
  </conditionalFormatting>
  <conditionalFormatting sqref="ABG32">
    <cfRule type="cellIs" dxfId="594" priority="631" operator="equal">
      <formula>0</formula>
    </cfRule>
  </conditionalFormatting>
  <conditionalFormatting sqref="ABG37:ABG38">
    <cfRule type="cellIs" dxfId="593" priority="629" operator="equal">
      <formula>0</formula>
    </cfRule>
  </conditionalFormatting>
  <conditionalFormatting sqref="ABH62">
    <cfRule type="cellIs" dxfId="592" priority="627" operator="equal">
      <formula>0</formula>
    </cfRule>
  </conditionalFormatting>
  <conditionalFormatting sqref="ABH36">
    <cfRule type="cellIs" dxfId="591" priority="613" operator="equal">
      <formula>0</formula>
    </cfRule>
  </conditionalFormatting>
  <conditionalFormatting sqref="ABH39 ABH54:ABH57 ABH3:ABH31 ABH35">
    <cfRule type="cellIs" dxfId="590" priority="626" operator="equal">
      <formula>0</formula>
    </cfRule>
  </conditionalFormatting>
  <conditionalFormatting sqref="ABH41:ABH42">
    <cfRule type="cellIs" dxfId="589" priority="623" operator="equal">
      <formula>0</formula>
    </cfRule>
  </conditionalFormatting>
  <conditionalFormatting sqref="ABH2">
    <cfRule type="cellIs" dxfId="588" priority="624" operator="equal">
      <formula>0</formula>
    </cfRule>
  </conditionalFormatting>
  <conditionalFormatting sqref="ABH44">
    <cfRule type="cellIs" dxfId="587" priority="622" operator="equal">
      <formula>0</formula>
    </cfRule>
  </conditionalFormatting>
  <conditionalFormatting sqref="ABH40">
    <cfRule type="cellIs" dxfId="586" priority="621" operator="equal">
      <formula>0</formula>
    </cfRule>
  </conditionalFormatting>
  <conditionalFormatting sqref="ABH43">
    <cfRule type="cellIs" dxfId="585" priority="620" operator="equal">
      <formula>0</formula>
    </cfRule>
  </conditionalFormatting>
  <conditionalFormatting sqref="ABH59:ABH60">
    <cfRule type="cellIs" dxfId="584" priority="619" operator="equal">
      <formula>0</formula>
    </cfRule>
  </conditionalFormatting>
  <conditionalFormatting sqref="ABH58">
    <cfRule type="cellIs" dxfId="583" priority="618" operator="equal">
      <formula>0</formula>
    </cfRule>
  </conditionalFormatting>
  <conditionalFormatting sqref="ABH61">
    <cfRule type="cellIs" dxfId="582" priority="617" operator="equal">
      <formula>0</formula>
    </cfRule>
  </conditionalFormatting>
  <conditionalFormatting sqref="ABH33:ABH34">
    <cfRule type="cellIs" dxfId="581" priority="615" operator="equal">
      <formula>0</formula>
    </cfRule>
  </conditionalFormatting>
  <conditionalFormatting sqref="ABH32">
    <cfRule type="cellIs" dxfId="580" priority="616" operator="equal">
      <formula>0</formula>
    </cfRule>
  </conditionalFormatting>
  <conditionalFormatting sqref="ABH37:ABH38">
    <cfRule type="cellIs" dxfId="579" priority="614" operator="equal">
      <formula>0</formula>
    </cfRule>
  </conditionalFormatting>
  <conditionalFormatting sqref="ABI62">
    <cfRule type="cellIs" dxfId="578" priority="612" operator="equal">
      <formula>0</formula>
    </cfRule>
  </conditionalFormatting>
  <conditionalFormatting sqref="ABI36">
    <cfRule type="cellIs" dxfId="577" priority="598" operator="equal">
      <formula>0</formula>
    </cfRule>
  </conditionalFormatting>
  <conditionalFormatting sqref="ABI39 ABI54:ABI57 ABI3:ABI31 ABI35">
    <cfRule type="cellIs" dxfId="576" priority="611" operator="equal">
      <formula>0</formula>
    </cfRule>
  </conditionalFormatting>
  <conditionalFormatting sqref="ABI41:ABI42">
    <cfRule type="cellIs" dxfId="575" priority="608" operator="equal">
      <formula>0</formula>
    </cfRule>
  </conditionalFormatting>
  <conditionalFormatting sqref="ABI2">
    <cfRule type="cellIs" dxfId="574" priority="609" operator="equal">
      <formula>0</formula>
    </cfRule>
  </conditionalFormatting>
  <conditionalFormatting sqref="ABI44">
    <cfRule type="cellIs" dxfId="573" priority="607" operator="equal">
      <formula>0</formula>
    </cfRule>
  </conditionalFormatting>
  <conditionalFormatting sqref="ABI40">
    <cfRule type="cellIs" dxfId="572" priority="606" operator="equal">
      <formula>0</formula>
    </cfRule>
  </conditionalFormatting>
  <conditionalFormatting sqref="ABI43">
    <cfRule type="cellIs" dxfId="571" priority="605" operator="equal">
      <formula>0</formula>
    </cfRule>
  </conditionalFormatting>
  <conditionalFormatting sqref="ABI59:ABI60">
    <cfRule type="cellIs" dxfId="570" priority="604" operator="equal">
      <formula>0</formula>
    </cfRule>
  </conditionalFormatting>
  <conditionalFormatting sqref="ABI58">
    <cfRule type="cellIs" dxfId="569" priority="603" operator="equal">
      <formula>0</formula>
    </cfRule>
  </conditionalFormatting>
  <conditionalFormatting sqref="ABI61">
    <cfRule type="cellIs" dxfId="568" priority="602" operator="equal">
      <formula>0</formula>
    </cfRule>
  </conditionalFormatting>
  <conditionalFormatting sqref="ABI32">
    <cfRule type="cellIs" dxfId="567" priority="601" operator="equal">
      <formula>0</formula>
    </cfRule>
  </conditionalFormatting>
  <conditionalFormatting sqref="ABI33">
    <cfRule type="cellIs" dxfId="566" priority="597" operator="equal">
      <formula>0</formula>
    </cfRule>
  </conditionalFormatting>
  <conditionalFormatting sqref="ABI34">
    <cfRule type="cellIs" dxfId="565" priority="596" operator="equal">
      <formula>0</formula>
    </cfRule>
  </conditionalFormatting>
  <conditionalFormatting sqref="ABI37:ABI38">
    <cfRule type="cellIs" dxfId="564" priority="595" operator="equal">
      <formula>0</formula>
    </cfRule>
  </conditionalFormatting>
  <conditionalFormatting sqref="ABJ1">
    <cfRule type="cellIs" dxfId="563" priority="594" operator="equal">
      <formula>0</formula>
    </cfRule>
  </conditionalFormatting>
  <conditionalFormatting sqref="ABJ62">
    <cfRule type="cellIs" dxfId="562" priority="593" operator="equal">
      <formula>0</formula>
    </cfRule>
  </conditionalFormatting>
  <conditionalFormatting sqref="ABJ36">
    <cfRule type="cellIs" dxfId="561" priority="581" operator="equal">
      <formula>0</formula>
    </cfRule>
  </conditionalFormatting>
  <conditionalFormatting sqref="ABJ39 ABJ54:ABJ57 ABJ3:ABJ31 ABJ35">
    <cfRule type="cellIs" dxfId="560" priority="592" operator="equal">
      <formula>0</formula>
    </cfRule>
  </conditionalFormatting>
  <conditionalFormatting sqref="ABJ41:ABJ42">
    <cfRule type="cellIs" dxfId="559" priority="589" operator="equal">
      <formula>0</formula>
    </cfRule>
  </conditionalFormatting>
  <conditionalFormatting sqref="ABJ2">
    <cfRule type="cellIs" dxfId="558" priority="590" operator="equal">
      <formula>0</formula>
    </cfRule>
  </conditionalFormatting>
  <conditionalFormatting sqref="ABJ44">
    <cfRule type="cellIs" dxfId="557" priority="588" operator="equal">
      <formula>0</formula>
    </cfRule>
  </conditionalFormatting>
  <conditionalFormatting sqref="ABJ40">
    <cfRule type="cellIs" dxfId="556" priority="587" operator="equal">
      <formula>0</formula>
    </cfRule>
  </conditionalFormatting>
  <conditionalFormatting sqref="ABJ43">
    <cfRule type="cellIs" dxfId="555" priority="586" operator="equal">
      <formula>0</formula>
    </cfRule>
  </conditionalFormatting>
  <conditionalFormatting sqref="ABJ59:ABJ60">
    <cfRule type="cellIs" dxfId="554" priority="585" operator="equal">
      <formula>0</formula>
    </cfRule>
  </conditionalFormatting>
  <conditionalFormatting sqref="ABJ58">
    <cfRule type="cellIs" dxfId="553" priority="584" operator="equal">
      <formula>0</formula>
    </cfRule>
  </conditionalFormatting>
  <conditionalFormatting sqref="ABJ61">
    <cfRule type="cellIs" dxfId="552" priority="583" operator="equal">
      <formula>0</formula>
    </cfRule>
  </conditionalFormatting>
  <conditionalFormatting sqref="ABJ32">
    <cfRule type="cellIs" dxfId="551" priority="582" operator="equal">
      <formula>0</formula>
    </cfRule>
  </conditionalFormatting>
  <conditionalFormatting sqref="ABJ33">
    <cfRule type="cellIs" dxfId="550" priority="580" operator="equal">
      <formula>0</formula>
    </cfRule>
  </conditionalFormatting>
  <conditionalFormatting sqref="ABJ37:ABJ38">
    <cfRule type="cellIs" dxfId="549" priority="578" operator="equal">
      <formula>0</formula>
    </cfRule>
  </conditionalFormatting>
  <conditionalFormatting sqref="ABJ34">
    <cfRule type="cellIs" dxfId="548" priority="577" operator="equal">
      <formula>0</formula>
    </cfRule>
  </conditionalFormatting>
  <conditionalFormatting sqref="ABK40">
    <cfRule type="cellIs" dxfId="547" priority="576" operator="equal">
      <formula>0</formula>
    </cfRule>
  </conditionalFormatting>
  <conditionalFormatting sqref="ABK58">
    <cfRule type="cellIs" dxfId="546" priority="575" operator="equal">
      <formula>0</formula>
    </cfRule>
  </conditionalFormatting>
  <conditionalFormatting sqref="ABK61">
    <cfRule type="cellIs" dxfId="545" priority="574" operator="equal">
      <formula>0</formula>
    </cfRule>
  </conditionalFormatting>
  <conditionalFormatting sqref="ABL40">
    <cfRule type="cellIs" dxfId="544" priority="573" operator="equal">
      <formula>0</formula>
    </cfRule>
  </conditionalFormatting>
  <conditionalFormatting sqref="ABL58">
    <cfRule type="cellIs" dxfId="543" priority="572" operator="equal">
      <formula>0</formula>
    </cfRule>
  </conditionalFormatting>
  <conditionalFormatting sqref="ABL61">
    <cfRule type="cellIs" dxfId="542" priority="571" operator="equal">
      <formula>0</formula>
    </cfRule>
  </conditionalFormatting>
  <conditionalFormatting sqref="ABM40">
    <cfRule type="cellIs" dxfId="541" priority="570" operator="equal">
      <formula>0</formula>
    </cfRule>
  </conditionalFormatting>
  <conditionalFormatting sqref="ABM58">
    <cfRule type="cellIs" dxfId="540" priority="569" operator="equal">
      <formula>0</formula>
    </cfRule>
  </conditionalFormatting>
  <conditionalFormatting sqref="ABM61">
    <cfRule type="cellIs" dxfId="539" priority="568" operator="equal">
      <formula>0</formula>
    </cfRule>
  </conditionalFormatting>
  <conditionalFormatting sqref="ABN40">
    <cfRule type="cellIs" dxfId="538" priority="567" operator="equal">
      <formula>0</formula>
    </cfRule>
  </conditionalFormatting>
  <conditionalFormatting sqref="ABN61">
    <cfRule type="cellIs" dxfId="537" priority="566" operator="equal">
      <formula>0</formula>
    </cfRule>
  </conditionalFormatting>
  <conditionalFormatting sqref="ABO61">
    <cfRule type="cellIs" dxfId="536" priority="565" operator="equal">
      <formula>0</formula>
    </cfRule>
  </conditionalFormatting>
  <conditionalFormatting sqref="ABP61">
    <cfRule type="cellIs" dxfId="535" priority="564" operator="equal">
      <formula>0</formula>
    </cfRule>
  </conditionalFormatting>
  <conditionalFormatting sqref="ABQ61">
    <cfRule type="cellIs" dxfId="534" priority="563" operator="equal">
      <formula>0</formula>
    </cfRule>
  </conditionalFormatting>
  <conditionalFormatting sqref="ABR61">
    <cfRule type="cellIs" dxfId="533" priority="562" operator="equal">
      <formula>0</formula>
    </cfRule>
  </conditionalFormatting>
  <conditionalFormatting sqref="ABS61">
    <cfRule type="cellIs" dxfId="532" priority="561" operator="equal">
      <formula>0</formula>
    </cfRule>
  </conditionalFormatting>
  <conditionalFormatting sqref="ABT61">
    <cfRule type="cellIs" dxfId="531" priority="560" operator="equal">
      <formula>0</formula>
    </cfRule>
  </conditionalFormatting>
  <conditionalFormatting sqref="ABU61">
    <cfRule type="cellIs" dxfId="530" priority="559" operator="equal">
      <formula>0</formula>
    </cfRule>
  </conditionalFormatting>
  <conditionalFormatting sqref="ABV61">
    <cfRule type="cellIs" dxfId="529" priority="558" operator="equal">
      <formula>0</formula>
    </cfRule>
  </conditionalFormatting>
  <conditionalFormatting sqref="ABW61">
    <cfRule type="cellIs" dxfId="528" priority="557" operator="equal">
      <formula>0</formula>
    </cfRule>
  </conditionalFormatting>
  <conditionalFormatting sqref="ABX61">
    <cfRule type="cellIs" dxfId="527" priority="556" operator="equal">
      <formula>0</formula>
    </cfRule>
  </conditionalFormatting>
  <conditionalFormatting sqref="ABY61">
    <cfRule type="cellIs" dxfId="526" priority="555" operator="equal">
      <formula>0</formula>
    </cfRule>
  </conditionalFormatting>
  <conditionalFormatting sqref="ABZ61">
    <cfRule type="cellIs" dxfId="525" priority="554" operator="equal">
      <formula>0</formula>
    </cfRule>
  </conditionalFormatting>
  <conditionalFormatting sqref="ACA61">
    <cfRule type="cellIs" dxfId="524" priority="552" operator="equal">
      <formula>0</formula>
    </cfRule>
  </conditionalFormatting>
  <conditionalFormatting sqref="ACB61">
    <cfRule type="cellIs" dxfId="523" priority="551" operator="equal">
      <formula>0</formula>
    </cfRule>
  </conditionalFormatting>
  <conditionalFormatting sqref="ACC40:ACC41">
    <cfRule type="cellIs" dxfId="522" priority="550" operator="equal">
      <formula>0</formula>
    </cfRule>
  </conditionalFormatting>
  <conditionalFormatting sqref="ACC61">
    <cfRule type="cellIs" dxfId="521" priority="548" operator="equal">
      <formula>0</formula>
    </cfRule>
  </conditionalFormatting>
  <conditionalFormatting sqref="ACD40:ACD41">
    <cfRule type="cellIs" dxfId="520" priority="547" operator="equal">
      <formula>0</formula>
    </cfRule>
  </conditionalFormatting>
  <conditionalFormatting sqref="ACD61">
    <cfRule type="cellIs" dxfId="519" priority="545" operator="equal">
      <formula>0</formula>
    </cfRule>
  </conditionalFormatting>
  <conditionalFormatting sqref="ACE40">
    <cfRule type="cellIs" dxfId="518" priority="544" operator="equal">
      <formula>0</formula>
    </cfRule>
  </conditionalFormatting>
  <conditionalFormatting sqref="ACE41">
    <cfRule type="cellIs" dxfId="517" priority="543" operator="equal">
      <formula>0</formula>
    </cfRule>
  </conditionalFormatting>
  <conditionalFormatting sqref="ACE61">
    <cfRule type="cellIs" dxfId="516" priority="541" operator="equal">
      <formula>0</formula>
    </cfRule>
  </conditionalFormatting>
  <conditionalFormatting sqref="ACF61">
    <cfRule type="cellIs" dxfId="515" priority="539" operator="equal">
      <formula>0</formula>
    </cfRule>
  </conditionalFormatting>
  <conditionalFormatting sqref="ACG61">
    <cfRule type="cellIs" dxfId="514" priority="538" operator="equal">
      <formula>0</formula>
    </cfRule>
  </conditionalFormatting>
  <conditionalFormatting sqref="ACH37:ACH43 ACH54:ACH60 ACH2:ACH35">
    <cfRule type="cellIs" dxfId="513" priority="537" operator="equal">
      <formula>0</formula>
    </cfRule>
  </conditionalFormatting>
  <conditionalFormatting sqref="ACH36">
    <cfRule type="cellIs" dxfId="512" priority="535" operator="equal">
      <formula>0</formula>
    </cfRule>
  </conditionalFormatting>
  <conditionalFormatting sqref="ACH61">
    <cfRule type="cellIs" dxfId="511" priority="534" operator="equal">
      <formula>0</formula>
    </cfRule>
  </conditionalFormatting>
  <conditionalFormatting sqref="ACI40:ACI41">
    <cfRule type="cellIs" dxfId="510" priority="533" operator="equal">
      <formula>0</formula>
    </cfRule>
  </conditionalFormatting>
  <conditionalFormatting sqref="ACI58">
    <cfRule type="cellIs" dxfId="509" priority="532" operator="equal">
      <formula>0</formula>
    </cfRule>
  </conditionalFormatting>
  <conditionalFormatting sqref="ACI61">
    <cfRule type="cellIs" dxfId="508" priority="530" operator="equal">
      <formula>0</formula>
    </cfRule>
  </conditionalFormatting>
  <conditionalFormatting sqref="ACJ40:ACJ41">
    <cfRule type="cellIs" dxfId="507" priority="529" operator="equal">
      <formula>0</formula>
    </cfRule>
  </conditionalFormatting>
  <conditionalFormatting sqref="ACJ58">
    <cfRule type="cellIs" dxfId="506" priority="528" operator="equal">
      <formula>0</formula>
    </cfRule>
  </conditionalFormatting>
  <conditionalFormatting sqref="ACJ61">
    <cfRule type="cellIs" dxfId="505" priority="527" operator="equal">
      <formula>0</formula>
    </cfRule>
  </conditionalFormatting>
  <conditionalFormatting sqref="ACK41">
    <cfRule type="cellIs" dxfId="504" priority="526" operator="equal">
      <formula>0</formula>
    </cfRule>
  </conditionalFormatting>
  <conditionalFormatting sqref="ACK58">
    <cfRule type="cellIs" dxfId="503" priority="525" operator="equal">
      <formula>0</formula>
    </cfRule>
  </conditionalFormatting>
  <conditionalFormatting sqref="ACK61">
    <cfRule type="cellIs" dxfId="502" priority="524" operator="equal">
      <formula>0</formula>
    </cfRule>
  </conditionalFormatting>
  <conditionalFormatting sqref="ACL40">
    <cfRule type="cellIs" dxfId="501" priority="523" operator="equal">
      <formula>0</formula>
    </cfRule>
  </conditionalFormatting>
  <conditionalFormatting sqref="ACL41">
    <cfRule type="cellIs" dxfId="500" priority="522" operator="equal">
      <formula>0</formula>
    </cfRule>
  </conditionalFormatting>
  <conditionalFormatting sqref="ACL58">
    <cfRule type="cellIs" dxfId="499" priority="520" operator="equal">
      <formula>0</formula>
    </cfRule>
  </conditionalFormatting>
  <conditionalFormatting sqref="ACL61">
    <cfRule type="cellIs" dxfId="498" priority="519" operator="equal">
      <formula>0</formula>
    </cfRule>
  </conditionalFormatting>
  <conditionalFormatting sqref="ACM40">
    <cfRule type="cellIs" dxfId="497" priority="518" operator="equal">
      <formula>0</formula>
    </cfRule>
  </conditionalFormatting>
  <conditionalFormatting sqref="ACM41">
    <cfRule type="cellIs" dxfId="496" priority="517" operator="equal">
      <formula>0</formula>
    </cfRule>
  </conditionalFormatting>
  <conditionalFormatting sqref="ACM58">
    <cfRule type="cellIs" dxfId="495" priority="516" operator="equal">
      <formula>0</formula>
    </cfRule>
  </conditionalFormatting>
  <conditionalFormatting sqref="ACM61">
    <cfRule type="cellIs" dxfId="494" priority="515" operator="equal">
      <formula>0</formula>
    </cfRule>
  </conditionalFormatting>
  <conditionalFormatting sqref="ACN40">
    <cfRule type="cellIs" dxfId="493" priority="514" operator="equal">
      <formula>0</formula>
    </cfRule>
  </conditionalFormatting>
  <conditionalFormatting sqref="ACN41">
    <cfRule type="cellIs" dxfId="492" priority="513" operator="equal">
      <formula>0</formula>
    </cfRule>
  </conditionalFormatting>
  <conditionalFormatting sqref="ACN61">
    <cfRule type="cellIs" dxfId="491" priority="512" operator="equal">
      <formula>0</formula>
    </cfRule>
  </conditionalFormatting>
  <conditionalFormatting sqref="ACO40">
    <cfRule type="cellIs" dxfId="490" priority="511" operator="equal">
      <formula>0</formula>
    </cfRule>
  </conditionalFormatting>
  <conditionalFormatting sqref="ACO41">
    <cfRule type="cellIs" dxfId="489" priority="510" operator="equal">
      <formula>0</formula>
    </cfRule>
  </conditionalFormatting>
  <conditionalFormatting sqref="ACO61">
    <cfRule type="cellIs" dxfId="488" priority="509" operator="equal">
      <formula>0</formula>
    </cfRule>
  </conditionalFormatting>
  <conditionalFormatting sqref="A49:A51">
    <cfRule type="cellIs" dxfId="487" priority="508" operator="equal">
      <formula>0</formula>
    </cfRule>
  </conditionalFormatting>
  <conditionalFormatting sqref="ACP41">
    <cfRule type="cellIs" dxfId="486" priority="507" operator="equal">
      <formula>0</formula>
    </cfRule>
  </conditionalFormatting>
  <conditionalFormatting sqref="ACP61">
    <cfRule type="cellIs" dxfId="485" priority="506" operator="equal">
      <formula>0</formula>
    </cfRule>
  </conditionalFormatting>
  <conditionalFormatting sqref="ACQ41">
    <cfRule type="cellIs" dxfId="484" priority="505" operator="equal">
      <formula>0</formula>
    </cfRule>
  </conditionalFormatting>
  <conditionalFormatting sqref="ACQ61">
    <cfRule type="cellIs" dxfId="483" priority="504" operator="equal">
      <formula>0</formula>
    </cfRule>
  </conditionalFormatting>
  <conditionalFormatting sqref="ACR41">
    <cfRule type="cellIs" dxfId="482" priority="503" operator="equal">
      <formula>0</formula>
    </cfRule>
  </conditionalFormatting>
  <conditionalFormatting sqref="ACR61">
    <cfRule type="cellIs" dxfId="481" priority="501" operator="equal">
      <formula>0</formula>
    </cfRule>
  </conditionalFormatting>
  <conditionalFormatting sqref="ACS41">
    <cfRule type="cellIs" dxfId="480" priority="500" operator="equal">
      <formula>0</formula>
    </cfRule>
  </conditionalFormatting>
  <conditionalFormatting sqref="ACS61">
    <cfRule type="cellIs" dxfId="479" priority="499" operator="equal">
      <formula>0</formula>
    </cfRule>
  </conditionalFormatting>
  <conditionalFormatting sqref="ACT41">
    <cfRule type="cellIs" dxfId="478" priority="498" operator="equal">
      <formula>0</formula>
    </cfRule>
  </conditionalFormatting>
  <conditionalFormatting sqref="ACT61">
    <cfRule type="cellIs" dxfId="477" priority="497" operator="equal">
      <formula>0</formula>
    </cfRule>
  </conditionalFormatting>
  <conditionalFormatting sqref="ACU41">
    <cfRule type="cellIs" dxfId="476" priority="496" operator="equal">
      <formula>0</formula>
    </cfRule>
  </conditionalFormatting>
  <conditionalFormatting sqref="ACU61">
    <cfRule type="cellIs" dxfId="475" priority="495" operator="equal">
      <formula>0</formula>
    </cfRule>
  </conditionalFormatting>
  <conditionalFormatting sqref="ACV41">
    <cfRule type="cellIs" dxfId="474" priority="494" operator="equal">
      <formula>0</formula>
    </cfRule>
  </conditionalFormatting>
  <conditionalFormatting sqref="ACV61">
    <cfRule type="cellIs" dxfId="473" priority="493" operator="equal">
      <formula>0</formula>
    </cfRule>
  </conditionalFormatting>
  <conditionalFormatting sqref="ACW41">
    <cfRule type="cellIs" dxfId="472" priority="492" operator="equal">
      <formula>0</formula>
    </cfRule>
  </conditionalFormatting>
  <conditionalFormatting sqref="ACW61">
    <cfRule type="cellIs" dxfId="471" priority="490" operator="equal">
      <formula>0</formula>
    </cfRule>
  </conditionalFormatting>
  <conditionalFormatting sqref="ACX41">
    <cfRule type="cellIs" dxfId="470" priority="489" operator="equal">
      <formula>0</formula>
    </cfRule>
  </conditionalFormatting>
  <conditionalFormatting sqref="ACX61">
    <cfRule type="cellIs" dxfId="469" priority="487" operator="equal">
      <formula>0</formula>
    </cfRule>
  </conditionalFormatting>
  <conditionalFormatting sqref="ACY41">
    <cfRule type="cellIs" dxfId="468" priority="486" operator="equal">
      <formula>0</formula>
    </cfRule>
  </conditionalFormatting>
  <conditionalFormatting sqref="ACY61">
    <cfRule type="cellIs" dxfId="467" priority="484" operator="equal">
      <formula>0</formula>
    </cfRule>
  </conditionalFormatting>
  <conditionalFormatting sqref="ACZ41">
    <cfRule type="cellIs" dxfId="466" priority="483" operator="equal">
      <formula>0</formula>
    </cfRule>
  </conditionalFormatting>
  <conditionalFormatting sqref="ACZ61">
    <cfRule type="cellIs" dxfId="465" priority="481" operator="equal">
      <formula>0</formula>
    </cfRule>
  </conditionalFormatting>
  <conditionalFormatting sqref="ADA41">
    <cfRule type="cellIs" dxfId="464" priority="480" operator="equal">
      <formula>0</formula>
    </cfRule>
  </conditionalFormatting>
  <conditionalFormatting sqref="ADA61">
    <cfRule type="cellIs" dxfId="463" priority="479" operator="equal">
      <formula>0</formula>
    </cfRule>
  </conditionalFormatting>
  <conditionalFormatting sqref="ADB41">
    <cfRule type="cellIs" dxfId="462" priority="478" operator="equal">
      <formula>0</formula>
    </cfRule>
  </conditionalFormatting>
  <conditionalFormatting sqref="ADB61">
    <cfRule type="cellIs" dxfId="461" priority="477" operator="equal">
      <formula>0</formula>
    </cfRule>
  </conditionalFormatting>
  <conditionalFormatting sqref="ADC41">
    <cfRule type="cellIs" dxfId="460" priority="475" operator="equal">
      <formula>0</formula>
    </cfRule>
  </conditionalFormatting>
  <conditionalFormatting sqref="ADC61">
    <cfRule type="cellIs" dxfId="459" priority="473" operator="equal">
      <formula>0</formula>
    </cfRule>
  </conditionalFormatting>
  <conditionalFormatting sqref="ADD41">
    <cfRule type="cellIs" dxfId="458" priority="471" operator="equal">
      <formula>0</formula>
    </cfRule>
  </conditionalFormatting>
  <conditionalFormatting sqref="ADD61">
    <cfRule type="cellIs" dxfId="457" priority="470" operator="equal">
      <formula>0</formula>
    </cfRule>
  </conditionalFormatting>
  <conditionalFormatting sqref="ADE41">
    <cfRule type="cellIs" dxfId="456" priority="469" operator="equal">
      <formula>0</formula>
    </cfRule>
  </conditionalFormatting>
  <conditionalFormatting sqref="ADE61">
    <cfRule type="cellIs" dxfId="455" priority="468" operator="equal">
      <formula>0</formula>
    </cfRule>
  </conditionalFormatting>
  <conditionalFormatting sqref="ADF41">
    <cfRule type="cellIs" dxfId="454" priority="467" operator="equal">
      <formula>0</formula>
    </cfRule>
  </conditionalFormatting>
  <conditionalFormatting sqref="ADF61">
    <cfRule type="cellIs" dxfId="453" priority="466" operator="equal">
      <formula>0</formula>
    </cfRule>
  </conditionalFormatting>
  <conditionalFormatting sqref="ADG41">
    <cfRule type="cellIs" dxfId="452" priority="465" operator="equal">
      <formula>0</formula>
    </cfRule>
  </conditionalFormatting>
  <conditionalFormatting sqref="ADG61">
    <cfRule type="cellIs" dxfId="451" priority="464" operator="equal">
      <formula>0</formula>
    </cfRule>
  </conditionalFormatting>
  <conditionalFormatting sqref="ADH41">
    <cfRule type="cellIs" dxfId="450" priority="463" operator="equal">
      <formula>0</formula>
    </cfRule>
  </conditionalFormatting>
  <conditionalFormatting sqref="ADH61">
    <cfRule type="cellIs" dxfId="449" priority="462" operator="equal">
      <formula>0</formula>
    </cfRule>
  </conditionalFormatting>
  <conditionalFormatting sqref="ADI41">
    <cfRule type="cellIs" dxfId="448" priority="461" operator="equal">
      <formula>0</formula>
    </cfRule>
  </conditionalFormatting>
  <conditionalFormatting sqref="ADI61">
    <cfRule type="cellIs" dxfId="447" priority="460" operator="equal">
      <formula>0</formula>
    </cfRule>
  </conditionalFormatting>
  <conditionalFormatting sqref="ADJ41">
    <cfRule type="cellIs" dxfId="446" priority="459" operator="equal">
      <formula>0</formula>
    </cfRule>
  </conditionalFormatting>
  <conditionalFormatting sqref="ADJ61">
    <cfRule type="cellIs" dxfId="445" priority="458" operator="equal">
      <formula>0</formula>
    </cfRule>
  </conditionalFormatting>
  <conditionalFormatting sqref="ADK37:ADK40 ADK42:ADK60 ADK32:ADK35">
    <cfRule type="cellIs" dxfId="444" priority="457" operator="equal">
      <formula>0</formula>
    </cfRule>
  </conditionalFormatting>
  <conditionalFormatting sqref="ADK36">
    <cfRule type="cellIs" dxfId="443" priority="456" operator="equal">
      <formula>0</formula>
    </cfRule>
  </conditionalFormatting>
  <conditionalFormatting sqref="ADK41">
    <cfRule type="cellIs" dxfId="442" priority="455" operator="equal">
      <formula>0</formula>
    </cfRule>
  </conditionalFormatting>
  <conditionalFormatting sqref="ADK61">
    <cfRule type="cellIs" dxfId="441" priority="454" operator="equal">
      <formula>0</formula>
    </cfRule>
  </conditionalFormatting>
  <conditionalFormatting sqref="ADL41">
    <cfRule type="cellIs" dxfId="440" priority="453" operator="equal">
      <formula>0</formula>
    </cfRule>
  </conditionalFormatting>
  <conditionalFormatting sqref="ADL61">
    <cfRule type="cellIs" dxfId="439" priority="452" operator="equal">
      <formula>0</formula>
    </cfRule>
  </conditionalFormatting>
  <conditionalFormatting sqref="ADM41">
    <cfRule type="cellIs" dxfId="438" priority="451" operator="equal">
      <formula>0</formula>
    </cfRule>
  </conditionalFormatting>
  <conditionalFormatting sqref="ADM61">
    <cfRule type="cellIs" dxfId="437" priority="450" operator="equal">
      <formula>0</formula>
    </cfRule>
  </conditionalFormatting>
  <conditionalFormatting sqref="ADN41">
    <cfRule type="cellIs" dxfId="436" priority="449" operator="equal">
      <formula>0</formula>
    </cfRule>
  </conditionalFormatting>
  <conditionalFormatting sqref="ADN61">
    <cfRule type="cellIs" dxfId="435" priority="448" operator="equal">
      <formula>0</formula>
    </cfRule>
  </conditionalFormatting>
  <conditionalFormatting sqref="ADO41">
    <cfRule type="cellIs" dxfId="434" priority="446" operator="equal">
      <formula>0</formula>
    </cfRule>
  </conditionalFormatting>
  <conditionalFormatting sqref="ADO61">
    <cfRule type="cellIs" dxfId="433" priority="445" operator="equal">
      <formula>0</formula>
    </cfRule>
  </conditionalFormatting>
  <conditionalFormatting sqref="ADP61">
    <cfRule type="cellIs" dxfId="432" priority="444" operator="equal">
      <formula>0</formula>
    </cfRule>
  </conditionalFormatting>
  <conditionalFormatting sqref="ADQ61">
    <cfRule type="cellIs" dxfId="431" priority="443" operator="equal">
      <formula>0</formula>
    </cfRule>
  </conditionalFormatting>
  <conditionalFormatting sqref="ADR61">
    <cfRule type="cellIs" dxfId="430" priority="442" operator="equal">
      <formula>0</formula>
    </cfRule>
  </conditionalFormatting>
  <conditionalFormatting sqref="ADS61">
    <cfRule type="cellIs" dxfId="429" priority="441" operator="equal">
      <formula>0</formula>
    </cfRule>
  </conditionalFormatting>
  <conditionalFormatting sqref="ADS37:ADS38 ADS32:ADS35">
    <cfRule type="cellIs" dxfId="428" priority="440" operator="equal">
      <formula>0</formula>
    </cfRule>
  </conditionalFormatting>
  <conditionalFormatting sqref="ADS36">
    <cfRule type="cellIs" dxfId="427" priority="439" operator="equal">
      <formula>0</formula>
    </cfRule>
  </conditionalFormatting>
  <conditionalFormatting sqref="ADT61">
    <cfRule type="cellIs" dxfId="426" priority="438" operator="equal">
      <formula>0</formula>
    </cfRule>
  </conditionalFormatting>
  <conditionalFormatting sqref="ADU61">
    <cfRule type="cellIs" dxfId="425" priority="437" operator="equal">
      <formula>0</formula>
    </cfRule>
  </conditionalFormatting>
  <conditionalFormatting sqref="ADV61">
    <cfRule type="cellIs" dxfId="424" priority="436" operator="equal">
      <formula>0</formula>
    </cfRule>
  </conditionalFormatting>
  <conditionalFormatting sqref="ADW61">
    <cfRule type="cellIs" dxfId="423" priority="435" operator="equal">
      <formula>0</formula>
    </cfRule>
  </conditionalFormatting>
  <conditionalFormatting sqref="ADX61">
    <cfRule type="cellIs" dxfId="422" priority="434" operator="equal">
      <formula>0</formula>
    </cfRule>
  </conditionalFormatting>
  <conditionalFormatting sqref="ADY61">
    <cfRule type="cellIs" dxfId="421" priority="433" operator="equal">
      <formula>0</formula>
    </cfRule>
  </conditionalFormatting>
  <conditionalFormatting sqref="ADZ61">
    <cfRule type="cellIs" dxfId="420" priority="432" operator="equal">
      <formula>0</formula>
    </cfRule>
  </conditionalFormatting>
  <conditionalFormatting sqref="AEA61">
    <cfRule type="cellIs" dxfId="419" priority="431" operator="equal">
      <formula>0</formula>
    </cfRule>
  </conditionalFormatting>
  <conditionalFormatting sqref="AEB61">
    <cfRule type="cellIs" dxfId="418" priority="430" operator="equal">
      <formula>0</formula>
    </cfRule>
  </conditionalFormatting>
  <conditionalFormatting sqref="AEC37:AEC38">
    <cfRule type="cellIs" dxfId="417" priority="429" operator="equal">
      <formula>0</formula>
    </cfRule>
  </conditionalFormatting>
  <conditionalFormatting sqref="AEC36">
    <cfRule type="cellIs" dxfId="416" priority="428" operator="equal">
      <formula>0</formula>
    </cfRule>
  </conditionalFormatting>
  <conditionalFormatting sqref="AEC61">
    <cfRule type="cellIs" dxfId="415" priority="427" operator="equal">
      <formula>0</formula>
    </cfRule>
  </conditionalFormatting>
  <conditionalFormatting sqref="AED37:AED38">
    <cfRule type="cellIs" dxfId="414" priority="426" operator="equal">
      <formula>0</formula>
    </cfRule>
  </conditionalFormatting>
  <conditionalFormatting sqref="AED61">
    <cfRule type="cellIs" dxfId="413" priority="425" operator="equal">
      <formula>0</formula>
    </cfRule>
  </conditionalFormatting>
  <conditionalFormatting sqref="AEE61">
    <cfRule type="cellIs" dxfId="412" priority="424" operator="equal">
      <formula>0</formula>
    </cfRule>
  </conditionalFormatting>
  <conditionalFormatting sqref="AEF37:AEF38">
    <cfRule type="cellIs" dxfId="411" priority="423" operator="equal">
      <formula>0</formula>
    </cfRule>
  </conditionalFormatting>
  <conditionalFormatting sqref="AEF36">
    <cfRule type="cellIs" dxfId="410" priority="422" operator="equal">
      <formula>0</formula>
    </cfRule>
  </conditionalFormatting>
  <conditionalFormatting sqref="AEF61">
    <cfRule type="cellIs" dxfId="409" priority="421" operator="equal">
      <formula>0</formula>
    </cfRule>
  </conditionalFormatting>
  <conditionalFormatting sqref="AEG37:AEG38">
    <cfRule type="cellIs" dxfId="408" priority="420" operator="equal">
      <formula>0</formula>
    </cfRule>
  </conditionalFormatting>
  <conditionalFormatting sqref="AEG61">
    <cfRule type="cellIs" dxfId="407" priority="419" operator="equal">
      <formula>0</formula>
    </cfRule>
  </conditionalFormatting>
  <conditionalFormatting sqref="AEH61">
    <cfRule type="cellIs" dxfId="406" priority="418" operator="equal">
      <formula>0</formula>
    </cfRule>
  </conditionalFormatting>
  <conditionalFormatting sqref="AEI61">
    <cfRule type="cellIs" dxfId="405" priority="417" operator="equal">
      <formula>0</formula>
    </cfRule>
  </conditionalFormatting>
  <conditionalFormatting sqref="AEJ61">
    <cfRule type="cellIs" dxfId="404" priority="416" operator="equal">
      <formula>0</formula>
    </cfRule>
  </conditionalFormatting>
  <conditionalFormatting sqref="AEK61">
    <cfRule type="cellIs" dxfId="403" priority="415" operator="equal">
      <formula>0</formula>
    </cfRule>
  </conditionalFormatting>
  <conditionalFormatting sqref="AEK37:AEK38">
    <cfRule type="cellIs" dxfId="402" priority="414" operator="equal">
      <formula>0</formula>
    </cfRule>
  </conditionalFormatting>
  <conditionalFormatting sqref="AEK36">
    <cfRule type="cellIs" dxfId="401" priority="413" operator="equal">
      <formula>0</formula>
    </cfRule>
  </conditionalFormatting>
  <conditionalFormatting sqref="AEL61">
    <cfRule type="cellIs" dxfId="400" priority="412" operator="equal">
      <formula>0</formula>
    </cfRule>
  </conditionalFormatting>
  <conditionalFormatting sqref="AEM37:AEM38">
    <cfRule type="cellIs" dxfId="399" priority="411" operator="equal">
      <formula>0</formula>
    </cfRule>
  </conditionalFormatting>
  <conditionalFormatting sqref="AEM36">
    <cfRule type="cellIs" dxfId="398" priority="410" operator="equal">
      <formula>0</formula>
    </cfRule>
  </conditionalFormatting>
  <conditionalFormatting sqref="AEM61">
    <cfRule type="cellIs" dxfId="397" priority="409" operator="equal">
      <formula>0</formula>
    </cfRule>
  </conditionalFormatting>
  <conditionalFormatting sqref="AEN61">
    <cfRule type="cellIs" dxfId="396" priority="408" operator="equal">
      <formula>0</formula>
    </cfRule>
  </conditionalFormatting>
  <conditionalFormatting sqref="AEO61">
    <cfRule type="cellIs" dxfId="395" priority="407" operator="equal">
      <formula>0</formula>
    </cfRule>
  </conditionalFormatting>
  <conditionalFormatting sqref="AEP61">
    <cfRule type="cellIs" dxfId="394" priority="406" operator="equal">
      <formula>0</formula>
    </cfRule>
  </conditionalFormatting>
  <conditionalFormatting sqref="AEQ61">
    <cfRule type="cellIs" dxfId="393" priority="405" operator="equal">
      <formula>0</formula>
    </cfRule>
  </conditionalFormatting>
  <conditionalFormatting sqref="AER61">
    <cfRule type="cellIs" dxfId="392" priority="404" operator="equal">
      <formula>0</formula>
    </cfRule>
  </conditionalFormatting>
  <conditionalFormatting sqref="AES61">
    <cfRule type="cellIs" dxfId="391" priority="403" operator="equal">
      <formula>0</formula>
    </cfRule>
  </conditionalFormatting>
  <conditionalFormatting sqref="AET61">
    <cfRule type="cellIs" dxfId="390" priority="402" operator="equal">
      <formula>0</formula>
    </cfRule>
  </conditionalFormatting>
  <conditionalFormatting sqref="AEU61">
    <cfRule type="cellIs" dxfId="389" priority="401" operator="equal">
      <formula>0</formula>
    </cfRule>
  </conditionalFormatting>
  <conditionalFormatting sqref="AEV61">
    <cfRule type="cellIs" dxfId="388" priority="400" operator="equal">
      <formula>0</formula>
    </cfRule>
  </conditionalFormatting>
  <conditionalFormatting sqref="AEW61">
    <cfRule type="cellIs" dxfId="387" priority="399" operator="equal">
      <formula>0</formula>
    </cfRule>
  </conditionalFormatting>
  <conditionalFormatting sqref="AEX61">
    <cfRule type="cellIs" dxfId="386" priority="398" operator="equal">
      <formula>0</formula>
    </cfRule>
  </conditionalFormatting>
  <conditionalFormatting sqref="AEY39:AEY60 AEY2:AEY32 AEY35">
    <cfRule type="cellIs" dxfId="385" priority="397" operator="equal">
      <formula>0</formula>
    </cfRule>
  </conditionalFormatting>
  <conditionalFormatting sqref="AEY33:AEY34">
    <cfRule type="cellIs" dxfId="384" priority="394" operator="equal">
      <formula>0</formula>
    </cfRule>
  </conditionalFormatting>
  <conditionalFormatting sqref="AEY61">
    <cfRule type="cellIs" dxfId="383" priority="395" operator="equal">
      <formula>0</formula>
    </cfRule>
  </conditionalFormatting>
  <conditionalFormatting sqref="AEY37:AEY38">
    <cfRule type="cellIs" dxfId="382" priority="393" operator="equal">
      <formula>0</formula>
    </cfRule>
  </conditionalFormatting>
  <conditionalFormatting sqref="AEY36">
    <cfRule type="cellIs" dxfId="381" priority="392" operator="equal">
      <formula>0</formula>
    </cfRule>
  </conditionalFormatting>
  <conditionalFormatting sqref="AEZ2">
    <cfRule type="cellIs" dxfId="380" priority="391" operator="equal">
      <formula>0</formula>
    </cfRule>
  </conditionalFormatting>
  <conditionalFormatting sqref="AEZ58">
    <cfRule type="cellIs" dxfId="379" priority="390" operator="equal">
      <formula>0</formula>
    </cfRule>
  </conditionalFormatting>
  <conditionalFormatting sqref="AEZ61">
    <cfRule type="cellIs" dxfId="378" priority="389" operator="equal">
      <formula>0</formula>
    </cfRule>
  </conditionalFormatting>
  <conditionalFormatting sqref="AFA56:AFA57">
    <cfRule type="cellIs" dxfId="377" priority="388" operator="equal">
      <formula>0</formula>
    </cfRule>
  </conditionalFormatting>
  <conditionalFormatting sqref="AFA58">
    <cfRule type="cellIs" dxfId="376" priority="387" operator="equal">
      <formula>0</formula>
    </cfRule>
  </conditionalFormatting>
  <conditionalFormatting sqref="AFA61">
    <cfRule type="cellIs" dxfId="375" priority="386" operator="equal">
      <formula>0</formula>
    </cfRule>
  </conditionalFormatting>
  <conditionalFormatting sqref="AFB58">
    <cfRule type="cellIs" dxfId="374" priority="385" operator="equal">
      <formula>0</formula>
    </cfRule>
  </conditionalFormatting>
  <conditionalFormatting sqref="AFB61">
    <cfRule type="cellIs" dxfId="373" priority="384" operator="equal">
      <formula>0</formula>
    </cfRule>
  </conditionalFormatting>
  <conditionalFormatting sqref="AFC61">
    <cfRule type="cellIs" dxfId="372" priority="383" operator="equal">
      <formula>0</formula>
    </cfRule>
  </conditionalFormatting>
  <conditionalFormatting sqref="AFD61">
    <cfRule type="cellIs" dxfId="371" priority="382" operator="equal">
      <formula>0</formula>
    </cfRule>
  </conditionalFormatting>
  <conditionalFormatting sqref="AFE61">
    <cfRule type="cellIs" dxfId="370" priority="381" operator="equal">
      <formula>0</formula>
    </cfRule>
  </conditionalFormatting>
  <conditionalFormatting sqref="AFF61">
    <cfRule type="cellIs" dxfId="369" priority="380" operator="equal">
      <formula>0</formula>
    </cfRule>
  </conditionalFormatting>
  <conditionalFormatting sqref="AFG61">
    <cfRule type="cellIs" dxfId="368" priority="379" operator="equal">
      <formula>0</formula>
    </cfRule>
  </conditionalFormatting>
  <conditionalFormatting sqref="AFH61">
    <cfRule type="cellIs" dxfId="367" priority="378" operator="equal">
      <formula>0</formula>
    </cfRule>
  </conditionalFormatting>
  <conditionalFormatting sqref="AFI61">
    <cfRule type="cellIs" dxfId="366" priority="377" operator="equal">
      <formula>0</formula>
    </cfRule>
  </conditionalFormatting>
  <conditionalFormatting sqref="AFJ61">
    <cfRule type="cellIs" dxfId="365" priority="376" operator="equal">
      <formula>0</formula>
    </cfRule>
  </conditionalFormatting>
  <conditionalFormatting sqref="AFK61">
    <cfRule type="cellIs" dxfId="364" priority="375" operator="equal">
      <formula>0</formula>
    </cfRule>
  </conditionalFormatting>
  <conditionalFormatting sqref="AFL61">
    <cfRule type="cellIs" dxfId="363" priority="374" operator="equal">
      <formula>0</formula>
    </cfRule>
  </conditionalFormatting>
  <conditionalFormatting sqref="AFM61">
    <cfRule type="cellIs" dxfId="362" priority="373" operator="equal">
      <formula>0</formula>
    </cfRule>
  </conditionalFormatting>
  <conditionalFormatting sqref="AFN61">
    <cfRule type="cellIs" dxfId="361" priority="372" operator="equal">
      <formula>0</formula>
    </cfRule>
  </conditionalFormatting>
  <conditionalFormatting sqref="AFO61:AFP61">
    <cfRule type="cellIs" dxfId="360" priority="371" operator="equal">
      <formula>0</formula>
    </cfRule>
  </conditionalFormatting>
  <conditionalFormatting sqref="AFP37:AFP38">
    <cfRule type="cellIs" dxfId="359" priority="370" operator="equal">
      <formula>0</formula>
    </cfRule>
  </conditionalFormatting>
  <conditionalFormatting sqref="AFP36">
    <cfRule type="cellIs" dxfId="358" priority="369" operator="equal">
      <formula>0</formula>
    </cfRule>
  </conditionalFormatting>
  <conditionalFormatting sqref="AFQ61">
    <cfRule type="cellIs" dxfId="357" priority="368" operator="equal">
      <formula>0</formula>
    </cfRule>
  </conditionalFormatting>
  <conditionalFormatting sqref="AFR61">
    <cfRule type="cellIs" dxfId="356" priority="367" operator="equal">
      <formula>0</formula>
    </cfRule>
  </conditionalFormatting>
  <conditionalFormatting sqref="AFS61">
    <cfRule type="cellIs" dxfId="355" priority="366" operator="equal">
      <formula>0</formula>
    </cfRule>
  </conditionalFormatting>
  <conditionalFormatting sqref="AFT61">
    <cfRule type="cellIs" dxfId="354" priority="365" operator="equal">
      <formula>0</formula>
    </cfRule>
  </conditionalFormatting>
  <conditionalFormatting sqref="AFU61">
    <cfRule type="cellIs" dxfId="353" priority="364" operator="equal">
      <formula>0</formula>
    </cfRule>
  </conditionalFormatting>
  <conditionalFormatting sqref="AFV61">
    <cfRule type="cellIs" dxfId="352" priority="363" operator="equal">
      <formula>0</formula>
    </cfRule>
  </conditionalFormatting>
  <conditionalFormatting sqref="AFW61">
    <cfRule type="cellIs" dxfId="351" priority="362" operator="equal">
      <formula>0</formula>
    </cfRule>
  </conditionalFormatting>
  <conditionalFormatting sqref="AFX61">
    <cfRule type="cellIs" dxfId="350" priority="361" operator="equal">
      <formula>0</formula>
    </cfRule>
  </conditionalFormatting>
  <conditionalFormatting sqref="AFY61">
    <cfRule type="cellIs" dxfId="349" priority="360" operator="equal">
      <formula>0</formula>
    </cfRule>
  </conditionalFormatting>
  <conditionalFormatting sqref="AFZ2:AFZ32 AFZ39:AFZ60 AFZ35">
    <cfRule type="cellIs" dxfId="348" priority="359" operator="equal">
      <formula>0</formula>
    </cfRule>
  </conditionalFormatting>
  <conditionalFormatting sqref="AFZ33:AFZ34">
    <cfRule type="cellIs" dxfId="347" priority="356" operator="equal">
      <formula>0</formula>
    </cfRule>
  </conditionalFormatting>
  <conditionalFormatting sqref="AFZ61">
    <cfRule type="cellIs" dxfId="346" priority="357" operator="equal">
      <formula>0</formula>
    </cfRule>
  </conditionalFormatting>
  <conditionalFormatting sqref="AFZ37:AFZ38">
    <cfRule type="cellIs" dxfId="345" priority="355" operator="equal">
      <formula>0</formula>
    </cfRule>
  </conditionalFormatting>
  <conditionalFormatting sqref="AFZ36">
    <cfRule type="cellIs" dxfId="344" priority="354" operator="equal">
      <formula>0</formula>
    </cfRule>
  </conditionalFormatting>
  <conditionalFormatting sqref="AGA58">
    <cfRule type="cellIs" dxfId="343" priority="353" operator="equal">
      <formula>0</formula>
    </cfRule>
  </conditionalFormatting>
  <conditionalFormatting sqref="AGA61">
    <cfRule type="cellIs" dxfId="342" priority="352" operator="equal">
      <formula>0</formula>
    </cfRule>
  </conditionalFormatting>
  <conditionalFormatting sqref="AGB58">
    <cfRule type="cellIs" dxfId="341" priority="351" operator="equal">
      <formula>0</formula>
    </cfRule>
  </conditionalFormatting>
  <conditionalFormatting sqref="AGB2:AGB35 AGB37:AGB38 AGC2">
    <cfRule type="cellIs" dxfId="340" priority="350" operator="equal">
      <formula>0</formula>
    </cfRule>
  </conditionalFormatting>
  <conditionalFormatting sqref="AGB36">
    <cfRule type="cellIs" dxfId="339" priority="349" operator="equal">
      <formula>0</formula>
    </cfRule>
  </conditionalFormatting>
  <conditionalFormatting sqref="AGB61">
    <cfRule type="cellIs" dxfId="338" priority="348" operator="equal">
      <formula>0</formula>
    </cfRule>
  </conditionalFormatting>
  <conditionalFormatting sqref="AGC32:AGC34">
    <cfRule type="cellIs" dxfId="337" priority="347" operator="equal">
      <formula>0</formula>
    </cfRule>
  </conditionalFormatting>
  <conditionalFormatting sqref="AGC37:AGC38">
    <cfRule type="cellIs" dxfId="336" priority="346" operator="equal">
      <formula>0</formula>
    </cfRule>
  </conditionalFormatting>
  <conditionalFormatting sqref="AGC36">
    <cfRule type="cellIs" dxfId="335" priority="345" operator="equal">
      <formula>0</formula>
    </cfRule>
  </conditionalFormatting>
  <conditionalFormatting sqref="AGC59:AGC60 AGC62:AGC63 AGC56:AGC57">
    <cfRule type="cellIs" dxfId="334" priority="344" operator="equal">
      <formula>0</formula>
    </cfRule>
  </conditionalFormatting>
  <conditionalFormatting sqref="AGC58">
    <cfRule type="cellIs" dxfId="333" priority="343" operator="equal">
      <formula>0</formula>
    </cfRule>
  </conditionalFormatting>
  <conditionalFormatting sqref="AGC61">
    <cfRule type="cellIs" dxfId="332" priority="342" operator="equal">
      <formula>0</formula>
    </cfRule>
  </conditionalFormatting>
  <conditionalFormatting sqref="AGD39:AGD55 AGD3:AGD31 AGD35">
    <cfRule type="cellIs" dxfId="331" priority="341" operator="equal">
      <formula>0</formula>
    </cfRule>
  </conditionalFormatting>
  <conditionalFormatting sqref="AGD2">
    <cfRule type="cellIs" dxfId="330" priority="340" operator="equal">
      <formula>0</formula>
    </cfRule>
  </conditionalFormatting>
  <conditionalFormatting sqref="AGD32:AGD34">
    <cfRule type="cellIs" dxfId="329" priority="339" operator="equal">
      <formula>0</formula>
    </cfRule>
  </conditionalFormatting>
  <conditionalFormatting sqref="AGD37:AGD38">
    <cfRule type="cellIs" dxfId="328" priority="338" operator="equal">
      <formula>0</formula>
    </cfRule>
  </conditionalFormatting>
  <conditionalFormatting sqref="AGD36">
    <cfRule type="cellIs" dxfId="327" priority="337" operator="equal">
      <formula>0</formula>
    </cfRule>
  </conditionalFormatting>
  <conditionalFormatting sqref="AGD59:AGD60 AGD62 AGD56:AGD57">
    <cfRule type="cellIs" dxfId="326" priority="336" operator="equal">
      <formula>0</formula>
    </cfRule>
  </conditionalFormatting>
  <conditionalFormatting sqref="AGD58">
    <cfRule type="cellIs" dxfId="325" priority="335" operator="equal">
      <formula>0</formula>
    </cfRule>
  </conditionalFormatting>
  <conditionalFormatting sqref="AGD61">
    <cfRule type="cellIs" dxfId="324" priority="334" operator="equal">
      <formula>0</formula>
    </cfRule>
  </conditionalFormatting>
  <conditionalFormatting sqref="AGE56:AGE57">
    <cfRule type="cellIs" dxfId="323" priority="333" operator="equal">
      <formula>0</formula>
    </cfRule>
  </conditionalFormatting>
  <conditionalFormatting sqref="AGE58">
    <cfRule type="cellIs" dxfId="322" priority="332" operator="equal">
      <formula>0</formula>
    </cfRule>
  </conditionalFormatting>
  <conditionalFormatting sqref="AGE61">
    <cfRule type="cellIs" dxfId="321" priority="331" operator="equal">
      <formula>0</formula>
    </cfRule>
  </conditionalFormatting>
  <conditionalFormatting sqref="AGF56:AGF57">
    <cfRule type="cellIs" dxfId="320" priority="330" operator="equal">
      <formula>0</formula>
    </cfRule>
  </conditionalFormatting>
  <conditionalFormatting sqref="AGF58">
    <cfRule type="cellIs" dxfId="319" priority="329" operator="equal">
      <formula>0</formula>
    </cfRule>
  </conditionalFormatting>
  <conditionalFormatting sqref="AGF61">
    <cfRule type="cellIs" dxfId="318" priority="328" operator="equal">
      <formula>0</formula>
    </cfRule>
  </conditionalFormatting>
  <conditionalFormatting sqref="AGG58">
    <cfRule type="cellIs" dxfId="317" priority="327" operator="equal">
      <formula>0</formula>
    </cfRule>
  </conditionalFormatting>
  <conditionalFormatting sqref="AGG61">
    <cfRule type="cellIs" dxfId="316" priority="326" operator="equal">
      <formula>0</formula>
    </cfRule>
  </conditionalFormatting>
  <conditionalFormatting sqref="AGH58">
    <cfRule type="cellIs" dxfId="315" priority="325" operator="equal">
      <formula>0</formula>
    </cfRule>
  </conditionalFormatting>
  <conditionalFormatting sqref="AGH61">
    <cfRule type="cellIs" dxfId="314" priority="324" operator="equal">
      <formula>0</formula>
    </cfRule>
  </conditionalFormatting>
  <conditionalFormatting sqref="AGI56:AGI57">
    <cfRule type="cellIs" dxfId="313" priority="323" operator="equal">
      <formula>0</formula>
    </cfRule>
  </conditionalFormatting>
  <conditionalFormatting sqref="AGI58">
    <cfRule type="cellIs" dxfId="312" priority="322" operator="equal">
      <formula>0</formula>
    </cfRule>
  </conditionalFormatting>
  <conditionalFormatting sqref="AGI61">
    <cfRule type="cellIs" dxfId="311" priority="321" operator="equal">
      <formula>0</formula>
    </cfRule>
  </conditionalFormatting>
  <conditionalFormatting sqref="AGJ56:AGJ57">
    <cfRule type="cellIs" dxfId="310" priority="320" operator="equal">
      <formula>0</formula>
    </cfRule>
  </conditionalFormatting>
  <conditionalFormatting sqref="AGJ58">
    <cfRule type="cellIs" dxfId="309" priority="319" operator="equal">
      <formula>0</formula>
    </cfRule>
  </conditionalFormatting>
  <conditionalFormatting sqref="AGJ61">
    <cfRule type="cellIs" dxfId="308" priority="318" operator="equal">
      <formula>0</formula>
    </cfRule>
  </conditionalFormatting>
  <conditionalFormatting sqref="AGK56:AGK57">
    <cfRule type="cellIs" dxfId="307" priority="317" operator="equal">
      <formula>0</formula>
    </cfRule>
  </conditionalFormatting>
  <conditionalFormatting sqref="AGK58">
    <cfRule type="cellIs" dxfId="306" priority="316" operator="equal">
      <formula>0</formula>
    </cfRule>
  </conditionalFormatting>
  <conditionalFormatting sqref="AGK61">
    <cfRule type="cellIs" dxfId="305" priority="315" operator="equal">
      <formula>0</formula>
    </cfRule>
  </conditionalFormatting>
  <conditionalFormatting sqref="AGL56:AGL57">
    <cfRule type="cellIs" dxfId="304" priority="314" operator="equal">
      <formula>0</formula>
    </cfRule>
  </conditionalFormatting>
  <conditionalFormatting sqref="AGL61">
    <cfRule type="cellIs" dxfId="303" priority="313" operator="equal">
      <formula>0</formula>
    </cfRule>
  </conditionalFormatting>
  <conditionalFormatting sqref="AGM56:AGM57">
    <cfRule type="cellIs" dxfId="302" priority="312" operator="equal">
      <formula>0</formula>
    </cfRule>
  </conditionalFormatting>
  <conditionalFormatting sqref="AGM61">
    <cfRule type="cellIs" dxfId="301" priority="311" operator="equal">
      <formula>0</formula>
    </cfRule>
  </conditionalFormatting>
  <conditionalFormatting sqref="AGN61">
    <cfRule type="cellIs" dxfId="300" priority="310" operator="equal">
      <formula>0</formula>
    </cfRule>
  </conditionalFormatting>
  <conditionalFormatting sqref="AGO61">
    <cfRule type="cellIs" dxfId="299" priority="309" operator="equal">
      <formula>0</formula>
    </cfRule>
  </conditionalFormatting>
  <conditionalFormatting sqref="AGP61">
    <cfRule type="cellIs" dxfId="298" priority="308" operator="equal">
      <formula>0</formula>
    </cfRule>
  </conditionalFormatting>
  <conditionalFormatting sqref="AGQ61">
    <cfRule type="cellIs" dxfId="297" priority="307" operator="equal">
      <formula>0</formula>
    </cfRule>
  </conditionalFormatting>
  <conditionalFormatting sqref="AGR61">
    <cfRule type="cellIs" dxfId="296" priority="306" operator="equal">
      <formula>0</formula>
    </cfRule>
  </conditionalFormatting>
  <conditionalFormatting sqref="AGS56:AGS58">
    <cfRule type="cellIs" dxfId="295" priority="305" operator="equal">
      <formula>0</formula>
    </cfRule>
  </conditionalFormatting>
  <conditionalFormatting sqref="AGS61">
    <cfRule type="cellIs" dxfId="294" priority="304" operator="equal">
      <formula>0</formula>
    </cfRule>
  </conditionalFormatting>
  <conditionalFormatting sqref="AGT56:AGT58">
    <cfRule type="cellIs" dxfId="293" priority="303" operator="equal">
      <formula>0</formula>
    </cfRule>
  </conditionalFormatting>
  <conditionalFormatting sqref="AGT61">
    <cfRule type="cellIs" dxfId="292" priority="302" operator="equal">
      <formula>0</formula>
    </cfRule>
  </conditionalFormatting>
  <conditionalFormatting sqref="AGU56:AGU58">
    <cfRule type="cellIs" dxfId="291" priority="301" operator="equal">
      <formula>0</formula>
    </cfRule>
  </conditionalFormatting>
  <conditionalFormatting sqref="AGU61">
    <cfRule type="cellIs" dxfId="290" priority="300" operator="equal">
      <formula>0</formula>
    </cfRule>
  </conditionalFormatting>
  <conditionalFormatting sqref="AGV56:AGV58">
    <cfRule type="cellIs" dxfId="289" priority="299" operator="equal">
      <formula>0</formula>
    </cfRule>
  </conditionalFormatting>
  <conditionalFormatting sqref="AGV61">
    <cfRule type="cellIs" dxfId="288" priority="298" operator="equal">
      <formula>0</formula>
    </cfRule>
  </conditionalFormatting>
  <conditionalFormatting sqref="AGW56:AGW58">
    <cfRule type="cellIs" dxfId="287" priority="297" operator="equal">
      <formula>0</formula>
    </cfRule>
  </conditionalFormatting>
  <conditionalFormatting sqref="AGW61">
    <cfRule type="cellIs" dxfId="286" priority="296" operator="equal">
      <formula>0</formula>
    </cfRule>
  </conditionalFormatting>
  <conditionalFormatting sqref="AGX56:AGX58">
    <cfRule type="cellIs" dxfId="285" priority="295" operator="equal">
      <formula>0</formula>
    </cfRule>
  </conditionalFormatting>
  <conditionalFormatting sqref="AGX61">
    <cfRule type="cellIs" dxfId="284" priority="294" operator="equal">
      <formula>0</formula>
    </cfRule>
  </conditionalFormatting>
  <conditionalFormatting sqref="AGY56:AGY58">
    <cfRule type="cellIs" dxfId="283" priority="293" operator="equal">
      <formula>0</formula>
    </cfRule>
  </conditionalFormatting>
  <conditionalFormatting sqref="AGY61">
    <cfRule type="cellIs" dxfId="282" priority="292" operator="equal">
      <formula>0</formula>
    </cfRule>
  </conditionalFormatting>
  <conditionalFormatting sqref="AGZ56:AGZ58">
    <cfRule type="cellIs" dxfId="281" priority="291" operator="equal">
      <formula>0</formula>
    </cfRule>
  </conditionalFormatting>
  <conditionalFormatting sqref="AGZ61">
    <cfRule type="cellIs" dxfId="280" priority="290" operator="equal">
      <formula>0</formula>
    </cfRule>
  </conditionalFormatting>
  <conditionalFormatting sqref="AHA56:AHA58">
    <cfRule type="cellIs" dxfId="279" priority="289" operator="equal">
      <formula>0</formula>
    </cfRule>
  </conditionalFormatting>
  <conditionalFormatting sqref="AHA61">
    <cfRule type="cellIs" dxfId="278" priority="288" operator="equal">
      <formula>0</formula>
    </cfRule>
  </conditionalFormatting>
  <conditionalFormatting sqref="AHB56:AHB58">
    <cfRule type="cellIs" dxfId="277" priority="287" operator="equal">
      <formula>0</formula>
    </cfRule>
  </conditionalFormatting>
  <conditionalFormatting sqref="AHB61">
    <cfRule type="cellIs" dxfId="276" priority="286" operator="equal">
      <formula>0</formula>
    </cfRule>
  </conditionalFormatting>
  <conditionalFormatting sqref="AHC37:AHC38">
    <cfRule type="cellIs" dxfId="275" priority="285" operator="equal">
      <formula>0</formula>
    </cfRule>
  </conditionalFormatting>
  <conditionalFormatting sqref="AHC36">
    <cfRule type="cellIs" dxfId="274" priority="284" operator="equal">
      <formula>0</formula>
    </cfRule>
  </conditionalFormatting>
  <conditionalFormatting sqref="AHC56:AHC58">
    <cfRule type="cellIs" dxfId="273" priority="283" operator="equal">
      <formula>0</formula>
    </cfRule>
  </conditionalFormatting>
  <conditionalFormatting sqref="AHC61">
    <cfRule type="cellIs" dxfId="272" priority="282" operator="equal">
      <formula>0</formula>
    </cfRule>
  </conditionalFormatting>
  <conditionalFormatting sqref="AHD37:AHD38">
    <cfRule type="cellIs" dxfId="271" priority="281" operator="equal">
      <formula>0</formula>
    </cfRule>
  </conditionalFormatting>
  <conditionalFormatting sqref="AHD56:AHD58">
    <cfRule type="cellIs" dxfId="270" priority="280" operator="equal">
      <formula>0</formula>
    </cfRule>
  </conditionalFormatting>
  <conditionalFormatting sqref="AHD61">
    <cfRule type="cellIs" dxfId="269" priority="279" operator="equal">
      <formula>0</formula>
    </cfRule>
  </conditionalFormatting>
  <conditionalFormatting sqref="AHE56:AHE58">
    <cfRule type="cellIs" dxfId="268" priority="278" operator="equal">
      <formula>0</formula>
    </cfRule>
  </conditionalFormatting>
  <conditionalFormatting sqref="AHE61">
    <cfRule type="cellIs" dxfId="267" priority="277" operator="equal">
      <formula>0</formula>
    </cfRule>
  </conditionalFormatting>
  <conditionalFormatting sqref="AHF56:AHF58">
    <cfRule type="cellIs" dxfId="266" priority="276" operator="equal">
      <formula>0</formula>
    </cfRule>
  </conditionalFormatting>
  <conditionalFormatting sqref="AHF61">
    <cfRule type="cellIs" dxfId="265" priority="275" operator="equal">
      <formula>0</formula>
    </cfRule>
  </conditionalFormatting>
  <conditionalFormatting sqref="AHG56:AHG58">
    <cfRule type="cellIs" dxfId="264" priority="274" operator="equal">
      <formula>0</formula>
    </cfRule>
  </conditionalFormatting>
  <conditionalFormatting sqref="AHG61">
    <cfRule type="cellIs" dxfId="263" priority="273" operator="equal">
      <formula>0</formula>
    </cfRule>
  </conditionalFormatting>
  <conditionalFormatting sqref="AHH56:AHH58">
    <cfRule type="cellIs" dxfId="262" priority="272" operator="equal">
      <formula>0</formula>
    </cfRule>
  </conditionalFormatting>
  <conditionalFormatting sqref="AHH61">
    <cfRule type="cellIs" dxfId="261" priority="271" operator="equal">
      <formula>0</formula>
    </cfRule>
  </conditionalFormatting>
  <conditionalFormatting sqref="AHI56:AHI58">
    <cfRule type="cellIs" dxfId="260" priority="270" operator="equal">
      <formula>0</formula>
    </cfRule>
  </conditionalFormatting>
  <conditionalFormatting sqref="AHI61">
    <cfRule type="cellIs" dxfId="259" priority="269" operator="equal">
      <formula>0</formula>
    </cfRule>
  </conditionalFormatting>
  <conditionalFormatting sqref="AHJ37:AHJ38 AHJ33:AHJ35">
    <cfRule type="cellIs" dxfId="258" priority="268" operator="equal">
      <formula>0</formula>
    </cfRule>
  </conditionalFormatting>
  <conditionalFormatting sqref="AHJ36">
    <cfRule type="cellIs" dxfId="257" priority="267" operator="equal">
      <formula>0</formula>
    </cfRule>
  </conditionalFormatting>
  <conditionalFormatting sqref="AHJ56:AHJ58">
    <cfRule type="cellIs" dxfId="256" priority="266" operator="equal">
      <formula>0</formula>
    </cfRule>
  </conditionalFormatting>
  <conditionalFormatting sqref="AHJ61">
    <cfRule type="cellIs" dxfId="255" priority="265" operator="equal">
      <formula>0</formula>
    </cfRule>
  </conditionalFormatting>
  <conditionalFormatting sqref="AHK33">
    <cfRule type="cellIs" dxfId="254" priority="264" operator="equal">
      <formula>0</formula>
    </cfRule>
  </conditionalFormatting>
  <conditionalFormatting sqref="AHK56:AHK58">
    <cfRule type="cellIs" dxfId="253" priority="263" operator="equal">
      <formula>0</formula>
    </cfRule>
  </conditionalFormatting>
  <conditionalFormatting sqref="AHK61">
    <cfRule type="cellIs" dxfId="252" priority="262" operator="equal">
      <formula>0</formula>
    </cfRule>
  </conditionalFormatting>
  <conditionalFormatting sqref="AHL34">
    <cfRule type="cellIs" dxfId="251" priority="261" operator="equal">
      <formula>0</formula>
    </cfRule>
  </conditionalFormatting>
  <conditionalFormatting sqref="AHL33">
    <cfRule type="cellIs" dxfId="250" priority="260" operator="equal">
      <formula>0</formula>
    </cfRule>
  </conditionalFormatting>
  <conditionalFormatting sqref="AHL37:AHL38">
    <cfRule type="cellIs" dxfId="249" priority="259" operator="equal">
      <formula>0</formula>
    </cfRule>
  </conditionalFormatting>
  <conditionalFormatting sqref="AHL36">
    <cfRule type="cellIs" dxfId="248" priority="258" operator="equal">
      <formula>0</formula>
    </cfRule>
  </conditionalFormatting>
  <conditionalFormatting sqref="AHL56:AHL58">
    <cfRule type="cellIs" dxfId="247" priority="257" operator="equal">
      <formula>0</formula>
    </cfRule>
  </conditionalFormatting>
  <conditionalFormatting sqref="AHL61">
    <cfRule type="cellIs" dxfId="246" priority="256" operator="equal">
      <formula>0</formula>
    </cfRule>
  </conditionalFormatting>
  <conditionalFormatting sqref="AHM37:AHM38">
    <cfRule type="cellIs" dxfId="245" priority="255" operator="equal">
      <formula>0</formula>
    </cfRule>
  </conditionalFormatting>
  <conditionalFormatting sqref="AHM56:AHM58">
    <cfRule type="cellIs" dxfId="244" priority="254" operator="equal">
      <formula>0</formula>
    </cfRule>
  </conditionalFormatting>
  <conditionalFormatting sqref="AHM61">
    <cfRule type="cellIs" dxfId="243" priority="253" operator="equal">
      <formula>0</formula>
    </cfRule>
  </conditionalFormatting>
  <conditionalFormatting sqref="AHN37:AHN38">
    <cfRule type="cellIs" dxfId="242" priority="252" operator="equal">
      <formula>0</formula>
    </cfRule>
  </conditionalFormatting>
  <conditionalFormatting sqref="AHN56:AHN58">
    <cfRule type="cellIs" dxfId="241" priority="251" operator="equal">
      <formula>0</formula>
    </cfRule>
  </conditionalFormatting>
  <conditionalFormatting sqref="AHN61">
    <cfRule type="cellIs" dxfId="240" priority="250" operator="equal">
      <formula>0</formula>
    </cfRule>
  </conditionalFormatting>
  <conditionalFormatting sqref="AHO36">
    <cfRule type="cellIs" dxfId="239" priority="249" operator="equal">
      <formula>0</formula>
    </cfRule>
  </conditionalFormatting>
  <conditionalFormatting sqref="AHO37:AHO38">
    <cfRule type="cellIs" dxfId="238" priority="248" operator="equal">
      <formula>0</formula>
    </cfRule>
  </conditionalFormatting>
  <conditionalFormatting sqref="AHO59:AHO60">
    <cfRule type="cellIs" dxfId="237" priority="247" operator="equal">
      <formula>0</formula>
    </cfRule>
  </conditionalFormatting>
  <conditionalFormatting sqref="AHO56:AHO58">
    <cfRule type="cellIs" dxfId="236" priority="246" operator="equal">
      <formula>0</formula>
    </cfRule>
  </conditionalFormatting>
  <conditionalFormatting sqref="AHO61">
    <cfRule type="cellIs" dxfId="235" priority="245" operator="equal">
      <formula>0</formula>
    </cfRule>
  </conditionalFormatting>
  <conditionalFormatting sqref="AHP56:AHP58">
    <cfRule type="cellIs" dxfId="234" priority="244" operator="equal">
      <formula>0</formula>
    </cfRule>
  </conditionalFormatting>
  <conditionalFormatting sqref="AHP61">
    <cfRule type="cellIs" dxfId="233" priority="243" operator="equal">
      <formula>0</formula>
    </cfRule>
  </conditionalFormatting>
  <conditionalFormatting sqref="AHQ32:AHQ34">
    <cfRule type="cellIs" dxfId="232" priority="242" operator="equal">
      <formula>0</formula>
    </cfRule>
  </conditionalFormatting>
  <conditionalFormatting sqref="AHQ59:AHQ60 AHQ55">
    <cfRule type="cellIs" dxfId="231" priority="241" operator="equal">
      <formula>0</formula>
    </cfRule>
  </conditionalFormatting>
  <conditionalFormatting sqref="AHQ56:AHQ58">
    <cfRule type="cellIs" dxfId="230" priority="240" operator="equal">
      <formula>0</formula>
    </cfRule>
  </conditionalFormatting>
  <conditionalFormatting sqref="AHQ61">
    <cfRule type="cellIs" dxfId="229" priority="239" operator="equal">
      <formula>0</formula>
    </cfRule>
  </conditionalFormatting>
  <conditionalFormatting sqref="AHR59:AHR60">
    <cfRule type="cellIs" dxfId="228" priority="238" operator="equal">
      <formula>0</formula>
    </cfRule>
  </conditionalFormatting>
  <conditionalFormatting sqref="AHR56:AHR58">
    <cfRule type="cellIs" dxfId="227" priority="237" operator="equal">
      <formula>0</formula>
    </cfRule>
  </conditionalFormatting>
  <conditionalFormatting sqref="AHR61">
    <cfRule type="cellIs" dxfId="226" priority="236" operator="equal">
      <formula>0</formula>
    </cfRule>
  </conditionalFormatting>
  <conditionalFormatting sqref="AHS58">
    <cfRule type="cellIs" dxfId="225" priority="235" operator="equal">
      <formula>0</formula>
    </cfRule>
  </conditionalFormatting>
  <conditionalFormatting sqref="AHS61">
    <cfRule type="cellIs" dxfId="224" priority="234" operator="equal">
      <formula>0</formula>
    </cfRule>
  </conditionalFormatting>
  <conditionalFormatting sqref="AHS56:AHS57">
    <cfRule type="cellIs" dxfId="223" priority="233" operator="equal">
      <formula>0</formula>
    </cfRule>
  </conditionalFormatting>
  <conditionalFormatting sqref="AHT59:AHT60">
    <cfRule type="cellIs" dxfId="222" priority="232" operator="equal">
      <formula>0</formula>
    </cfRule>
  </conditionalFormatting>
  <conditionalFormatting sqref="AHT58">
    <cfRule type="cellIs" dxfId="221" priority="231" operator="equal">
      <formula>0</formula>
    </cfRule>
  </conditionalFormatting>
  <conditionalFormatting sqref="AHT61">
    <cfRule type="cellIs" dxfId="220" priority="230" operator="equal">
      <formula>0</formula>
    </cfRule>
  </conditionalFormatting>
  <conditionalFormatting sqref="AHT56:AHT57">
    <cfRule type="cellIs" dxfId="219" priority="229" operator="equal">
      <formula>0</formula>
    </cfRule>
  </conditionalFormatting>
  <conditionalFormatting sqref="AHU32:AHU35 AHU37:AHU38">
    <cfRule type="cellIs" dxfId="218" priority="228" operator="equal">
      <formula>0</formula>
    </cfRule>
  </conditionalFormatting>
  <conditionalFormatting sqref="AHU36">
    <cfRule type="cellIs" dxfId="217" priority="227" operator="equal">
      <formula>0</formula>
    </cfRule>
  </conditionalFormatting>
  <conditionalFormatting sqref="AHU59:AHU60">
    <cfRule type="cellIs" dxfId="216" priority="226" operator="equal">
      <formula>0</formula>
    </cfRule>
  </conditionalFormatting>
  <conditionalFormatting sqref="AHU58">
    <cfRule type="cellIs" dxfId="215" priority="225" operator="equal">
      <formula>0</formula>
    </cfRule>
  </conditionalFormatting>
  <conditionalFormatting sqref="AHU61">
    <cfRule type="cellIs" dxfId="214" priority="224" operator="equal">
      <formula>0</formula>
    </cfRule>
  </conditionalFormatting>
  <conditionalFormatting sqref="AHU56:AHU57">
    <cfRule type="cellIs" dxfId="213" priority="223" operator="equal">
      <formula>0</formula>
    </cfRule>
  </conditionalFormatting>
  <conditionalFormatting sqref="AHV32:AHV35 AHV37:AHV38">
    <cfRule type="cellIs" dxfId="212" priority="222" operator="equal">
      <formula>0</formula>
    </cfRule>
  </conditionalFormatting>
  <conditionalFormatting sqref="AHV36">
    <cfRule type="cellIs" dxfId="211" priority="221" operator="equal">
      <formula>0</formula>
    </cfRule>
  </conditionalFormatting>
  <conditionalFormatting sqref="AHV62">
    <cfRule type="cellIs" dxfId="210" priority="220" operator="equal">
      <formula>0</formula>
    </cfRule>
  </conditionalFormatting>
  <conditionalFormatting sqref="AHV59:AHV60">
    <cfRule type="cellIs" dxfId="209" priority="219" operator="equal">
      <formula>0</formula>
    </cfRule>
  </conditionalFormatting>
  <conditionalFormatting sqref="AHV58">
    <cfRule type="cellIs" dxfId="208" priority="218" operator="equal">
      <formula>0</formula>
    </cfRule>
  </conditionalFormatting>
  <conditionalFormatting sqref="AHV61">
    <cfRule type="cellIs" dxfId="207" priority="217" operator="equal">
      <formula>0</formula>
    </cfRule>
  </conditionalFormatting>
  <conditionalFormatting sqref="AHV56:AHV57">
    <cfRule type="cellIs" dxfId="206" priority="216" operator="equal">
      <formula>0</formula>
    </cfRule>
  </conditionalFormatting>
  <conditionalFormatting sqref="AHW59:AHW60">
    <cfRule type="cellIs" dxfId="205" priority="215" operator="equal">
      <formula>0</formula>
    </cfRule>
  </conditionalFormatting>
  <conditionalFormatting sqref="AHW58">
    <cfRule type="cellIs" dxfId="204" priority="214" operator="equal">
      <formula>0</formula>
    </cfRule>
  </conditionalFormatting>
  <conditionalFormatting sqref="AHW61">
    <cfRule type="cellIs" dxfId="203" priority="213" operator="equal">
      <formula>0</formula>
    </cfRule>
  </conditionalFormatting>
  <conditionalFormatting sqref="AHW56:AHW57">
    <cfRule type="cellIs" dxfId="202" priority="212" operator="equal">
      <formula>0</formula>
    </cfRule>
  </conditionalFormatting>
  <conditionalFormatting sqref="AHX59:AHX60">
    <cfRule type="cellIs" dxfId="201" priority="211" operator="equal">
      <formula>0</formula>
    </cfRule>
  </conditionalFormatting>
  <conditionalFormatting sqref="AHX58">
    <cfRule type="cellIs" dxfId="200" priority="210" operator="equal">
      <formula>0</formula>
    </cfRule>
  </conditionalFormatting>
  <conditionalFormatting sqref="AHX61">
    <cfRule type="cellIs" dxfId="199" priority="209" operator="equal">
      <formula>0</formula>
    </cfRule>
  </conditionalFormatting>
  <conditionalFormatting sqref="AHX56:AHX57">
    <cfRule type="cellIs" dxfId="198" priority="208" operator="equal">
      <formula>0</formula>
    </cfRule>
  </conditionalFormatting>
  <conditionalFormatting sqref="B58">
    <cfRule type="cellIs" dxfId="197" priority="207" operator="equal">
      <formula>0</formula>
    </cfRule>
  </conditionalFormatting>
  <conditionalFormatting sqref="AHY59:AHY60">
    <cfRule type="cellIs" dxfId="196" priority="206" operator="equal">
      <formula>0</formula>
    </cfRule>
  </conditionalFormatting>
  <conditionalFormatting sqref="AHY58">
    <cfRule type="cellIs" dxfId="195" priority="205" operator="equal">
      <formula>0</formula>
    </cfRule>
  </conditionalFormatting>
  <conditionalFormatting sqref="AHY61">
    <cfRule type="cellIs" dxfId="194" priority="204" operator="equal">
      <formula>0</formula>
    </cfRule>
  </conditionalFormatting>
  <conditionalFormatting sqref="AHY56:AHY57">
    <cfRule type="cellIs" dxfId="193" priority="203" operator="equal">
      <formula>0</formula>
    </cfRule>
  </conditionalFormatting>
  <conditionalFormatting sqref="AHZ37:AHZ55 AHZ1:AHZ35">
    <cfRule type="cellIs" dxfId="192" priority="202" operator="equal">
      <formula>0</formula>
    </cfRule>
  </conditionalFormatting>
  <conditionalFormatting sqref="AHZ36">
    <cfRule type="cellIs" dxfId="191" priority="201" operator="equal">
      <formula>0</formula>
    </cfRule>
  </conditionalFormatting>
  <conditionalFormatting sqref="AHZ59:AHZ60">
    <cfRule type="cellIs" dxfId="190" priority="200" operator="equal">
      <formula>0</formula>
    </cfRule>
  </conditionalFormatting>
  <conditionalFormatting sqref="AHZ58">
    <cfRule type="cellIs" dxfId="189" priority="199" operator="equal">
      <formula>0</formula>
    </cfRule>
  </conditionalFormatting>
  <conditionalFormatting sqref="AHZ61">
    <cfRule type="cellIs" dxfId="188" priority="198" operator="equal">
      <formula>0</formula>
    </cfRule>
  </conditionalFormatting>
  <conditionalFormatting sqref="AHZ56:AHZ57">
    <cfRule type="cellIs" dxfId="187" priority="197" operator="equal">
      <formula>0</formula>
    </cfRule>
  </conditionalFormatting>
  <conditionalFormatting sqref="AIA58">
    <cfRule type="cellIs" dxfId="186" priority="196" operator="equal">
      <formula>0</formula>
    </cfRule>
  </conditionalFormatting>
  <conditionalFormatting sqref="AIA56:AIA57">
    <cfRule type="cellIs" dxfId="185" priority="195" operator="equal">
      <formula>0</formula>
    </cfRule>
  </conditionalFormatting>
  <conditionalFormatting sqref="AIA61">
    <cfRule type="cellIs" dxfId="184" priority="194" operator="equal">
      <formula>0</formula>
    </cfRule>
  </conditionalFormatting>
  <conditionalFormatting sqref="AIB58">
    <cfRule type="cellIs" dxfId="183" priority="193" operator="equal">
      <formula>0</formula>
    </cfRule>
  </conditionalFormatting>
  <conditionalFormatting sqref="AIB56:AIB57">
    <cfRule type="cellIs" dxfId="182" priority="192" operator="equal">
      <formula>0</formula>
    </cfRule>
  </conditionalFormatting>
  <conditionalFormatting sqref="AIB61">
    <cfRule type="cellIs" dxfId="181" priority="191" operator="equal">
      <formula>0</formula>
    </cfRule>
  </conditionalFormatting>
  <conditionalFormatting sqref="AIC37:AIC55 AIC59:AIC60 AIC2:AIC35">
    <cfRule type="cellIs" dxfId="180" priority="190" operator="equal">
      <formula>0</formula>
    </cfRule>
  </conditionalFormatting>
  <conditionalFormatting sqref="AIC36">
    <cfRule type="cellIs" dxfId="179" priority="189" operator="equal">
      <formula>0</formula>
    </cfRule>
  </conditionalFormatting>
  <conditionalFormatting sqref="AIC58">
    <cfRule type="cellIs" dxfId="178" priority="188" operator="equal">
      <formula>0</formula>
    </cfRule>
  </conditionalFormatting>
  <conditionalFormatting sqref="AIC56:AIC57">
    <cfRule type="cellIs" dxfId="177" priority="187" operator="equal">
      <formula>0</formula>
    </cfRule>
  </conditionalFormatting>
  <conditionalFormatting sqref="AIC61">
    <cfRule type="cellIs" dxfId="176" priority="186" operator="equal">
      <formula>0</formula>
    </cfRule>
  </conditionalFormatting>
  <conditionalFormatting sqref="AID58">
    <cfRule type="cellIs" dxfId="175" priority="185" operator="equal">
      <formula>0</formula>
    </cfRule>
  </conditionalFormatting>
  <conditionalFormatting sqref="AID56:AID57">
    <cfRule type="cellIs" dxfId="174" priority="184" operator="equal">
      <formula>0</formula>
    </cfRule>
  </conditionalFormatting>
  <conditionalFormatting sqref="AID50">
    <cfRule type="cellIs" dxfId="173" priority="183" operator="equal">
      <formula>0</formula>
    </cfRule>
  </conditionalFormatting>
  <conditionalFormatting sqref="AID52">
    <cfRule type="cellIs" dxfId="172" priority="182" operator="equal">
      <formula>0</formula>
    </cfRule>
  </conditionalFormatting>
  <conditionalFormatting sqref="AID61">
    <cfRule type="cellIs" dxfId="171" priority="181" operator="equal">
      <formula>0</formula>
    </cfRule>
  </conditionalFormatting>
  <conditionalFormatting sqref="AIE51">
    <cfRule type="cellIs" dxfId="170" priority="180" operator="equal">
      <formula>0</formula>
    </cfRule>
  </conditionalFormatting>
  <conditionalFormatting sqref="AIE50">
    <cfRule type="cellIs" dxfId="169" priority="179" operator="equal">
      <formula>0</formula>
    </cfRule>
  </conditionalFormatting>
  <conditionalFormatting sqref="AIE52">
    <cfRule type="cellIs" dxfId="168" priority="178" operator="equal">
      <formula>0</formula>
    </cfRule>
  </conditionalFormatting>
  <conditionalFormatting sqref="AIE58">
    <cfRule type="cellIs" dxfId="167" priority="177" operator="equal">
      <formula>0</formula>
    </cfRule>
  </conditionalFormatting>
  <conditionalFormatting sqref="AIE61">
    <cfRule type="cellIs" dxfId="166" priority="176" operator="equal">
      <formula>0</formula>
    </cfRule>
  </conditionalFormatting>
  <conditionalFormatting sqref="AIF50">
    <cfRule type="cellIs" dxfId="165" priority="175" operator="equal">
      <formula>0</formula>
    </cfRule>
  </conditionalFormatting>
  <conditionalFormatting sqref="AIF52:AIX52">
    <cfRule type="cellIs" dxfId="164" priority="174" operator="equal">
      <formula>0</formula>
    </cfRule>
  </conditionalFormatting>
  <conditionalFormatting sqref="AIF56:AIF57">
    <cfRule type="cellIs" dxfId="163" priority="173" operator="equal">
      <formula>0</formula>
    </cfRule>
  </conditionalFormatting>
  <conditionalFormatting sqref="AIF58:AIX58">
    <cfRule type="cellIs" dxfId="162" priority="172" operator="equal">
      <formula>0</formula>
    </cfRule>
  </conditionalFormatting>
  <conditionalFormatting sqref="AIF61:AIX61">
    <cfRule type="cellIs" dxfId="161" priority="171" operator="equal">
      <formula>0</formula>
    </cfRule>
  </conditionalFormatting>
  <conditionalFormatting sqref="AIY58:AKR58">
    <cfRule type="cellIs" dxfId="160" priority="170" operator="equal">
      <formula>0</formula>
    </cfRule>
  </conditionalFormatting>
  <conditionalFormatting sqref="AIY61:AKR61">
    <cfRule type="cellIs" dxfId="159" priority="169" operator="equal">
      <formula>0</formula>
    </cfRule>
  </conditionalFormatting>
  <conditionalFormatting sqref="B51">
    <cfRule type="cellIs" dxfId="158" priority="168" operator="equal">
      <formula>0</formula>
    </cfRule>
  </conditionalFormatting>
  <conditionalFormatting sqref="AKS56:ALF57">
    <cfRule type="cellIs" dxfId="157" priority="167" operator="equal">
      <formula>0</formula>
    </cfRule>
  </conditionalFormatting>
  <conditionalFormatting sqref="AKS58:ALF58">
    <cfRule type="cellIs" dxfId="156" priority="166" operator="equal">
      <formula>0</formula>
    </cfRule>
  </conditionalFormatting>
  <conditionalFormatting sqref="AKS61:ALF61">
    <cfRule type="cellIs" dxfId="155" priority="165" operator="equal">
      <formula>0</formula>
    </cfRule>
  </conditionalFormatting>
  <conditionalFormatting sqref="B42">
    <cfRule type="cellIs" dxfId="154" priority="164" operator="equal">
      <formula>0</formula>
    </cfRule>
  </conditionalFormatting>
  <conditionalFormatting sqref="ALG59:ALG60 ALG1:ALG35 ALG37:ALG55 ALH33 ALH42:ALH43 ALH37:ALR38 ALI43:ALR43">
    <cfRule type="cellIs" dxfId="153" priority="163" operator="equal">
      <formula>0</formula>
    </cfRule>
  </conditionalFormatting>
  <conditionalFormatting sqref="ALG36">
    <cfRule type="cellIs" dxfId="152" priority="162" operator="equal">
      <formula>0</formula>
    </cfRule>
  </conditionalFormatting>
  <conditionalFormatting sqref="ALG56:ALR57">
    <cfRule type="cellIs" dxfId="151" priority="161" operator="equal">
      <formula>0</formula>
    </cfRule>
  </conditionalFormatting>
  <conditionalFormatting sqref="ALG58:ALR58">
    <cfRule type="cellIs" dxfId="150" priority="160" operator="equal">
      <formula>0</formula>
    </cfRule>
  </conditionalFormatting>
  <conditionalFormatting sqref="ALG61:ALR61">
    <cfRule type="cellIs" dxfId="149" priority="159" operator="equal">
      <formula>0</formula>
    </cfRule>
  </conditionalFormatting>
  <conditionalFormatting sqref="ALS56:AMM57">
    <cfRule type="cellIs" dxfId="148" priority="155" operator="equal">
      <formula>0</formula>
    </cfRule>
  </conditionalFormatting>
  <conditionalFormatting sqref="ALS61:AOI61">
    <cfRule type="cellIs" dxfId="147" priority="154" operator="equal">
      <formula>0</formula>
    </cfRule>
  </conditionalFormatting>
  <conditionalFormatting sqref="ALS32:ALS35 ALT32:ALV34 ALW32:ALW33 ALX32">
    <cfRule type="cellIs" dxfId="146" priority="153" operator="equal">
      <formula>0</formula>
    </cfRule>
  </conditionalFormatting>
  <conditionalFormatting sqref="ALS36:AMC36">
    <cfRule type="cellIs" dxfId="145" priority="152" operator="equal">
      <formula>0</formula>
    </cfRule>
  </conditionalFormatting>
  <conditionalFormatting sqref="ALS37:AMC38">
    <cfRule type="cellIs" dxfId="144" priority="151" operator="equal">
      <formula>0</formula>
    </cfRule>
  </conditionalFormatting>
  <conditionalFormatting sqref="AOJ32:AOL34 AOJ37:AOU38">
    <cfRule type="cellIs" dxfId="143" priority="150" operator="equal">
      <formula>0</formula>
    </cfRule>
  </conditionalFormatting>
  <conditionalFormatting sqref="AOJ36">
    <cfRule type="cellIs" dxfId="142" priority="149" operator="equal">
      <formula>0</formula>
    </cfRule>
  </conditionalFormatting>
  <conditionalFormatting sqref="AOJ61:AOU61">
    <cfRule type="cellIs" dxfId="141" priority="148" operator="equal">
      <formula>0</formula>
    </cfRule>
  </conditionalFormatting>
  <conditionalFormatting sqref="AOV36:APA36">
    <cfRule type="cellIs" dxfId="140" priority="147" operator="equal">
      <formula>0</formula>
    </cfRule>
  </conditionalFormatting>
  <conditionalFormatting sqref="AOV37:AOV38">
    <cfRule type="cellIs" dxfId="139" priority="146" operator="equal">
      <formula>0</formula>
    </cfRule>
  </conditionalFormatting>
  <conditionalFormatting sqref="AOV61:APN61">
    <cfRule type="cellIs" dxfId="138" priority="145" operator="equal">
      <formula>0</formula>
    </cfRule>
  </conditionalFormatting>
  <conditionalFormatting sqref="APO37:AQI38">
    <cfRule type="cellIs" dxfId="137" priority="144" operator="equal">
      <formula>0</formula>
    </cfRule>
  </conditionalFormatting>
  <conditionalFormatting sqref="APO36:APV36">
    <cfRule type="cellIs" dxfId="136" priority="143" operator="equal">
      <formula>0</formula>
    </cfRule>
  </conditionalFormatting>
  <conditionalFormatting sqref="APO61:AQI61">
    <cfRule type="cellIs" dxfId="135" priority="142" operator="equal">
      <formula>0</formula>
    </cfRule>
  </conditionalFormatting>
  <conditionalFormatting sqref="AQJ32:AQJ35">
    <cfRule type="cellIs" dxfId="134" priority="138" operator="equal">
      <formula>0</formula>
    </cfRule>
  </conditionalFormatting>
  <conditionalFormatting sqref="AQJ36">
    <cfRule type="cellIs" dxfId="133" priority="137" operator="equal">
      <formula>0</formula>
    </cfRule>
  </conditionalFormatting>
  <conditionalFormatting sqref="AQJ37:AQJ38">
    <cfRule type="cellIs" dxfId="132" priority="136" operator="equal">
      <formula>0</formula>
    </cfRule>
  </conditionalFormatting>
  <conditionalFormatting sqref="AQJ61">
    <cfRule type="cellIs" dxfId="131" priority="135" operator="equal">
      <formula>0</formula>
    </cfRule>
  </conditionalFormatting>
  <conditionalFormatting sqref="AQK32:AQK35">
    <cfRule type="cellIs" dxfId="130" priority="134" operator="equal">
      <formula>0</formula>
    </cfRule>
  </conditionalFormatting>
  <conditionalFormatting sqref="AQK36">
    <cfRule type="cellIs" dxfId="129" priority="133" operator="equal">
      <formula>0</formula>
    </cfRule>
  </conditionalFormatting>
  <conditionalFormatting sqref="AQK37:AQK38">
    <cfRule type="cellIs" dxfId="128" priority="132" operator="equal">
      <formula>0</formula>
    </cfRule>
  </conditionalFormatting>
  <conditionalFormatting sqref="AQK61">
    <cfRule type="cellIs" dxfId="127" priority="131" operator="equal">
      <formula>0</formula>
    </cfRule>
  </conditionalFormatting>
  <conditionalFormatting sqref="AQL32:AQL35">
    <cfRule type="cellIs" dxfId="126" priority="130" operator="equal">
      <formula>0</formula>
    </cfRule>
  </conditionalFormatting>
  <conditionalFormatting sqref="AQL36">
    <cfRule type="cellIs" dxfId="125" priority="129" operator="equal">
      <formula>0</formula>
    </cfRule>
  </conditionalFormatting>
  <conditionalFormatting sqref="AQL37:AQL38">
    <cfRule type="cellIs" dxfId="124" priority="128" operator="equal">
      <formula>0</formula>
    </cfRule>
  </conditionalFormatting>
  <conditionalFormatting sqref="AQL61">
    <cfRule type="cellIs" dxfId="123" priority="127" operator="equal">
      <formula>0</formula>
    </cfRule>
  </conditionalFormatting>
  <conditionalFormatting sqref="AQM62:AQM64 AQM1:AQM31 AQM39:AQM60 AQN2 AQN58">
    <cfRule type="cellIs" dxfId="122" priority="126" operator="equal">
      <formula>0</formula>
    </cfRule>
  </conditionalFormatting>
  <conditionalFormatting sqref="AQM32:AQM35">
    <cfRule type="cellIs" dxfId="121" priority="125" operator="equal">
      <formula>0</formula>
    </cfRule>
  </conditionalFormatting>
  <conditionalFormatting sqref="AQM36">
    <cfRule type="cellIs" dxfId="120" priority="124" operator="equal">
      <formula>0</formula>
    </cfRule>
  </conditionalFormatting>
  <conditionalFormatting sqref="AQM37:AQM38">
    <cfRule type="cellIs" dxfId="119" priority="123" operator="equal">
      <formula>0</formula>
    </cfRule>
  </conditionalFormatting>
  <conditionalFormatting sqref="AQM61:AQN61">
    <cfRule type="cellIs" dxfId="118" priority="122" operator="equal">
      <formula>0</formula>
    </cfRule>
  </conditionalFormatting>
  <conditionalFormatting sqref="AQN32:AQN35">
    <cfRule type="cellIs" dxfId="117" priority="121" operator="equal">
      <formula>0</formula>
    </cfRule>
  </conditionalFormatting>
  <conditionalFormatting sqref="AQN36:AQS36">
    <cfRule type="cellIs" dxfId="116" priority="120" operator="equal">
      <formula>0</formula>
    </cfRule>
  </conditionalFormatting>
  <conditionalFormatting sqref="AQN37:AQN38">
    <cfRule type="cellIs" dxfId="115" priority="119" operator="equal">
      <formula>0</formula>
    </cfRule>
  </conditionalFormatting>
  <conditionalFormatting sqref="AQN55:AQN57">
    <cfRule type="cellIs" dxfId="114" priority="118" operator="equal">
      <formula>0</formula>
    </cfRule>
  </conditionalFormatting>
  <conditionalFormatting sqref="AQO32:AQO35">
    <cfRule type="cellIs" dxfId="113" priority="117" operator="equal">
      <formula>0</formula>
    </cfRule>
  </conditionalFormatting>
  <conditionalFormatting sqref="AQO37:AQO38">
    <cfRule type="cellIs" dxfId="112" priority="115" operator="equal">
      <formula>0</formula>
    </cfRule>
  </conditionalFormatting>
  <conditionalFormatting sqref="AQO58">
    <cfRule type="cellIs" dxfId="111" priority="114" operator="equal">
      <formula>0</formula>
    </cfRule>
  </conditionalFormatting>
  <conditionalFormatting sqref="AQO55:AQO57">
    <cfRule type="cellIs" dxfId="110" priority="113" operator="equal">
      <formula>0</formula>
    </cfRule>
  </conditionalFormatting>
  <conditionalFormatting sqref="AQO61">
    <cfRule type="cellIs" dxfId="109" priority="112" operator="equal">
      <formula>0</formula>
    </cfRule>
  </conditionalFormatting>
  <conditionalFormatting sqref="AQP32:AQP35">
    <cfRule type="cellIs" dxfId="108" priority="111" operator="equal">
      <formula>0</formula>
    </cfRule>
  </conditionalFormatting>
  <conditionalFormatting sqref="AQP37:AQP38">
    <cfRule type="cellIs" dxfId="107" priority="109" operator="equal">
      <formula>0</formula>
    </cfRule>
  </conditionalFormatting>
  <conditionalFormatting sqref="AQP58">
    <cfRule type="cellIs" dxfId="106" priority="108" operator="equal">
      <formula>0</formula>
    </cfRule>
  </conditionalFormatting>
  <conditionalFormatting sqref="AQP55:AQP57">
    <cfRule type="cellIs" dxfId="105" priority="107" operator="equal">
      <formula>0</formula>
    </cfRule>
  </conditionalFormatting>
  <conditionalFormatting sqref="AQP61">
    <cfRule type="cellIs" dxfId="104" priority="106" operator="equal">
      <formula>0</formula>
    </cfRule>
  </conditionalFormatting>
  <conditionalFormatting sqref="AQQ32:AQQ34 AQR32">
    <cfRule type="cellIs" dxfId="103" priority="105" operator="equal">
      <formula>0</formula>
    </cfRule>
  </conditionalFormatting>
  <conditionalFormatting sqref="AQT36">
    <cfRule type="cellIs" dxfId="102" priority="104" operator="equal">
      <formula>0</formula>
    </cfRule>
  </conditionalFormatting>
  <conditionalFormatting sqref="AQQ37:AQQ38">
    <cfRule type="cellIs" dxfId="101" priority="103" operator="equal">
      <formula>0</formula>
    </cfRule>
  </conditionalFormatting>
  <conditionalFormatting sqref="AQQ58">
    <cfRule type="cellIs" dxfId="100" priority="102" operator="equal">
      <formula>0</formula>
    </cfRule>
  </conditionalFormatting>
  <conditionalFormatting sqref="AQQ55:AQQ57">
    <cfRule type="cellIs" dxfId="99" priority="101" operator="equal">
      <formula>0</formula>
    </cfRule>
  </conditionalFormatting>
  <conditionalFormatting sqref="AQQ61">
    <cfRule type="cellIs" dxfId="98" priority="100" operator="equal">
      <formula>0</formula>
    </cfRule>
  </conditionalFormatting>
  <conditionalFormatting sqref="AQQ35">
    <cfRule type="cellIs" dxfId="97" priority="99" operator="equal">
      <formula>0</formula>
    </cfRule>
  </conditionalFormatting>
  <conditionalFormatting sqref="AQR39">
    <cfRule type="cellIs" dxfId="96" priority="98" operator="equal">
      <formula>0</formula>
    </cfRule>
  </conditionalFormatting>
  <conditionalFormatting sqref="AQR33:AQR34">
    <cfRule type="cellIs" dxfId="95" priority="97" operator="equal">
      <formula>0</formula>
    </cfRule>
  </conditionalFormatting>
  <conditionalFormatting sqref="AQR37:AQR38">
    <cfRule type="cellIs" dxfId="94" priority="95" operator="equal">
      <formula>0</formula>
    </cfRule>
  </conditionalFormatting>
  <conditionalFormatting sqref="AQR35">
    <cfRule type="cellIs" dxfId="93" priority="94" operator="equal">
      <formula>0</formula>
    </cfRule>
  </conditionalFormatting>
  <conditionalFormatting sqref="AQR58">
    <cfRule type="cellIs" dxfId="92" priority="93" operator="equal">
      <formula>0</formula>
    </cfRule>
  </conditionalFormatting>
  <conditionalFormatting sqref="AQR55:AQR57">
    <cfRule type="cellIs" dxfId="91" priority="92" operator="equal">
      <formula>0</formula>
    </cfRule>
  </conditionalFormatting>
  <conditionalFormatting sqref="AQR61">
    <cfRule type="cellIs" dxfId="90" priority="91" operator="equal">
      <formula>0</formula>
    </cfRule>
  </conditionalFormatting>
  <conditionalFormatting sqref="AQS2:AQS31">
    <cfRule type="cellIs" dxfId="89" priority="90" operator="equal">
      <formula>0</formula>
    </cfRule>
  </conditionalFormatting>
  <conditionalFormatting sqref="AQS32:AQS34 AQT33:ASO33">
    <cfRule type="cellIs" dxfId="88" priority="89" operator="equal">
      <formula>0</formula>
    </cfRule>
  </conditionalFormatting>
  <conditionalFormatting sqref="AQS37:ARP38">
    <cfRule type="cellIs" dxfId="87" priority="87" operator="equal">
      <formula>0</formula>
    </cfRule>
  </conditionalFormatting>
  <conditionalFormatting sqref="AQS35">
    <cfRule type="cellIs" dxfId="86" priority="86" operator="equal">
      <formula>0</formula>
    </cfRule>
  </conditionalFormatting>
  <conditionalFormatting sqref="AQS59:AQS60 AQS62">
    <cfRule type="cellIs" dxfId="85" priority="85" operator="equal">
      <formula>0</formula>
    </cfRule>
  </conditionalFormatting>
  <conditionalFormatting sqref="AQS58:AWS58">
    <cfRule type="cellIs" dxfId="84" priority="84" operator="equal">
      <formula>0</formula>
    </cfRule>
  </conditionalFormatting>
  <conditionalFormatting sqref="AQS55:ARP57 ARQ55:AXT55">
    <cfRule type="cellIs" dxfId="83" priority="83" operator="equal">
      <formula>0</formula>
    </cfRule>
  </conditionalFormatting>
  <conditionalFormatting sqref="AQS61:AXT61">
    <cfRule type="cellIs" dxfId="82" priority="82" operator="equal">
      <formula>0</formula>
    </cfRule>
  </conditionalFormatting>
  <conditionalFormatting sqref="AWT58:AXT58">
    <cfRule type="cellIs" dxfId="81" priority="81" operator="equal">
      <formula>0</formula>
    </cfRule>
  </conditionalFormatting>
  <conditionalFormatting sqref="B46">
    <cfRule type="cellIs" dxfId="80" priority="80" operator="equal">
      <formula>0</formula>
    </cfRule>
  </conditionalFormatting>
  <conditionalFormatting sqref="AXU58">
    <cfRule type="cellIs" dxfId="79" priority="79" operator="equal">
      <formula>0</formula>
    </cfRule>
  </conditionalFormatting>
  <conditionalFormatting sqref="AXU61">
    <cfRule type="cellIs" dxfId="78" priority="78" operator="equal">
      <formula>0</formula>
    </cfRule>
  </conditionalFormatting>
  <conditionalFormatting sqref="AXV57">
    <cfRule type="cellIs" dxfId="77" priority="77" operator="equal">
      <formula>0</formula>
    </cfRule>
  </conditionalFormatting>
  <conditionalFormatting sqref="AXV58">
    <cfRule type="cellIs" dxfId="76" priority="76" operator="equal">
      <formula>0</formula>
    </cfRule>
  </conditionalFormatting>
  <conditionalFormatting sqref="AXV61">
    <cfRule type="cellIs" dxfId="75" priority="75" operator="equal">
      <formula>0</formula>
    </cfRule>
  </conditionalFormatting>
  <conditionalFormatting sqref="AXW37:AXW38 AXW32:AXW35">
    <cfRule type="cellIs" dxfId="74" priority="74" operator="equal">
      <formula>0</formula>
    </cfRule>
  </conditionalFormatting>
  <conditionalFormatting sqref="AXW36">
    <cfRule type="cellIs" dxfId="73" priority="73" operator="equal">
      <formula>0</formula>
    </cfRule>
  </conditionalFormatting>
  <conditionalFormatting sqref="AXW57">
    <cfRule type="cellIs" dxfId="72" priority="72" operator="equal">
      <formula>0</formula>
    </cfRule>
  </conditionalFormatting>
  <conditionalFormatting sqref="AXW58">
    <cfRule type="cellIs" dxfId="71" priority="71" operator="equal">
      <formula>0</formula>
    </cfRule>
  </conditionalFormatting>
  <conditionalFormatting sqref="AXW61">
    <cfRule type="cellIs" dxfId="70" priority="70" operator="equal">
      <formula>0</formula>
    </cfRule>
  </conditionalFormatting>
  <conditionalFormatting sqref="AXX37:AXX38 AXX32:AXX35">
    <cfRule type="cellIs" dxfId="69" priority="69" operator="equal">
      <formula>0</formula>
    </cfRule>
  </conditionalFormatting>
  <conditionalFormatting sqref="AXX36">
    <cfRule type="cellIs" dxfId="68" priority="68" operator="equal">
      <formula>0</formula>
    </cfRule>
  </conditionalFormatting>
  <conditionalFormatting sqref="AXX57">
    <cfRule type="cellIs" dxfId="67" priority="67" operator="equal">
      <formula>0</formula>
    </cfRule>
  </conditionalFormatting>
  <conditionalFormatting sqref="AXX58:AXY58">
    <cfRule type="cellIs" dxfId="66" priority="66" operator="equal">
      <formula>0</formula>
    </cfRule>
  </conditionalFormatting>
  <conditionalFormatting sqref="AXX61">
    <cfRule type="cellIs" dxfId="65" priority="65" operator="equal">
      <formula>0</formula>
    </cfRule>
  </conditionalFormatting>
  <conditionalFormatting sqref="AXY37:AXY38 AXY32:AXY35">
    <cfRule type="cellIs" dxfId="64" priority="64" operator="equal">
      <formula>0</formula>
    </cfRule>
  </conditionalFormatting>
  <conditionalFormatting sqref="AXY36">
    <cfRule type="cellIs" dxfId="63" priority="63" operator="equal">
      <formula>0</formula>
    </cfRule>
  </conditionalFormatting>
  <conditionalFormatting sqref="AXY57">
    <cfRule type="cellIs" dxfId="62" priority="62" operator="equal">
      <formula>0</formula>
    </cfRule>
  </conditionalFormatting>
  <conditionalFormatting sqref="AXY61:AYA61">
    <cfRule type="cellIs" dxfId="61" priority="61" operator="equal">
      <formula>0</formula>
    </cfRule>
  </conditionalFormatting>
  <conditionalFormatting sqref="AXZ58">
    <cfRule type="cellIs" dxfId="60" priority="60" operator="equal">
      <formula>0</formula>
    </cfRule>
  </conditionalFormatting>
  <conditionalFormatting sqref="AXZ57">
    <cfRule type="cellIs" dxfId="59" priority="59" operator="equal">
      <formula>0</formula>
    </cfRule>
  </conditionalFormatting>
  <conditionalFormatting sqref="AYA58">
    <cfRule type="cellIs" dxfId="58" priority="58" operator="equal">
      <formula>0</formula>
    </cfRule>
  </conditionalFormatting>
  <conditionalFormatting sqref="AYA57">
    <cfRule type="cellIs" dxfId="57" priority="57" operator="equal">
      <formula>0</formula>
    </cfRule>
  </conditionalFormatting>
  <conditionalFormatting sqref="AYB59:AYB60 AYB2:AYB35 AYB37:AYB56">
    <cfRule type="cellIs" dxfId="56" priority="56" operator="equal">
      <formula>0</formula>
    </cfRule>
  </conditionalFormatting>
  <conditionalFormatting sqref="AYB36">
    <cfRule type="cellIs" dxfId="55" priority="55" operator="equal">
      <formula>0</formula>
    </cfRule>
  </conditionalFormatting>
  <conditionalFormatting sqref="AYB61">
    <cfRule type="cellIs" dxfId="54" priority="54" operator="equal">
      <formula>0</formula>
    </cfRule>
  </conditionalFormatting>
  <conditionalFormatting sqref="AYB58">
    <cfRule type="cellIs" dxfId="53" priority="53" operator="equal">
      <formula>0</formula>
    </cfRule>
  </conditionalFormatting>
  <conditionalFormatting sqref="AYB57">
    <cfRule type="cellIs" dxfId="52" priority="52" operator="equal">
      <formula>0</formula>
    </cfRule>
  </conditionalFormatting>
  <conditionalFormatting sqref="AYC50:AYF51">
    <cfRule type="cellIs" dxfId="51" priority="51" operator="equal">
      <formula>0</formula>
    </cfRule>
  </conditionalFormatting>
  <conditionalFormatting sqref="AYC52:AYG52">
    <cfRule type="cellIs" dxfId="50" priority="50" operator="equal">
      <formula>0</formula>
    </cfRule>
  </conditionalFormatting>
  <conditionalFormatting sqref="AYC58:AYG58">
    <cfRule type="cellIs" dxfId="49" priority="49" operator="equal">
      <formula>0</formula>
    </cfRule>
  </conditionalFormatting>
  <conditionalFormatting sqref="AYC57:AYF57">
    <cfRule type="cellIs" dxfId="48" priority="48" operator="equal">
      <formula>0</formula>
    </cfRule>
  </conditionalFormatting>
  <conditionalFormatting sqref="AYC61:AYG61">
    <cfRule type="cellIs" dxfId="47" priority="47" operator="equal">
      <formula>0</formula>
    </cfRule>
  </conditionalFormatting>
  <conditionalFormatting sqref="AYC32:AYC35 AYC37:AYC38 AYD33:AYF34 AYD38:AYF38">
    <cfRule type="cellIs" dxfId="46" priority="46" operator="equal">
      <formula>0</formula>
    </cfRule>
  </conditionalFormatting>
  <conditionalFormatting sqref="AYC36">
    <cfRule type="cellIs" dxfId="45" priority="45" operator="equal">
      <formula>0</formula>
    </cfRule>
  </conditionalFormatting>
  <conditionalFormatting sqref="AYG50:AYG51">
    <cfRule type="cellIs" dxfId="44" priority="44" operator="equal">
      <formula>0</formula>
    </cfRule>
  </conditionalFormatting>
  <conditionalFormatting sqref="AYH50:AYH51">
    <cfRule type="cellIs" dxfId="43" priority="43" operator="equal">
      <formula>0</formula>
    </cfRule>
  </conditionalFormatting>
  <conditionalFormatting sqref="AYH58">
    <cfRule type="cellIs" dxfId="42" priority="42" operator="equal">
      <formula>0</formula>
    </cfRule>
  </conditionalFormatting>
  <conditionalFormatting sqref="AYH32:AYH35 AYH37:AYH38">
    <cfRule type="cellIs" dxfId="41" priority="40" operator="equal">
      <formula>0</formula>
    </cfRule>
  </conditionalFormatting>
  <conditionalFormatting sqref="AYH36">
    <cfRule type="cellIs" dxfId="40" priority="39" operator="equal">
      <formula>0</formula>
    </cfRule>
  </conditionalFormatting>
  <conditionalFormatting sqref="AYH52:AZC52">
    <cfRule type="cellIs" dxfId="39" priority="38" operator="equal">
      <formula>0</formula>
    </cfRule>
  </conditionalFormatting>
  <conditionalFormatting sqref="AYH61">
    <cfRule type="cellIs" dxfId="38" priority="37" operator="equal">
      <formula>0</formula>
    </cfRule>
  </conditionalFormatting>
  <conditionalFormatting sqref="AYI32:AYI35 AYI37:AYI38">
    <cfRule type="cellIs" dxfId="37" priority="36" operator="equal">
      <formula>0</formula>
    </cfRule>
  </conditionalFormatting>
  <conditionalFormatting sqref="AYI36">
    <cfRule type="cellIs" dxfId="36" priority="35" operator="equal">
      <formula>0</formula>
    </cfRule>
  </conditionalFormatting>
  <conditionalFormatting sqref="AYI50:AYI51">
    <cfRule type="cellIs" dxfId="35" priority="34" operator="equal">
      <formula>0</formula>
    </cfRule>
  </conditionalFormatting>
  <conditionalFormatting sqref="AYI58">
    <cfRule type="cellIs" dxfId="34" priority="33" operator="equal">
      <formula>0</formula>
    </cfRule>
  </conditionalFormatting>
  <conditionalFormatting sqref="AYI57">
    <cfRule type="cellIs" dxfId="33" priority="32" operator="equal">
      <formula>0</formula>
    </cfRule>
  </conditionalFormatting>
  <conditionalFormatting sqref="AYI61:AYR61">
    <cfRule type="cellIs" dxfId="32" priority="31" operator="equal">
      <formula>0</formula>
    </cfRule>
  </conditionalFormatting>
  <conditionalFormatting sqref="AYJ32:AYJ35 AYK32:AYL34 AYJ37:AYL38">
    <cfRule type="cellIs" dxfId="31" priority="30" operator="equal">
      <formula>0</formula>
    </cfRule>
  </conditionalFormatting>
  <conditionalFormatting sqref="AYJ36:AYL36">
    <cfRule type="cellIs" dxfId="30" priority="29" operator="equal">
      <formula>0</formula>
    </cfRule>
  </conditionalFormatting>
  <conditionalFormatting sqref="AYJ50:AYL51">
    <cfRule type="cellIs" dxfId="29" priority="28" operator="equal">
      <formula>0</formula>
    </cfRule>
  </conditionalFormatting>
  <conditionalFormatting sqref="AYJ58:AYL58">
    <cfRule type="cellIs" dxfId="28" priority="27" operator="equal">
      <formula>0</formula>
    </cfRule>
  </conditionalFormatting>
  <conditionalFormatting sqref="AYJ57">
    <cfRule type="cellIs" dxfId="27" priority="26" operator="equal">
      <formula>0</formula>
    </cfRule>
  </conditionalFormatting>
  <conditionalFormatting sqref="AYK57:AYL57">
    <cfRule type="cellIs" dxfId="26" priority="25" operator="equal">
      <formula>0</formula>
    </cfRule>
  </conditionalFormatting>
  <conditionalFormatting sqref="AYH57">
    <cfRule type="cellIs" dxfId="25" priority="24" operator="equal">
      <formula>0</formula>
    </cfRule>
  </conditionalFormatting>
  <conditionalFormatting sqref="AYG57">
    <cfRule type="cellIs" dxfId="24" priority="23" operator="equal">
      <formula>0</formula>
    </cfRule>
  </conditionalFormatting>
  <conditionalFormatting sqref="AYM50:AYR51">
    <cfRule type="cellIs" dxfId="23" priority="22" operator="equal">
      <formula>0</formula>
    </cfRule>
  </conditionalFormatting>
  <conditionalFormatting sqref="AYM58:AYR58">
    <cfRule type="cellIs" dxfId="22" priority="21" operator="equal">
      <formula>0</formula>
    </cfRule>
  </conditionalFormatting>
  <conditionalFormatting sqref="AYM57:AYR57">
    <cfRule type="cellIs" dxfId="21" priority="20" operator="equal">
      <formula>0</formula>
    </cfRule>
  </conditionalFormatting>
  <conditionalFormatting sqref="AYS50:AYV51">
    <cfRule type="cellIs" dxfId="20" priority="19" operator="equal">
      <formula>0</formula>
    </cfRule>
  </conditionalFormatting>
  <conditionalFormatting sqref="AYS58:AYV58">
    <cfRule type="cellIs" dxfId="19" priority="18" operator="equal">
      <formula>0</formula>
    </cfRule>
  </conditionalFormatting>
  <conditionalFormatting sqref="AYS57:AYV57">
    <cfRule type="cellIs" dxfId="18" priority="17" operator="equal">
      <formula>0</formula>
    </cfRule>
  </conditionalFormatting>
  <conditionalFormatting sqref="AYS61:AZC61">
    <cfRule type="cellIs" dxfId="17" priority="16" operator="equal">
      <formula>0</formula>
    </cfRule>
  </conditionalFormatting>
  <conditionalFormatting sqref="AYW50:AZC51">
    <cfRule type="cellIs" dxfId="16" priority="15" operator="equal">
      <formula>0</formula>
    </cfRule>
  </conditionalFormatting>
  <conditionalFormatting sqref="AYW58:AZC58">
    <cfRule type="cellIs" dxfId="15" priority="14" operator="equal">
      <formula>0</formula>
    </cfRule>
  </conditionalFormatting>
  <conditionalFormatting sqref="AYW57:AZC57">
    <cfRule type="cellIs" dxfId="14" priority="13" operator="equal">
      <formula>0</formula>
    </cfRule>
  </conditionalFormatting>
  <conditionalFormatting sqref="AZD2:AZD35 AZE32:AZH34 AZE2:AZM2 AZI32:AZM33 AZD37:AZS38 AZT37:BAA37 AZN33:BAJ33">
    <cfRule type="cellIs" dxfId="13" priority="12" operator="equal">
      <formula>0</formula>
    </cfRule>
  </conditionalFormatting>
  <conditionalFormatting sqref="AZD36:AZJ36">
    <cfRule type="cellIs" dxfId="12" priority="11" operator="equal">
      <formula>0</formula>
    </cfRule>
  </conditionalFormatting>
  <conditionalFormatting sqref="AZD50:BAO50">
    <cfRule type="cellIs" dxfId="11" priority="10" operator="equal">
      <formula>0</formula>
    </cfRule>
  </conditionalFormatting>
  <conditionalFormatting sqref="AZD52:BAQ52">
    <cfRule type="cellIs" dxfId="10" priority="9" operator="equal">
      <formula>0</formula>
    </cfRule>
  </conditionalFormatting>
  <conditionalFormatting sqref="AZD55:AZD56 AZE55:AZJ55">
    <cfRule type="cellIs" dxfId="9" priority="8" operator="equal">
      <formula>0</formula>
    </cfRule>
  </conditionalFormatting>
  <conditionalFormatting sqref="AZD58:BAO58">
    <cfRule type="cellIs" dxfId="8" priority="7" operator="equal">
      <formula>0</formula>
    </cfRule>
  </conditionalFormatting>
  <conditionalFormatting sqref="AZD57:AZL57">
    <cfRule type="cellIs" dxfId="7" priority="6" operator="equal">
      <formula>0</formula>
    </cfRule>
  </conditionalFormatting>
  <conditionalFormatting sqref="AZD61:BAP61">
    <cfRule type="cellIs" dxfId="6" priority="5" operator="equal">
      <formula>0</formula>
    </cfRule>
  </conditionalFormatting>
  <conditionalFormatting sqref="BAQ32:BAQ35 BAQ37:BAQ38">
    <cfRule type="cellIs" dxfId="5" priority="4" operator="equal">
      <formula>0</formula>
    </cfRule>
  </conditionalFormatting>
  <conditionalFormatting sqref="BAQ36">
    <cfRule type="cellIs" dxfId="4" priority="3" operator="equal">
      <formula>0</formula>
    </cfRule>
  </conditionalFormatting>
  <conditionalFormatting sqref="BAQ55:BAQ56">
    <cfRule type="cellIs" dxfId="3" priority="2" operator="equal">
      <formula>0</formula>
    </cfRule>
  </conditionalFormatting>
  <conditionalFormatting sqref="BAQ61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  <customProperties>
    <customPr name="EpmWorksheetKeyString_GUID" r:id="rId2"/>
    <customPr name="FPMExcelClientCellBasedFunctionStatus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7"/>
  <sheetViews>
    <sheetView showGridLines="0" zoomScale="90" zoomScaleNormal="90" workbookViewId="0">
      <pane xSplit="2" ySplit="2" topLeftCell="C3" activePane="bottomRight" state="frozen"/>
      <selection activeCell="QY32" activeCellId="1" sqref="QY44 QY32:QY33"/>
      <selection pane="topRight" activeCell="QY32" activeCellId="1" sqref="QY44 QY32:QY33"/>
      <selection pane="bottomLeft" activeCell="QY32" activeCellId="1" sqref="QY44 QY32:QY33"/>
      <selection pane="bottomRight" activeCell="C36" sqref="C36"/>
    </sheetView>
  </sheetViews>
  <sheetFormatPr defaultColWidth="9.140625" defaultRowHeight="12.75" outlineLevelCol="1" x14ac:dyDescent="0.2"/>
  <cols>
    <col min="1" max="1" width="14.7109375" style="187" customWidth="1"/>
    <col min="2" max="2" width="15.85546875" style="187" customWidth="1"/>
    <col min="3" max="3" width="20" style="187" customWidth="1"/>
    <col min="4" max="4" width="11.5703125" style="187" customWidth="1"/>
    <col min="5" max="52" width="10.7109375" style="270" hidden="1" customWidth="1" outlineLevel="1"/>
    <col min="53" max="53" width="15.28515625" style="187" customWidth="1" collapsed="1"/>
    <col min="54" max="54" width="9.85546875" style="187" customWidth="1"/>
    <col min="55" max="55" width="14.7109375" style="187" hidden="1" customWidth="1"/>
    <col min="56" max="56" width="19" style="187" hidden="1" customWidth="1"/>
    <col min="57" max="57" width="17.5703125" style="187" hidden="1" customWidth="1"/>
    <col min="58" max="61" width="20.42578125" style="187" hidden="1" customWidth="1"/>
    <col min="62" max="82" width="20.7109375" style="187" hidden="1" customWidth="1"/>
    <col min="83" max="85" width="16.140625" style="187" hidden="1" customWidth="1"/>
    <col min="86" max="86" width="27.85546875" style="187" hidden="1" customWidth="1"/>
    <col min="87" max="93" width="20.7109375" style="187" hidden="1" customWidth="1"/>
    <col min="94" max="95" width="14.5703125" style="187" hidden="1" customWidth="1"/>
    <col min="96" max="97" width="14.5703125" style="187" customWidth="1"/>
    <col min="98" max="99" width="16" style="187" customWidth="1"/>
    <col min="100" max="100" width="17.28515625" style="187" bestFit="1" customWidth="1"/>
    <col min="101" max="101" width="15.140625" style="187" bestFit="1" customWidth="1"/>
    <col min="102" max="102" width="10.7109375" style="285" customWidth="1"/>
    <col min="103" max="103" width="13" style="187" customWidth="1"/>
    <col min="104" max="16384" width="9.140625" style="187"/>
  </cols>
  <sheetData>
    <row r="1" spans="1:103" x14ac:dyDescent="0.2">
      <c r="A1" s="488" t="s">
        <v>94</v>
      </c>
      <c r="B1" s="488"/>
    </row>
    <row r="2" spans="1:103" ht="25.5" x14ac:dyDescent="0.2">
      <c r="A2" s="205" t="s">
        <v>93</v>
      </c>
      <c r="B2" s="205" t="s">
        <v>92</v>
      </c>
      <c r="C2" s="286" t="s">
        <v>85</v>
      </c>
      <c r="D2" s="286" t="s">
        <v>91</v>
      </c>
      <c r="E2" s="271">
        <v>43373</v>
      </c>
      <c r="F2" s="271">
        <v>43404</v>
      </c>
      <c r="G2" s="271">
        <v>43434</v>
      </c>
      <c r="H2" s="271">
        <v>43465</v>
      </c>
      <c r="I2" s="271">
        <v>43496</v>
      </c>
      <c r="J2" s="271">
        <v>43524</v>
      </c>
      <c r="K2" s="271">
        <v>43555</v>
      </c>
      <c r="L2" s="271">
        <v>43585</v>
      </c>
      <c r="M2" s="271">
        <v>43616</v>
      </c>
      <c r="N2" s="271">
        <v>43646</v>
      </c>
      <c r="O2" s="271">
        <v>43677</v>
      </c>
      <c r="P2" s="271">
        <v>43708</v>
      </c>
      <c r="Q2" s="271">
        <v>43738</v>
      </c>
      <c r="R2" s="271">
        <v>43769</v>
      </c>
      <c r="S2" s="271">
        <v>43799</v>
      </c>
      <c r="T2" s="271">
        <v>43829</v>
      </c>
      <c r="U2" s="271">
        <v>43861</v>
      </c>
      <c r="V2" s="271">
        <v>43890</v>
      </c>
      <c r="W2" s="271">
        <v>43921</v>
      </c>
      <c r="X2" s="271">
        <v>43951</v>
      </c>
      <c r="Y2" s="271">
        <v>43982</v>
      </c>
      <c r="Z2" s="271">
        <v>44012</v>
      </c>
      <c r="AA2" s="271">
        <v>44043</v>
      </c>
      <c r="AB2" s="271">
        <v>44074</v>
      </c>
      <c r="AC2" s="271">
        <v>44104</v>
      </c>
      <c r="AD2" s="271">
        <v>44135</v>
      </c>
      <c r="AE2" s="271">
        <v>44165</v>
      </c>
      <c r="AF2" s="271">
        <v>44196</v>
      </c>
      <c r="AG2" s="271">
        <v>44227</v>
      </c>
      <c r="AH2" s="271">
        <v>44255</v>
      </c>
      <c r="AI2" s="271">
        <v>44286</v>
      </c>
      <c r="AJ2" s="271">
        <v>44316</v>
      </c>
      <c r="AK2" s="271">
        <v>44347</v>
      </c>
      <c r="AL2" s="271">
        <v>44377</v>
      </c>
      <c r="AM2" s="271">
        <v>44408</v>
      </c>
      <c r="AN2" s="271">
        <v>44439</v>
      </c>
      <c r="AO2" s="271">
        <v>44469</v>
      </c>
      <c r="AP2" s="271">
        <v>44500</v>
      </c>
      <c r="AQ2" s="271">
        <v>44530</v>
      </c>
      <c r="AR2" s="271">
        <v>44561</v>
      </c>
      <c r="AS2" s="271">
        <v>44592</v>
      </c>
      <c r="AT2" s="271">
        <v>44620</v>
      </c>
      <c r="AU2" s="271">
        <v>44651</v>
      </c>
      <c r="AV2" s="271">
        <v>44681</v>
      </c>
      <c r="AW2" s="271">
        <v>44712</v>
      </c>
      <c r="AX2" s="271">
        <v>44742</v>
      </c>
      <c r="AY2" s="271">
        <v>44773</v>
      </c>
      <c r="AZ2" s="271">
        <v>44804</v>
      </c>
      <c r="BA2" s="205" t="s">
        <v>90</v>
      </c>
      <c r="BB2" s="286" t="s">
        <v>89</v>
      </c>
      <c r="BC2" s="206">
        <v>43404</v>
      </c>
      <c r="BD2" s="206">
        <v>43434</v>
      </c>
      <c r="BE2" s="206">
        <v>43435</v>
      </c>
      <c r="BF2" s="206">
        <v>43466</v>
      </c>
      <c r="BG2" s="206">
        <v>43497</v>
      </c>
      <c r="BH2" s="206">
        <v>43525</v>
      </c>
      <c r="BI2" s="206">
        <v>43556</v>
      </c>
      <c r="BJ2" s="206">
        <v>43586</v>
      </c>
      <c r="BK2" s="206">
        <v>43617</v>
      </c>
      <c r="BL2" s="206">
        <v>43647</v>
      </c>
      <c r="BM2" s="206">
        <v>43678</v>
      </c>
      <c r="BN2" s="206">
        <v>43709</v>
      </c>
      <c r="BO2" s="206">
        <v>43739</v>
      </c>
      <c r="BP2" s="206">
        <v>43770</v>
      </c>
      <c r="BQ2" s="206">
        <v>43800</v>
      </c>
      <c r="BR2" s="206">
        <v>43831</v>
      </c>
      <c r="BS2" s="206">
        <v>43862</v>
      </c>
      <c r="BT2" s="206">
        <v>43891</v>
      </c>
      <c r="BU2" s="206">
        <v>43922</v>
      </c>
      <c r="BV2" s="206">
        <v>43952</v>
      </c>
      <c r="BW2" s="206">
        <v>43983</v>
      </c>
      <c r="BX2" s="206">
        <v>44013</v>
      </c>
      <c r="BY2" s="206">
        <v>44044</v>
      </c>
      <c r="BZ2" s="206">
        <v>44075</v>
      </c>
      <c r="CA2" s="206">
        <v>44105</v>
      </c>
      <c r="CB2" s="206">
        <v>44136</v>
      </c>
      <c r="CC2" s="206">
        <v>44166</v>
      </c>
      <c r="CD2" s="206">
        <v>44044</v>
      </c>
      <c r="CE2" s="206">
        <v>44075</v>
      </c>
      <c r="CF2" s="206">
        <v>44105</v>
      </c>
      <c r="CG2" s="206">
        <v>44136</v>
      </c>
      <c r="CH2" s="206">
        <v>44166</v>
      </c>
      <c r="CI2" s="206">
        <v>44197</v>
      </c>
      <c r="CJ2" s="206">
        <v>44228</v>
      </c>
      <c r="CK2" s="206">
        <v>44256</v>
      </c>
      <c r="CL2" s="206">
        <v>44287</v>
      </c>
      <c r="CM2" s="206">
        <v>44317</v>
      </c>
      <c r="CN2" s="206">
        <v>44348</v>
      </c>
      <c r="CO2" s="206">
        <v>44378</v>
      </c>
      <c r="CP2" s="206">
        <v>44531</v>
      </c>
      <c r="CQ2" s="206">
        <v>44562</v>
      </c>
      <c r="CR2" s="206"/>
      <c r="CS2" s="206"/>
      <c r="CT2" s="206"/>
      <c r="CU2" s="206"/>
      <c r="CV2" s="205" t="s">
        <v>88</v>
      </c>
      <c r="CW2" s="204" t="s">
        <v>87</v>
      </c>
      <c r="CX2" s="287"/>
    </row>
    <row r="3" spans="1:103" ht="14.25" customHeight="1" x14ac:dyDescent="0.2">
      <c r="A3" s="187" t="s">
        <v>135</v>
      </c>
      <c r="B3" s="216"/>
      <c r="C3" s="425"/>
      <c r="D3" s="447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  <c r="AG3" s="290"/>
      <c r="AH3" s="290"/>
      <c r="AI3" s="290"/>
      <c r="AJ3" s="290"/>
      <c r="AK3" s="290"/>
      <c r="AL3" s="290"/>
      <c r="AM3" s="290"/>
      <c r="AN3" s="290"/>
      <c r="AO3" s="290"/>
      <c r="AP3" s="290"/>
      <c r="AQ3" s="290"/>
      <c r="AR3" s="290"/>
      <c r="AS3" s="290"/>
      <c r="AT3" s="290"/>
      <c r="AU3" s="290"/>
      <c r="AV3" s="290"/>
      <c r="AW3" s="290"/>
      <c r="AX3" s="290"/>
      <c r="AY3" s="290"/>
      <c r="AZ3" s="290"/>
      <c r="BA3" s="195"/>
      <c r="BB3" s="211"/>
      <c r="BC3" s="212"/>
      <c r="BD3" s="212"/>
      <c r="BE3" s="212"/>
      <c r="BF3" s="212"/>
      <c r="BG3" s="212"/>
      <c r="BH3" s="212"/>
      <c r="BI3" s="212"/>
      <c r="BJ3" s="212"/>
      <c r="BK3" s="212"/>
      <c r="BL3" s="212"/>
      <c r="BM3" s="212"/>
      <c r="BN3" s="212"/>
      <c r="BO3" s="212"/>
      <c r="BP3" s="212"/>
      <c r="BQ3" s="212"/>
      <c r="BR3" s="212"/>
      <c r="BS3" s="212"/>
      <c r="BT3" s="212"/>
      <c r="BU3" s="212"/>
      <c r="BV3" s="212"/>
      <c r="BW3" s="212"/>
      <c r="BX3" s="212"/>
      <c r="BY3" s="212">
        <f>IF(($D3-AA3)&lt;0,IF(($BA3-BG3)&gt;-1,$C3*$BB3/365*(BG3-AA3),0),$C3*$BB3/365*(BG3-$D3))</f>
        <v>0</v>
      </c>
      <c r="BZ3" s="212">
        <f>IF(($D3-AB3)&lt;0,IF(($BA3-BH3)&gt;-1,$C3*$BB3/365*(BH3-AB3),0),$C3*$BB3/365*(BH3-$D3))</f>
        <v>0</v>
      </c>
      <c r="CA3" s="212">
        <f>IF(($D3-AC3)&lt;0,IF(($BA3-BI3)&gt;-1,$C3*$BB3/365*(BI3-AC3),0),$C3*$BB3/365*(BI3-$D3))</f>
        <v>0</v>
      </c>
      <c r="CB3" s="212">
        <f>IF(($D3-AD3)&lt;0,IF(($BA3-BJ3)&gt;-1,$C3*$BB3/365*(BJ3-AD3),0),$C3*$BB3/365*(BJ3-$D3))</f>
        <v>0</v>
      </c>
      <c r="CC3" s="212">
        <f>IF(($D3-AE3)&lt;0,IF(($BA3-BK3)&gt;-1,$C3*$BB3/365*(BK3-AE3),0),$C3*$BB3/365*(BK3-$D3))</f>
        <v>0</v>
      </c>
      <c r="CD3" s="212"/>
      <c r="CE3" s="212"/>
      <c r="CF3" s="212"/>
      <c r="CG3" s="212"/>
      <c r="CH3" s="212"/>
      <c r="CI3" s="212"/>
      <c r="CJ3" s="212"/>
      <c r="CK3" s="212"/>
      <c r="CL3" s="212"/>
      <c r="CM3" s="212"/>
      <c r="CN3" s="212"/>
      <c r="CO3" s="212"/>
      <c r="CP3" s="212"/>
      <c r="CQ3" s="212"/>
      <c r="CR3" s="212"/>
      <c r="CS3" s="212"/>
      <c r="CT3" s="212"/>
      <c r="CU3" s="212"/>
      <c r="CV3" s="471">
        <f>C3*BB3/365*(BA3-D3)</f>
        <v>0</v>
      </c>
      <c r="CW3" s="212">
        <f ca="1">IF(BA3-TODAY()&gt;0,BA3-TODAY(),0)</f>
        <v>0</v>
      </c>
      <c r="CX3" s="285" t="s">
        <v>145</v>
      </c>
    </row>
    <row r="4" spans="1:103" s="198" customFormat="1" x14ac:dyDescent="0.2">
      <c r="A4" s="199"/>
      <c r="B4" s="199" t="s">
        <v>193</v>
      </c>
      <c r="C4" s="424">
        <f>C3</f>
        <v>0</v>
      </c>
      <c r="D4" s="202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  <c r="AO4" s="273"/>
      <c r="AP4" s="273"/>
      <c r="AQ4" s="273"/>
      <c r="AR4" s="273"/>
      <c r="AS4" s="273"/>
      <c r="AT4" s="273"/>
      <c r="AU4" s="273"/>
      <c r="AV4" s="273"/>
      <c r="AW4" s="273"/>
      <c r="AX4" s="273"/>
      <c r="AY4" s="273"/>
      <c r="AZ4" s="273"/>
      <c r="BA4" s="202"/>
      <c r="BB4" s="201"/>
      <c r="BC4" s="200">
        <f>SUM(BC3:BC3)</f>
        <v>0</v>
      </c>
      <c r="BD4" s="200">
        <f>SUM(BD3:BD3)</f>
        <v>0</v>
      </c>
      <c r="BE4" s="200"/>
      <c r="BF4" s="200"/>
      <c r="BG4" s="200"/>
      <c r="BH4" s="200"/>
      <c r="BI4" s="200"/>
      <c r="BJ4" s="200"/>
      <c r="BK4" s="200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0"/>
      <c r="CD4" s="200"/>
      <c r="CE4" s="200"/>
      <c r="CF4" s="200"/>
      <c r="CG4" s="200"/>
      <c r="CH4" s="200"/>
      <c r="CI4" s="200"/>
      <c r="CJ4" s="200"/>
      <c r="CK4" s="200"/>
      <c r="CL4" s="200"/>
      <c r="CM4" s="200"/>
      <c r="CN4" s="200"/>
      <c r="CO4" s="200"/>
      <c r="CP4" s="200"/>
      <c r="CQ4" s="200"/>
      <c r="CR4" s="200"/>
      <c r="CS4" s="200"/>
      <c r="CT4" s="200"/>
      <c r="CU4" s="200"/>
      <c r="CV4" s="472">
        <f>SUM(CV3:CV3)</f>
        <v>0</v>
      </c>
      <c r="CW4" s="199"/>
      <c r="CX4" s="288" t="s">
        <v>145</v>
      </c>
    </row>
    <row r="5" spans="1:103" ht="14.25" hidden="1" customHeight="1" x14ac:dyDescent="0.2">
      <c r="A5" s="187" t="s">
        <v>135</v>
      </c>
      <c r="B5" s="216" t="s">
        <v>130</v>
      </c>
      <c r="C5" s="425"/>
      <c r="D5" s="289"/>
      <c r="E5" s="290">
        <f t="shared" ref="E5:N8" si="0">IF($BA5&gt;E$2,E$2,$BA5)</f>
        <v>0</v>
      </c>
      <c r="F5" s="290">
        <f t="shared" si="0"/>
        <v>0</v>
      </c>
      <c r="G5" s="290">
        <f t="shared" si="0"/>
        <v>0</v>
      </c>
      <c r="H5" s="290">
        <f t="shared" si="0"/>
        <v>0</v>
      </c>
      <c r="I5" s="290">
        <f t="shared" si="0"/>
        <v>0</v>
      </c>
      <c r="J5" s="290">
        <f t="shared" si="0"/>
        <v>0</v>
      </c>
      <c r="K5" s="290">
        <f t="shared" si="0"/>
        <v>0</v>
      </c>
      <c r="L5" s="290">
        <f t="shared" si="0"/>
        <v>0</v>
      </c>
      <c r="M5" s="290">
        <f t="shared" si="0"/>
        <v>0</v>
      </c>
      <c r="N5" s="290">
        <f t="shared" si="0"/>
        <v>0</v>
      </c>
      <c r="O5" s="290">
        <f t="shared" ref="O5:X8" si="1">IF($BA5&gt;O$2,O$2,$BA5)</f>
        <v>0</v>
      </c>
      <c r="P5" s="290">
        <f t="shared" si="1"/>
        <v>0</v>
      </c>
      <c r="Q5" s="290">
        <f t="shared" si="1"/>
        <v>0</v>
      </c>
      <c r="R5" s="290">
        <f t="shared" si="1"/>
        <v>0</v>
      </c>
      <c r="S5" s="290">
        <f t="shared" si="1"/>
        <v>0</v>
      </c>
      <c r="T5" s="290">
        <f t="shared" si="1"/>
        <v>0</v>
      </c>
      <c r="U5" s="290">
        <f t="shared" si="1"/>
        <v>0</v>
      </c>
      <c r="V5" s="290">
        <f t="shared" si="1"/>
        <v>0</v>
      </c>
      <c r="W5" s="290">
        <f t="shared" si="1"/>
        <v>0</v>
      </c>
      <c r="X5" s="290">
        <f t="shared" si="1"/>
        <v>0</v>
      </c>
      <c r="Y5" s="290">
        <f t="shared" ref="Y5:AH8" si="2">IF($BA5&gt;Y$2,Y$2,$BA5)</f>
        <v>0</v>
      </c>
      <c r="Z5" s="290">
        <f t="shared" si="2"/>
        <v>0</v>
      </c>
      <c r="AA5" s="290">
        <f t="shared" si="2"/>
        <v>0</v>
      </c>
      <c r="AB5" s="290">
        <f t="shared" si="2"/>
        <v>0</v>
      </c>
      <c r="AC5" s="290">
        <f t="shared" si="2"/>
        <v>0</v>
      </c>
      <c r="AD5" s="290">
        <f t="shared" si="2"/>
        <v>0</v>
      </c>
      <c r="AE5" s="290">
        <f t="shared" si="2"/>
        <v>0</v>
      </c>
      <c r="AF5" s="290">
        <f t="shared" si="2"/>
        <v>0</v>
      </c>
      <c r="AG5" s="290">
        <f t="shared" si="2"/>
        <v>0</v>
      </c>
      <c r="AH5" s="290">
        <f t="shared" si="2"/>
        <v>0</v>
      </c>
      <c r="AI5" s="290">
        <f t="shared" ref="AI5:AR8" si="3">IF($BA5&gt;AI$2,AI$2,$BA5)</f>
        <v>0</v>
      </c>
      <c r="AJ5" s="290">
        <f t="shared" si="3"/>
        <v>0</v>
      </c>
      <c r="AK5" s="290">
        <f t="shared" si="3"/>
        <v>0</v>
      </c>
      <c r="AL5" s="290">
        <f t="shared" si="3"/>
        <v>0</v>
      </c>
      <c r="AM5" s="290">
        <f t="shared" si="3"/>
        <v>0</v>
      </c>
      <c r="AN5" s="290">
        <f t="shared" si="3"/>
        <v>0</v>
      </c>
      <c r="AO5" s="290">
        <f t="shared" si="3"/>
        <v>0</v>
      </c>
      <c r="AP5" s="290">
        <f t="shared" si="3"/>
        <v>0</v>
      </c>
      <c r="AQ5" s="290">
        <f t="shared" si="3"/>
        <v>0</v>
      </c>
      <c r="AR5" s="290">
        <f t="shared" si="3"/>
        <v>0</v>
      </c>
      <c r="AS5" s="290">
        <f t="shared" ref="AS5:AZ8" si="4">IF($BA5&gt;AS$2,AS$2,$BA5)</f>
        <v>0</v>
      </c>
      <c r="AT5" s="290">
        <f t="shared" si="4"/>
        <v>0</v>
      </c>
      <c r="AU5" s="290">
        <f t="shared" si="4"/>
        <v>0</v>
      </c>
      <c r="AV5" s="290">
        <f t="shared" si="4"/>
        <v>0</v>
      </c>
      <c r="AW5" s="290">
        <f t="shared" si="4"/>
        <v>0</v>
      </c>
      <c r="AX5" s="290">
        <f t="shared" si="4"/>
        <v>0</v>
      </c>
      <c r="AY5" s="290">
        <f t="shared" si="4"/>
        <v>0</v>
      </c>
      <c r="AZ5" s="290">
        <f t="shared" si="4"/>
        <v>0</v>
      </c>
      <c r="BA5" s="289"/>
      <c r="BB5" s="211"/>
      <c r="BC5" s="212"/>
      <c r="BD5" s="212"/>
      <c r="BE5" s="212"/>
      <c r="BF5" s="212"/>
      <c r="BG5" s="212"/>
      <c r="BH5" s="212"/>
      <c r="BI5" s="212"/>
      <c r="BJ5" s="212"/>
      <c r="BK5" s="212"/>
      <c r="BL5" s="212"/>
      <c r="BM5" s="212"/>
      <c r="BN5" s="212"/>
      <c r="BO5" s="212"/>
      <c r="BP5" s="212"/>
      <c r="BQ5" s="212"/>
      <c r="BR5" s="212"/>
      <c r="BS5" s="212"/>
      <c r="BT5" s="212"/>
      <c r="BU5" s="212"/>
      <c r="BV5" s="212"/>
      <c r="BW5" s="212"/>
      <c r="BX5" s="212"/>
      <c r="BY5" s="212"/>
      <c r="BZ5" s="212"/>
      <c r="CA5" s="212"/>
      <c r="CB5" s="212"/>
      <c r="CC5" s="212"/>
      <c r="CD5" s="212"/>
      <c r="CE5" s="212"/>
      <c r="CF5" s="212"/>
      <c r="CG5" s="212"/>
      <c r="CH5" s="212"/>
      <c r="CI5" s="212"/>
      <c r="CJ5" s="212"/>
      <c r="CK5" s="212"/>
      <c r="CL5" s="212"/>
      <c r="CM5" s="212"/>
      <c r="CN5" s="212"/>
      <c r="CO5" s="212"/>
      <c r="CP5" s="212">
        <f>IF(($D5-AQ5)&lt;0,IF(($BA5-BK5)&gt;-1,$C5*$BB5/365*(AR5-AQ5),0),$C5*$BB5/365*(AR5-$D5))</f>
        <v>0</v>
      </c>
      <c r="CQ5" s="212">
        <f>IF(($D5-AR5)&lt;0,IF(($BA5-BL5)&gt;-1,$C5*$BB5/365*(BA5-AR5),0),$C5*$BB5/365*(BA5-$D5))</f>
        <v>0</v>
      </c>
      <c r="CR5" s="212"/>
      <c r="CS5" s="212"/>
      <c r="CT5" s="212"/>
      <c r="CU5" s="212"/>
      <c r="CV5" s="212">
        <f t="shared" ref="CV5:CV8" si="5">C5*BB5/365*(BA5-D5)</f>
        <v>0</v>
      </c>
      <c r="CW5" s="212">
        <f t="shared" ref="CW5:CW8" ca="1" si="6">IF(BA5-TODAY()&gt;0,BA5-TODAY(),0)</f>
        <v>0</v>
      </c>
      <c r="CX5" s="285" t="s">
        <v>62</v>
      </c>
    </row>
    <row r="6" spans="1:103" ht="15" hidden="1" customHeight="1" x14ac:dyDescent="0.2">
      <c r="A6" s="187" t="s">
        <v>135</v>
      </c>
      <c r="B6" s="216" t="s">
        <v>130</v>
      </c>
      <c r="C6" s="425"/>
      <c r="D6" s="195"/>
      <c r="E6" s="272">
        <f t="shared" si="0"/>
        <v>0</v>
      </c>
      <c r="F6" s="272">
        <f t="shared" si="0"/>
        <v>0</v>
      </c>
      <c r="G6" s="272">
        <f t="shared" si="0"/>
        <v>0</v>
      </c>
      <c r="H6" s="272">
        <f t="shared" si="0"/>
        <v>0</v>
      </c>
      <c r="I6" s="272">
        <f t="shared" si="0"/>
        <v>0</v>
      </c>
      <c r="J6" s="272">
        <f t="shared" si="0"/>
        <v>0</v>
      </c>
      <c r="K6" s="272">
        <f t="shared" si="0"/>
        <v>0</v>
      </c>
      <c r="L6" s="272">
        <f t="shared" si="0"/>
        <v>0</v>
      </c>
      <c r="M6" s="272">
        <f t="shared" si="0"/>
        <v>0</v>
      </c>
      <c r="N6" s="272">
        <f t="shared" si="0"/>
        <v>0</v>
      </c>
      <c r="O6" s="272">
        <f t="shared" si="1"/>
        <v>0</v>
      </c>
      <c r="P6" s="272">
        <f t="shared" si="1"/>
        <v>0</v>
      </c>
      <c r="Q6" s="272">
        <f t="shared" si="1"/>
        <v>0</v>
      </c>
      <c r="R6" s="272">
        <f t="shared" si="1"/>
        <v>0</v>
      </c>
      <c r="S6" s="272">
        <f t="shared" si="1"/>
        <v>0</v>
      </c>
      <c r="T6" s="272">
        <f t="shared" si="1"/>
        <v>0</v>
      </c>
      <c r="U6" s="272">
        <f t="shared" si="1"/>
        <v>0</v>
      </c>
      <c r="V6" s="272">
        <f t="shared" si="1"/>
        <v>0</v>
      </c>
      <c r="W6" s="272">
        <f t="shared" si="1"/>
        <v>0</v>
      </c>
      <c r="X6" s="272">
        <f t="shared" si="1"/>
        <v>0</v>
      </c>
      <c r="Y6" s="272">
        <f t="shared" si="2"/>
        <v>0</v>
      </c>
      <c r="Z6" s="272">
        <f t="shared" si="2"/>
        <v>0</v>
      </c>
      <c r="AA6" s="272">
        <f t="shared" si="2"/>
        <v>0</v>
      </c>
      <c r="AB6" s="272">
        <f t="shared" si="2"/>
        <v>0</v>
      </c>
      <c r="AC6" s="272">
        <f t="shared" si="2"/>
        <v>0</v>
      </c>
      <c r="AD6" s="272">
        <f t="shared" si="2"/>
        <v>0</v>
      </c>
      <c r="AE6" s="272">
        <f t="shared" si="2"/>
        <v>0</v>
      </c>
      <c r="AF6" s="272">
        <f t="shared" si="2"/>
        <v>0</v>
      </c>
      <c r="AG6" s="272">
        <f t="shared" si="2"/>
        <v>0</v>
      </c>
      <c r="AH6" s="272">
        <f t="shared" si="2"/>
        <v>0</v>
      </c>
      <c r="AI6" s="272">
        <f t="shared" si="3"/>
        <v>0</v>
      </c>
      <c r="AJ6" s="272">
        <f t="shared" si="3"/>
        <v>0</v>
      </c>
      <c r="AK6" s="272">
        <f t="shared" si="3"/>
        <v>0</v>
      </c>
      <c r="AL6" s="272">
        <f t="shared" si="3"/>
        <v>0</v>
      </c>
      <c r="AM6" s="272">
        <f t="shared" si="3"/>
        <v>0</v>
      </c>
      <c r="AN6" s="272">
        <f t="shared" si="3"/>
        <v>0</v>
      </c>
      <c r="AO6" s="272">
        <f t="shared" si="3"/>
        <v>0</v>
      </c>
      <c r="AP6" s="272">
        <f t="shared" si="3"/>
        <v>0</v>
      </c>
      <c r="AQ6" s="272">
        <f t="shared" si="3"/>
        <v>0</v>
      </c>
      <c r="AR6" s="272">
        <f t="shared" si="3"/>
        <v>0</v>
      </c>
      <c r="AS6" s="272">
        <f t="shared" si="4"/>
        <v>0</v>
      </c>
      <c r="AT6" s="272">
        <f t="shared" si="4"/>
        <v>0</v>
      </c>
      <c r="AU6" s="272">
        <f t="shared" si="4"/>
        <v>0</v>
      </c>
      <c r="AV6" s="272">
        <f t="shared" si="4"/>
        <v>0</v>
      </c>
      <c r="AW6" s="272">
        <f t="shared" si="4"/>
        <v>0</v>
      </c>
      <c r="AX6" s="272">
        <f t="shared" si="4"/>
        <v>0</v>
      </c>
      <c r="AY6" s="272">
        <f t="shared" si="4"/>
        <v>0</v>
      </c>
      <c r="AZ6" s="272">
        <f t="shared" si="4"/>
        <v>0</v>
      </c>
      <c r="BA6" s="195"/>
      <c r="BB6" s="211"/>
      <c r="BC6" s="212"/>
      <c r="BD6" s="212"/>
      <c r="BE6" s="212"/>
      <c r="BF6" s="212"/>
      <c r="BG6" s="212"/>
      <c r="BH6" s="212"/>
      <c r="BI6" s="212"/>
      <c r="BJ6" s="212"/>
      <c r="BK6" s="212"/>
      <c r="BL6" s="212"/>
      <c r="BM6" s="212"/>
      <c r="BN6" s="212"/>
      <c r="BO6" s="212"/>
      <c r="BP6" s="212"/>
      <c r="BQ6" s="212"/>
      <c r="BR6" s="212"/>
      <c r="BS6" s="212"/>
      <c r="BT6" s="212">
        <f>IF(($D6-V6)&lt;0,IF(($BA6-W6)&gt;-1,$C6*$BB6/365*(W6-V6),0),$C6*$BB6/365*(W6-$D6))</f>
        <v>0</v>
      </c>
      <c r="BU6" s="212">
        <f>IF(($D6-W6)&lt;0,IF(($BA6-X6)&gt;-1,$C6*$BB6/365*(X6-W6),0),$C6*$BB6/365*(X6-$D6))</f>
        <v>0</v>
      </c>
      <c r="BV6" s="212">
        <f>IF(($D6-X6)&lt;0,IF(($BA6-Y6)&gt;-1,$C6*$BB6/365*(Y6-X6),0),$C6*$BB6/365*(Y6-$D6))</f>
        <v>0</v>
      </c>
      <c r="BW6" s="212"/>
      <c r="BX6" s="212">
        <f>IF(($D6-Z6)&lt;0,IF(($BA6-AA6)&gt;-1,$C6*$BB6/366*(AA6-Z6),0),$C6*$BB6/366*(AA6-$D6))</f>
        <v>0</v>
      </c>
      <c r="BY6" s="212"/>
      <c r="BZ6" s="212"/>
      <c r="CA6" s="212"/>
      <c r="CB6" s="212"/>
      <c r="CC6" s="212"/>
      <c r="CD6" s="212">
        <f>IF(($D6-AA6)&lt;0,IF(($BA6-AB6)&gt;-1,$C6*$BB6/366*(AB6-AA6),0),$C6*$BB6/366*(AB6-$D6))</f>
        <v>0</v>
      </c>
      <c r="CE6" s="212">
        <f>IF(($D6-AB6)&lt;0,IF(($BA6-AC6)&gt;-1,$C6*$BB6/366*(AC6-AB6),0),$C6*$BB6/366*(AC6-$D6))</f>
        <v>0</v>
      </c>
      <c r="CF6" s="212">
        <f>IF(($D6-AC6)&lt;0,IF(($BA6-AD6)&gt;-1,$C6*$BB6/366*(AD6-AC6),0),$C6*$BB6/366*(AD6-$D6))</f>
        <v>0</v>
      </c>
      <c r="CG6" s="212"/>
      <c r="CH6" s="212"/>
      <c r="CI6" s="212"/>
      <c r="CJ6" s="212"/>
      <c r="CK6" s="212"/>
      <c r="CL6" s="212"/>
      <c r="CM6" s="212"/>
      <c r="CN6" s="212"/>
      <c r="CO6" s="212"/>
      <c r="CP6" s="212"/>
      <c r="CQ6" s="212"/>
      <c r="CR6" s="212">
        <f>IF(($D6-AS6)&lt;0,IF(($BA6-BM6)&gt;-1,$C6*$BB6/365*(AT6-AS6),0),$C6*$BB6/365*(BB6-$D6))</f>
        <v>0</v>
      </c>
      <c r="CS6" s="212">
        <f>IF(($D6-AT6)&lt;0,IF(($BA6-BN6)&gt;-1,$C6*$BB6/365*(BA6-AT6),0),$C6*$BB6/365*(BC6-$D6))</f>
        <v>0</v>
      </c>
      <c r="CT6" s="212">
        <f>IF(($D6-BA6)&lt;0,IF(($BA6-BO6)&gt;-1,$C6*$BB6/365*(BB6-BA6),0),$C6*$BB6/365*(BD6-$D6))</f>
        <v>0</v>
      </c>
      <c r="CU6" s="212">
        <f>IF(($D6-BB6)&lt;0,IF(($BA6-BP6)&gt;-1,$C6*$BB6/365*(BC6-BB6),0),$C6*$BB6/365*(BE6-$D6))</f>
        <v>0</v>
      </c>
      <c r="CV6" s="212">
        <f t="shared" si="5"/>
        <v>0</v>
      </c>
      <c r="CW6" s="212">
        <f t="shared" ca="1" si="6"/>
        <v>0</v>
      </c>
      <c r="CX6" s="285" t="s">
        <v>62</v>
      </c>
      <c r="CY6" s="188"/>
    </row>
    <row r="7" spans="1:103" ht="15" hidden="1" customHeight="1" x14ac:dyDescent="0.2">
      <c r="A7" s="187" t="s">
        <v>135</v>
      </c>
      <c r="B7" s="216" t="s">
        <v>130</v>
      </c>
      <c r="C7" s="425"/>
      <c r="D7" s="195"/>
      <c r="E7" s="272">
        <f t="shared" si="0"/>
        <v>0</v>
      </c>
      <c r="F7" s="272">
        <f t="shared" si="0"/>
        <v>0</v>
      </c>
      <c r="G7" s="272">
        <f t="shared" si="0"/>
        <v>0</v>
      </c>
      <c r="H7" s="272">
        <f t="shared" si="0"/>
        <v>0</v>
      </c>
      <c r="I7" s="272">
        <f t="shared" si="0"/>
        <v>0</v>
      </c>
      <c r="J7" s="272">
        <f t="shared" si="0"/>
        <v>0</v>
      </c>
      <c r="K7" s="272">
        <f t="shared" si="0"/>
        <v>0</v>
      </c>
      <c r="L7" s="272">
        <f t="shared" si="0"/>
        <v>0</v>
      </c>
      <c r="M7" s="272">
        <f t="shared" si="0"/>
        <v>0</v>
      </c>
      <c r="N7" s="272">
        <f t="shared" si="0"/>
        <v>0</v>
      </c>
      <c r="O7" s="272">
        <f t="shared" si="1"/>
        <v>0</v>
      </c>
      <c r="P7" s="272">
        <f t="shared" si="1"/>
        <v>0</v>
      </c>
      <c r="Q7" s="272">
        <f t="shared" si="1"/>
        <v>0</v>
      </c>
      <c r="R7" s="272">
        <f t="shared" si="1"/>
        <v>0</v>
      </c>
      <c r="S7" s="272">
        <f t="shared" si="1"/>
        <v>0</v>
      </c>
      <c r="T7" s="272">
        <f t="shared" si="1"/>
        <v>0</v>
      </c>
      <c r="U7" s="272">
        <f t="shared" si="1"/>
        <v>0</v>
      </c>
      <c r="V7" s="272">
        <f t="shared" si="1"/>
        <v>0</v>
      </c>
      <c r="W7" s="272">
        <f t="shared" si="1"/>
        <v>0</v>
      </c>
      <c r="X7" s="272">
        <f t="shared" si="1"/>
        <v>0</v>
      </c>
      <c r="Y7" s="272">
        <f t="shared" si="2"/>
        <v>0</v>
      </c>
      <c r="Z7" s="272">
        <f t="shared" si="2"/>
        <v>0</v>
      </c>
      <c r="AA7" s="272">
        <f t="shared" si="2"/>
        <v>0</v>
      </c>
      <c r="AB7" s="272">
        <f t="shared" si="2"/>
        <v>0</v>
      </c>
      <c r="AC7" s="272">
        <f t="shared" si="2"/>
        <v>0</v>
      </c>
      <c r="AD7" s="272">
        <f t="shared" si="2"/>
        <v>0</v>
      </c>
      <c r="AE7" s="272">
        <f t="shared" si="2"/>
        <v>0</v>
      </c>
      <c r="AF7" s="272">
        <f t="shared" si="2"/>
        <v>0</v>
      </c>
      <c r="AG7" s="272">
        <f t="shared" si="2"/>
        <v>0</v>
      </c>
      <c r="AH7" s="272">
        <f t="shared" si="2"/>
        <v>0</v>
      </c>
      <c r="AI7" s="272">
        <f t="shared" si="3"/>
        <v>0</v>
      </c>
      <c r="AJ7" s="272">
        <f t="shared" si="3"/>
        <v>0</v>
      </c>
      <c r="AK7" s="272">
        <f t="shared" si="3"/>
        <v>0</v>
      </c>
      <c r="AL7" s="272">
        <f t="shared" si="3"/>
        <v>0</v>
      </c>
      <c r="AM7" s="272">
        <f t="shared" si="3"/>
        <v>0</v>
      </c>
      <c r="AN7" s="272">
        <f t="shared" si="3"/>
        <v>0</v>
      </c>
      <c r="AO7" s="272">
        <f t="shared" si="3"/>
        <v>0</v>
      </c>
      <c r="AP7" s="272">
        <f t="shared" si="3"/>
        <v>0</v>
      </c>
      <c r="AQ7" s="272">
        <f t="shared" si="3"/>
        <v>0</v>
      </c>
      <c r="AR7" s="272">
        <f t="shared" si="3"/>
        <v>0</v>
      </c>
      <c r="AS7" s="272">
        <f t="shared" si="4"/>
        <v>0</v>
      </c>
      <c r="AT7" s="272">
        <f t="shared" si="4"/>
        <v>0</v>
      </c>
      <c r="AU7" s="272">
        <f t="shared" si="4"/>
        <v>0</v>
      </c>
      <c r="AV7" s="272">
        <f t="shared" si="4"/>
        <v>0</v>
      </c>
      <c r="AW7" s="272">
        <f t="shared" si="4"/>
        <v>0</v>
      </c>
      <c r="AX7" s="272">
        <f t="shared" si="4"/>
        <v>0</v>
      </c>
      <c r="AY7" s="272">
        <f t="shared" si="4"/>
        <v>0</v>
      </c>
      <c r="AZ7" s="272">
        <f t="shared" si="4"/>
        <v>0</v>
      </c>
      <c r="BA7" s="195"/>
      <c r="BB7" s="211"/>
      <c r="BC7" s="212"/>
      <c r="BD7" s="212"/>
      <c r="BE7" s="212"/>
      <c r="BF7" s="212"/>
      <c r="BG7" s="212"/>
      <c r="BH7" s="212"/>
      <c r="BI7" s="212"/>
      <c r="BJ7" s="212"/>
      <c r="BK7" s="212"/>
      <c r="BL7" s="212"/>
      <c r="BM7" s="212"/>
      <c r="BN7" s="212"/>
      <c r="BO7" s="212"/>
      <c r="BP7" s="212"/>
      <c r="BQ7" s="212"/>
      <c r="BR7" s="212"/>
      <c r="BS7" s="212"/>
      <c r="BT7" s="212"/>
      <c r="BU7" s="212"/>
      <c r="BV7" s="212"/>
      <c r="BW7" s="212"/>
      <c r="BX7" s="212"/>
      <c r="BY7" s="212"/>
      <c r="BZ7" s="212"/>
      <c r="CA7" s="212"/>
      <c r="CB7" s="212"/>
      <c r="CC7" s="212"/>
      <c r="CD7" s="212"/>
      <c r="CE7" s="212"/>
      <c r="CF7" s="212"/>
      <c r="CG7" s="212"/>
      <c r="CH7" s="212"/>
      <c r="CI7" s="212"/>
      <c r="CJ7" s="212"/>
      <c r="CK7" s="212"/>
      <c r="CL7" s="212"/>
      <c r="CM7" s="212"/>
      <c r="CN7" s="212"/>
      <c r="CO7" s="212"/>
      <c r="CP7" s="212"/>
      <c r="CQ7" s="212"/>
      <c r="CR7" s="212">
        <f>IF(($D7-AS7)&lt;0,IF(($BA7-BM7)&gt;-1,$C7*$BB7/365*(AT7-AS7),0),$C7*$BB7/365*(BB7-$D7))</f>
        <v>0</v>
      </c>
      <c r="CS7" s="212">
        <f>IF(($D7-AT7)&lt;0,IF(($BA7-BN7)&gt;-1,$C7*$BB7/365*(BA7-AT7),0),$C7*$BB7/365*(BC7-$D7))</f>
        <v>0</v>
      </c>
      <c r="CT7" s="212">
        <f>IF(($D7-BA7)&lt;0,IF(($BA7-BO7)&gt;-1,$C7*$BB7/365*(BB7-BA7),0),$C7*$BB7/365*(BD7-$D7))</f>
        <v>0</v>
      </c>
      <c r="CU7" s="212">
        <f>IF(($D7-BB7)&lt;0,IF(($BA7-BP7)&gt;-1,$C7*$BB7/365*(BC7-BB7),0),$C7*$BB7/365*(BE7-$D7))</f>
        <v>0</v>
      </c>
      <c r="CV7" s="212">
        <f t="shared" si="5"/>
        <v>0</v>
      </c>
      <c r="CW7" s="212">
        <f t="shared" ca="1" si="6"/>
        <v>0</v>
      </c>
      <c r="CX7" s="285" t="s">
        <v>62</v>
      </c>
      <c r="CY7" s="188"/>
    </row>
    <row r="8" spans="1:103" ht="15" hidden="1" customHeight="1" x14ac:dyDescent="0.2">
      <c r="A8" s="187" t="s">
        <v>135</v>
      </c>
      <c r="B8" s="216" t="s">
        <v>130</v>
      </c>
      <c r="C8" s="425"/>
      <c r="D8" s="195"/>
      <c r="E8" s="272">
        <f t="shared" si="0"/>
        <v>0</v>
      </c>
      <c r="F8" s="272">
        <f t="shared" si="0"/>
        <v>0</v>
      </c>
      <c r="G8" s="272">
        <f t="shared" si="0"/>
        <v>0</v>
      </c>
      <c r="H8" s="272">
        <f t="shared" si="0"/>
        <v>0</v>
      </c>
      <c r="I8" s="272">
        <f t="shared" si="0"/>
        <v>0</v>
      </c>
      <c r="J8" s="272">
        <f t="shared" si="0"/>
        <v>0</v>
      </c>
      <c r="K8" s="272">
        <f t="shared" si="0"/>
        <v>0</v>
      </c>
      <c r="L8" s="272">
        <f t="shared" si="0"/>
        <v>0</v>
      </c>
      <c r="M8" s="272">
        <f t="shared" si="0"/>
        <v>0</v>
      </c>
      <c r="N8" s="272">
        <f t="shared" si="0"/>
        <v>0</v>
      </c>
      <c r="O8" s="272">
        <f t="shared" si="1"/>
        <v>0</v>
      </c>
      <c r="P8" s="272">
        <f t="shared" si="1"/>
        <v>0</v>
      </c>
      <c r="Q8" s="272">
        <f t="shared" si="1"/>
        <v>0</v>
      </c>
      <c r="R8" s="272">
        <f t="shared" si="1"/>
        <v>0</v>
      </c>
      <c r="S8" s="272">
        <f t="shared" si="1"/>
        <v>0</v>
      </c>
      <c r="T8" s="272">
        <f t="shared" si="1"/>
        <v>0</v>
      </c>
      <c r="U8" s="290">
        <f t="shared" si="1"/>
        <v>0</v>
      </c>
      <c r="V8" s="272">
        <f t="shared" si="1"/>
        <v>0</v>
      </c>
      <c r="W8" s="272">
        <f t="shared" si="1"/>
        <v>0</v>
      </c>
      <c r="X8" s="272">
        <f t="shared" si="1"/>
        <v>0</v>
      </c>
      <c r="Y8" s="272">
        <f t="shared" si="2"/>
        <v>0</v>
      </c>
      <c r="Z8" s="272">
        <f t="shared" si="2"/>
        <v>0</v>
      </c>
      <c r="AA8" s="272">
        <f t="shared" si="2"/>
        <v>0</v>
      </c>
      <c r="AB8" s="272">
        <f t="shared" si="2"/>
        <v>0</v>
      </c>
      <c r="AC8" s="272">
        <f t="shared" si="2"/>
        <v>0</v>
      </c>
      <c r="AD8" s="272">
        <f t="shared" si="2"/>
        <v>0</v>
      </c>
      <c r="AE8" s="272">
        <f t="shared" si="2"/>
        <v>0</v>
      </c>
      <c r="AF8" s="272">
        <f t="shared" si="2"/>
        <v>0</v>
      </c>
      <c r="AG8" s="272">
        <f t="shared" si="2"/>
        <v>0</v>
      </c>
      <c r="AH8" s="272">
        <f t="shared" si="2"/>
        <v>0</v>
      </c>
      <c r="AI8" s="272">
        <f t="shared" si="3"/>
        <v>0</v>
      </c>
      <c r="AJ8" s="272">
        <f t="shared" si="3"/>
        <v>0</v>
      </c>
      <c r="AK8" s="272">
        <f t="shared" si="3"/>
        <v>0</v>
      </c>
      <c r="AL8" s="272">
        <f t="shared" si="3"/>
        <v>0</v>
      </c>
      <c r="AM8" s="272">
        <f t="shared" si="3"/>
        <v>0</v>
      </c>
      <c r="AN8" s="272">
        <f t="shared" si="3"/>
        <v>0</v>
      </c>
      <c r="AO8" s="272">
        <f t="shared" si="3"/>
        <v>0</v>
      </c>
      <c r="AP8" s="272">
        <f t="shared" si="3"/>
        <v>0</v>
      </c>
      <c r="AQ8" s="272">
        <f t="shared" si="3"/>
        <v>0</v>
      </c>
      <c r="AR8" s="272">
        <f t="shared" si="3"/>
        <v>0</v>
      </c>
      <c r="AS8" s="272">
        <f t="shared" si="4"/>
        <v>0</v>
      </c>
      <c r="AT8" s="272">
        <f t="shared" si="4"/>
        <v>0</v>
      </c>
      <c r="AU8" s="272">
        <f t="shared" si="4"/>
        <v>0</v>
      </c>
      <c r="AV8" s="272">
        <f t="shared" si="4"/>
        <v>0</v>
      </c>
      <c r="AW8" s="272">
        <f t="shared" si="4"/>
        <v>0</v>
      </c>
      <c r="AX8" s="272">
        <f t="shared" si="4"/>
        <v>0</v>
      </c>
      <c r="AY8" s="272">
        <f t="shared" si="4"/>
        <v>0</v>
      </c>
      <c r="AZ8" s="272">
        <f t="shared" si="4"/>
        <v>0</v>
      </c>
      <c r="BA8" s="195"/>
      <c r="BB8" s="211"/>
      <c r="BC8" s="212"/>
      <c r="BD8" s="212"/>
      <c r="BE8" s="212"/>
      <c r="BF8" s="212"/>
      <c r="BG8" s="212"/>
      <c r="BH8" s="212"/>
      <c r="BI8" s="212"/>
      <c r="BJ8" s="212"/>
      <c r="BK8" s="212"/>
      <c r="BL8" s="212"/>
      <c r="BM8" s="212"/>
      <c r="BN8" s="212"/>
      <c r="BO8" s="212"/>
      <c r="BP8" s="212"/>
      <c r="BQ8" s="212"/>
      <c r="BR8" s="212"/>
      <c r="BS8" s="212"/>
      <c r="BT8" s="212"/>
      <c r="BU8" s="212"/>
      <c r="BV8" s="212"/>
      <c r="BW8" s="212"/>
      <c r="BX8" s="212"/>
      <c r="BY8" s="212"/>
      <c r="BZ8" s="212"/>
      <c r="CA8" s="212"/>
      <c r="CB8" s="212"/>
      <c r="CC8" s="212"/>
      <c r="CD8" s="212"/>
      <c r="CE8" s="212"/>
      <c r="CF8" s="212"/>
      <c r="CG8" s="212"/>
      <c r="CH8" s="212"/>
      <c r="CI8" s="212"/>
      <c r="CJ8" s="212"/>
      <c r="CK8" s="212"/>
      <c r="CL8" s="212"/>
      <c r="CM8" s="212"/>
      <c r="CN8" s="212"/>
      <c r="CO8" s="212"/>
      <c r="CP8" s="212"/>
      <c r="CQ8" s="212"/>
      <c r="CR8" s="212">
        <f>$C8*$BB8/365*2</f>
        <v>0</v>
      </c>
      <c r="CS8" s="212">
        <f>IF(($D8-AT8)&lt;0,IF(($BA8-BN8)&gt;-1,$C8*$BB8/365*(BA8-AT8),0),$C8*$BB8/365*(BC8-$D8))</f>
        <v>0</v>
      </c>
      <c r="CT8" s="212"/>
      <c r="CU8" s="212"/>
      <c r="CV8" s="212">
        <f t="shared" si="5"/>
        <v>0</v>
      </c>
      <c r="CW8" s="212">
        <f t="shared" ca="1" si="6"/>
        <v>0</v>
      </c>
      <c r="CX8" s="285" t="s">
        <v>62</v>
      </c>
      <c r="CY8" s="188"/>
    </row>
    <row r="9" spans="1:103" ht="15" customHeight="1" x14ac:dyDescent="0.2">
      <c r="A9" s="187" t="s">
        <v>135</v>
      </c>
      <c r="B9" s="216" t="s">
        <v>75</v>
      </c>
      <c r="C9" s="425">
        <v>235000000</v>
      </c>
      <c r="D9" s="450">
        <v>45863</v>
      </c>
      <c r="E9" s="450"/>
      <c r="F9" s="450"/>
      <c r="G9" s="450"/>
      <c r="H9" s="450"/>
      <c r="I9" s="450"/>
      <c r="J9" s="450"/>
      <c r="K9" s="450"/>
      <c r="L9" s="450"/>
      <c r="M9" s="450"/>
      <c r="N9" s="450"/>
      <c r="O9" s="450"/>
      <c r="P9" s="450"/>
      <c r="Q9" s="450"/>
      <c r="R9" s="450"/>
      <c r="S9" s="450"/>
      <c r="T9" s="450"/>
      <c r="U9" s="450"/>
      <c r="V9" s="450"/>
      <c r="W9" s="450"/>
      <c r="X9" s="450"/>
      <c r="Y9" s="450"/>
      <c r="Z9" s="450"/>
      <c r="AA9" s="450"/>
      <c r="AB9" s="450"/>
      <c r="AC9" s="450"/>
      <c r="AD9" s="450"/>
      <c r="AE9" s="450"/>
      <c r="AF9" s="450"/>
      <c r="AG9" s="450"/>
      <c r="AH9" s="450"/>
      <c r="AI9" s="450"/>
      <c r="AJ9" s="450"/>
      <c r="AK9" s="450"/>
      <c r="AL9" s="450"/>
      <c r="AM9" s="450"/>
      <c r="AN9" s="450"/>
      <c r="AO9" s="450"/>
      <c r="AP9" s="450"/>
      <c r="AQ9" s="450"/>
      <c r="AR9" s="450"/>
      <c r="AS9" s="450"/>
      <c r="AT9" s="450"/>
      <c r="AU9" s="450"/>
      <c r="AV9" s="450"/>
      <c r="AW9" s="450"/>
      <c r="AX9" s="450"/>
      <c r="AY9" s="450"/>
      <c r="AZ9" s="450"/>
      <c r="BA9" s="450">
        <v>45894</v>
      </c>
      <c r="BB9" s="211">
        <v>0.17499999999999999</v>
      </c>
      <c r="BC9" s="212"/>
      <c r="BD9" s="212"/>
      <c r="BE9" s="212"/>
      <c r="BF9" s="212"/>
      <c r="BG9" s="212"/>
      <c r="BH9" s="212"/>
      <c r="BI9" s="212"/>
      <c r="BJ9" s="212"/>
      <c r="BK9" s="212"/>
      <c r="BL9" s="212"/>
      <c r="BM9" s="212"/>
      <c r="BN9" s="212"/>
      <c r="BO9" s="212"/>
      <c r="BP9" s="212"/>
      <c r="BQ9" s="212"/>
      <c r="BR9" s="212"/>
      <c r="BS9" s="212"/>
      <c r="BT9" s="212"/>
      <c r="BU9" s="212"/>
      <c r="BV9" s="212"/>
      <c r="BW9" s="212"/>
      <c r="BX9" s="212"/>
      <c r="BY9" s="212"/>
      <c r="BZ9" s="212"/>
      <c r="CA9" s="212"/>
      <c r="CB9" s="212"/>
      <c r="CC9" s="212"/>
      <c r="CD9" s="212"/>
      <c r="CE9" s="212"/>
      <c r="CF9" s="212"/>
      <c r="CG9" s="212"/>
      <c r="CH9" s="212"/>
      <c r="CI9" s="212"/>
      <c r="CJ9" s="212"/>
      <c r="CK9" s="212"/>
      <c r="CL9" s="212"/>
      <c r="CM9" s="212"/>
      <c r="CN9" s="212"/>
      <c r="CO9" s="212"/>
      <c r="CP9" s="212"/>
      <c r="CQ9" s="212"/>
      <c r="CR9" s="212"/>
      <c r="CS9" s="212"/>
      <c r="CT9" s="212"/>
      <c r="CU9" s="212"/>
      <c r="CV9" s="471">
        <f>C9*BB9/365*(BA9-D9)</f>
        <v>3492808.219178082</v>
      </c>
      <c r="CW9" s="212">
        <f ca="1">IF(BA9-TODAY()&gt;0,BA9-TODAY(),0)</f>
        <v>14</v>
      </c>
      <c r="CX9" s="473" t="s">
        <v>200</v>
      </c>
      <c r="CY9" s="188"/>
    </row>
    <row r="10" spans="1:103" ht="15" customHeight="1" x14ac:dyDescent="0.2">
      <c r="A10" s="187" t="s">
        <v>135</v>
      </c>
      <c r="B10" s="216" t="s">
        <v>170</v>
      </c>
      <c r="C10" s="425">
        <v>200000000</v>
      </c>
      <c r="D10" s="450">
        <v>45877</v>
      </c>
      <c r="E10" s="450"/>
      <c r="F10" s="450"/>
      <c r="G10" s="450"/>
      <c r="H10" s="450"/>
      <c r="I10" s="450"/>
      <c r="J10" s="450"/>
      <c r="K10" s="450"/>
      <c r="L10" s="450"/>
      <c r="M10" s="450"/>
      <c r="N10" s="450"/>
      <c r="O10" s="450"/>
      <c r="P10" s="450"/>
      <c r="Q10" s="450"/>
      <c r="R10" s="450"/>
      <c r="S10" s="450"/>
      <c r="T10" s="450"/>
      <c r="U10" s="450"/>
      <c r="V10" s="450"/>
      <c r="W10" s="450"/>
      <c r="X10" s="450"/>
      <c r="Y10" s="450"/>
      <c r="Z10" s="450"/>
      <c r="AA10" s="450"/>
      <c r="AB10" s="450"/>
      <c r="AC10" s="450"/>
      <c r="AD10" s="450"/>
      <c r="AE10" s="450"/>
      <c r="AF10" s="450"/>
      <c r="AG10" s="450"/>
      <c r="AH10" s="450"/>
      <c r="AI10" s="450"/>
      <c r="AJ10" s="450"/>
      <c r="AK10" s="450"/>
      <c r="AL10" s="450"/>
      <c r="AM10" s="450"/>
      <c r="AN10" s="450"/>
      <c r="AO10" s="450"/>
      <c r="AP10" s="450"/>
      <c r="AQ10" s="450"/>
      <c r="AR10" s="450"/>
      <c r="AS10" s="450"/>
      <c r="AT10" s="450"/>
      <c r="AU10" s="450"/>
      <c r="AV10" s="450"/>
      <c r="AW10" s="450"/>
      <c r="AX10" s="450"/>
      <c r="AY10" s="450"/>
      <c r="AZ10" s="450"/>
      <c r="BA10" s="450">
        <v>45905</v>
      </c>
      <c r="BB10" s="211">
        <v>0.17549999999999999</v>
      </c>
      <c r="BC10" s="212"/>
      <c r="BD10" s="212"/>
      <c r="BE10" s="212"/>
      <c r="BF10" s="212"/>
      <c r="BG10" s="212"/>
      <c r="BH10" s="212"/>
      <c r="BI10" s="212"/>
      <c r="BJ10" s="212"/>
      <c r="BK10" s="212"/>
      <c r="BL10" s="212"/>
      <c r="BM10" s="212"/>
      <c r="BN10" s="212"/>
      <c r="BO10" s="212"/>
      <c r="BP10" s="212"/>
      <c r="BQ10" s="212"/>
      <c r="BR10" s="212"/>
      <c r="BS10" s="212"/>
      <c r="BT10" s="212"/>
      <c r="BU10" s="212"/>
      <c r="BV10" s="212"/>
      <c r="BW10" s="212"/>
      <c r="BX10" s="212"/>
      <c r="BY10" s="212"/>
      <c r="BZ10" s="212"/>
      <c r="CA10" s="212"/>
      <c r="CB10" s="212"/>
      <c r="CC10" s="212"/>
      <c r="CD10" s="212"/>
      <c r="CE10" s="212"/>
      <c r="CF10" s="212"/>
      <c r="CG10" s="212"/>
      <c r="CH10" s="212"/>
      <c r="CI10" s="212"/>
      <c r="CJ10" s="212"/>
      <c r="CK10" s="212"/>
      <c r="CL10" s="212"/>
      <c r="CM10" s="212"/>
      <c r="CN10" s="212"/>
      <c r="CO10" s="212"/>
      <c r="CP10" s="212"/>
      <c r="CQ10" s="212"/>
      <c r="CR10" s="212"/>
      <c r="CS10" s="212"/>
      <c r="CT10" s="212"/>
      <c r="CU10" s="212"/>
      <c r="CV10" s="471">
        <f>C10*BB10/365*(BA10-D10)</f>
        <v>2692602.7397260275</v>
      </c>
      <c r="CW10" s="212">
        <f ca="1">IF(BA10-TODAY()&gt;0,BA10-TODAY(),0)</f>
        <v>25</v>
      </c>
      <c r="CX10" s="473" t="s">
        <v>200</v>
      </c>
      <c r="CY10" s="188"/>
    </row>
    <row r="11" spans="1:103" s="198" customFormat="1" x14ac:dyDescent="0.2">
      <c r="A11" s="199"/>
      <c r="B11" s="199" t="s">
        <v>166</v>
      </c>
      <c r="C11" s="424">
        <f>SUM(C5:C10)</f>
        <v>435000000</v>
      </c>
      <c r="D11" s="202"/>
      <c r="E11" s="273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  <c r="AO11" s="273"/>
      <c r="AP11" s="273"/>
      <c r="AQ11" s="273"/>
      <c r="AR11" s="273"/>
      <c r="AS11" s="273"/>
      <c r="AT11" s="273"/>
      <c r="AU11" s="273"/>
      <c r="AV11" s="273"/>
      <c r="AW11" s="273"/>
      <c r="AX11" s="273"/>
      <c r="AY11" s="273"/>
      <c r="AZ11" s="273"/>
      <c r="BA11" s="202"/>
      <c r="BB11" s="201"/>
      <c r="BC11" s="203">
        <f>SUM(BC5:BC8)</f>
        <v>0</v>
      </c>
      <c r="BD11" s="203">
        <f>SUM(BD5:BD8)</f>
        <v>0</v>
      </c>
      <c r="BE11" s="203"/>
      <c r="BF11" s="203"/>
      <c r="BG11" s="203"/>
      <c r="BH11" s="203"/>
      <c r="BI11" s="203"/>
      <c r="BJ11" s="203"/>
      <c r="BK11" s="203"/>
      <c r="BL11" s="203"/>
      <c r="BM11" s="203"/>
      <c r="BN11" s="203"/>
      <c r="BO11" s="203"/>
      <c r="BP11" s="203"/>
      <c r="BQ11" s="203"/>
      <c r="BR11" s="203"/>
      <c r="BS11" s="203"/>
      <c r="BT11" s="203"/>
      <c r="BU11" s="203"/>
      <c r="BV11" s="203"/>
      <c r="BW11" s="203"/>
      <c r="BX11" s="203"/>
      <c r="BY11" s="203"/>
      <c r="BZ11" s="203"/>
      <c r="CA11" s="203"/>
      <c r="CB11" s="203"/>
      <c r="CC11" s="203"/>
      <c r="CD11" s="203"/>
      <c r="CE11" s="203"/>
      <c r="CF11" s="203"/>
      <c r="CG11" s="203"/>
      <c r="CH11" s="203"/>
      <c r="CI11" s="203"/>
      <c r="CJ11" s="203"/>
      <c r="CK11" s="203"/>
      <c r="CL11" s="203"/>
      <c r="CM11" s="203"/>
      <c r="CN11" s="203"/>
      <c r="CO11" s="203"/>
      <c r="CP11" s="203"/>
      <c r="CQ11" s="203"/>
      <c r="CR11" s="203"/>
      <c r="CS11" s="203"/>
      <c r="CT11" s="203"/>
      <c r="CU11" s="203"/>
      <c r="CV11" s="203">
        <f>SUM(CV5:CV10)</f>
        <v>6185410.9589041099</v>
      </c>
      <c r="CW11" s="199"/>
      <c r="CX11" s="288" t="s">
        <v>62</v>
      </c>
    </row>
    <row r="12" spans="1:103" ht="12.75" customHeight="1" x14ac:dyDescent="0.2"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CX12" s="187"/>
    </row>
    <row r="13" spans="1:103" ht="12" customHeight="1" x14ac:dyDescent="0.2">
      <c r="C13" s="189"/>
      <c r="D13" s="195"/>
      <c r="E13" s="272"/>
      <c r="F13" s="272"/>
      <c r="G13" s="272"/>
      <c r="H13" s="272"/>
      <c r="I13" s="272"/>
      <c r="J13" s="272"/>
      <c r="K13" s="272"/>
      <c r="L13" s="272"/>
      <c r="M13" s="272"/>
      <c r="N13" s="272"/>
      <c r="O13" s="272"/>
      <c r="P13" s="272"/>
      <c r="Q13" s="272"/>
      <c r="R13" s="272"/>
      <c r="S13" s="272"/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72"/>
      <c r="AF13" s="272"/>
      <c r="AG13" s="272"/>
      <c r="AH13" s="272"/>
      <c r="AI13" s="272"/>
      <c r="AJ13" s="272"/>
      <c r="AK13" s="272"/>
      <c r="AL13" s="272"/>
      <c r="AM13" s="272"/>
      <c r="AN13" s="272"/>
      <c r="AO13" s="272"/>
      <c r="AP13" s="272"/>
      <c r="AQ13" s="272"/>
      <c r="AR13" s="272"/>
      <c r="AS13" s="272"/>
      <c r="AT13" s="272"/>
      <c r="AU13" s="272"/>
      <c r="AV13" s="272"/>
      <c r="AW13" s="272"/>
      <c r="AX13" s="272"/>
      <c r="AY13" s="272"/>
      <c r="AZ13" s="272"/>
      <c r="BA13" s="195"/>
      <c r="BB13" s="194"/>
      <c r="BC13" s="194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194"/>
      <c r="BO13" s="194"/>
      <c r="BP13" s="194"/>
      <c r="BQ13" s="194"/>
      <c r="BR13" s="194"/>
      <c r="BS13" s="194"/>
      <c r="BT13" s="194"/>
      <c r="BU13" s="194"/>
      <c r="BV13" s="194"/>
      <c r="BW13" s="194"/>
      <c r="BX13" s="194"/>
      <c r="BY13" s="194"/>
      <c r="BZ13" s="194"/>
      <c r="CA13" s="194"/>
      <c r="CB13" s="194"/>
      <c r="CC13" s="194"/>
      <c r="CD13" s="194"/>
      <c r="CE13" s="194"/>
      <c r="CF13" s="194"/>
      <c r="CG13" s="194"/>
      <c r="CH13" s="194"/>
      <c r="CI13" s="194"/>
      <c r="CJ13" s="194"/>
      <c r="CK13" s="194"/>
      <c r="CL13" s="194"/>
      <c r="CM13" s="194"/>
      <c r="CN13" s="194"/>
      <c r="CO13" s="194"/>
      <c r="CP13" s="194"/>
      <c r="CQ13" s="194"/>
      <c r="CR13" s="194"/>
      <c r="CS13" s="194"/>
      <c r="CT13" s="194"/>
      <c r="CU13" s="194"/>
    </row>
    <row r="14" spans="1:103" x14ac:dyDescent="0.2">
      <c r="A14" s="488" t="s">
        <v>86</v>
      </c>
      <c r="B14" s="488"/>
      <c r="C14" s="197">
        <f>C11</f>
        <v>435000000</v>
      </c>
      <c r="D14" s="195" t="s">
        <v>62</v>
      </c>
      <c r="E14" s="272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2"/>
      <c r="AA14" s="272"/>
      <c r="AB14" s="272"/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2"/>
      <c r="AT14" s="272"/>
      <c r="AU14" s="272"/>
      <c r="AV14" s="272"/>
      <c r="AW14" s="272"/>
      <c r="AX14" s="272"/>
      <c r="AY14" s="272"/>
      <c r="AZ14" s="272"/>
      <c r="BA14" s="195"/>
      <c r="BB14" s="194"/>
      <c r="BC14" s="194"/>
      <c r="BD14" s="194"/>
      <c r="BE14" s="194"/>
      <c r="BF14" s="194"/>
      <c r="BG14" s="194"/>
      <c r="BH14" s="194"/>
      <c r="BI14" s="194"/>
      <c r="BJ14" s="194"/>
      <c r="BK14" s="194"/>
      <c r="BL14" s="194"/>
      <c r="BM14" s="194"/>
      <c r="BN14" s="194"/>
      <c r="BO14" s="194"/>
      <c r="BP14" s="194"/>
      <c r="BQ14" s="194"/>
      <c r="BR14" s="194"/>
      <c r="BS14" s="194"/>
      <c r="BT14" s="194"/>
      <c r="BU14" s="194"/>
      <c r="BV14" s="194"/>
      <c r="BW14" s="194"/>
      <c r="BX14" s="194"/>
      <c r="BY14" s="194"/>
      <c r="BZ14" s="194"/>
      <c r="CA14" s="194"/>
      <c r="CB14" s="194"/>
      <c r="CC14" s="194"/>
      <c r="CD14" s="194"/>
      <c r="CE14" s="194"/>
      <c r="CF14" s="194"/>
      <c r="CG14" s="194"/>
      <c r="CH14" s="194"/>
      <c r="CI14" s="194"/>
      <c r="CJ14" s="194"/>
      <c r="CK14" s="194"/>
      <c r="CL14" s="194"/>
      <c r="CM14" s="194"/>
      <c r="CN14" s="194"/>
      <c r="CO14" s="194"/>
      <c r="CP14" s="194"/>
      <c r="CQ14" s="194"/>
      <c r="CR14" s="194"/>
      <c r="CS14" s="194"/>
      <c r="CT14" s="194"/>
      <c r="CU14" s="194"/>
      <c r="CV14" s="185"/>
      <c r="CW14" s="196"/>
      <c r="CX14" s="291" t="s">
        <v>95</v>
      </c>
    </row>
    <row r="15" spans="1:103" x14ac:dyDescent="0.2"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  <c r="BM15" s="189"/>
      <c r="BN15" s="189"/>
      <c r="BO15" s="189"/>
      <c r="BP15" s="189"/>
      <c r="BQ15" s="189"/>
      <c r="BR15" s="189"/>
      <c r="BS15" s="189"/>
      <c r="BT15" s="189"/>
      <c r="BU15" s="189"/>
      <c r="BV15" s="189"/>
      <c r="BW15" s="189"/>
      <c r="BX15" s="189"/>
      <c r="BY15" s="189"/>
      <c r="BZ15" s="189"/>
      <c r="CA15" s="189"/>
      <c r="CB15" s="189"/>
      <c r="CC15" s="189"/>
      <c r="CD15" s="189"/>
      <c r="CE15" s="189"/>
      <c r="CF15" s="189"/>
      <c r="CG15" s="189"/>
      <c r="CH15" s="189"/>
      <c r="CI15" s="189"/>
      <c r="CJ15" s="189"/>
      <c r="CK15" s="189"/>
      <c r="CL15" s="189"/>
      <c r="CM15" s="189"/>
      <c r="CN15" s="189"/>
      <c r="CO15" s="189"/>
      <c r="CP15" s="189"/>
      <c r="CQ15" s="189"/>
      <c r="CR15" s="189"/>
      <c r="CS15" s="189"/>
      <c r="CT15" s="189"/>
      <c r="CU15" s="189"/>
      <c r="CV15" s="189"/>
      <c r="CW15" s="189"/>
    </row>
    <row r="16" spans="1:103" x14ac:dyDescent="0.2">
      <c r="C16" s="294"/>
      <c r="D16" s="195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2"/>
      <c r="AX16" s="272"/>
      <c r="AY16" s="272"/>
      <c r="AZ16" s="272"/>
      <c r="BA16" s="195"/>
      <c r="BB16" s="194"/>
      <c r="BC16" s="194"/>
      <c r="BD16" s="194"/>
      <c r="BE16" s="194"/>
      <c r="BF16" s="194"/>
      <c r="BG16" s="194"/>
      <c r="BH16" s="194"/>
      <c r="BI16" s="194"/>
      <c r="BJ16" s="194"/>
      <c r="BK16" s="194"/>
      <c r="BL16" s="194"/>
      <c r="BM16" s="194"/>
      <c r="BN16" s="194"/>
      <c r="BO16" s="194"/>
      <c r="BP16" s="194"/>
      <c r="BQ16" s="194"/>
      <c r="BR16" s="194"/>
      <c r="BS16" s="194"/>
      <c r="BT16" s="194"/>
      <c r="BU16" s="194"/>
      <c r="BV16" s="194"/>
      <c r="BW16" s="194"/>
      <c r="BX16" s="194"/>
      <c r="BY16" s="194"/>
      <c r="BZ16" s="194"/>
      <c r="CA16" s="194"/>
      <c r="CB16" s="194"/>
      <c r="CC16" s="194"/>
      <c r="CD16" s="194"/>
      <c r="CE16" s="194"/>
      <c r="CF16" s="194"/>
      <c r="CG16" s="194"/>
      <c r="CH16" s="194"/>
      <c r="CI16" s="194"/>
      <c r="CJ16" s="194"/>
      <c r="CK16" s="194"/>
      <c r="CL16" s="194"/>
      <c r="CM16" s="194"/>
      <c r="CN16" s="194"/>
      <c r="CO16" s="194"/>
      <c r="CP16" s="194"/>
      <c r="CQ16" s="194"/>
      <c r="CR16" s="194"/>
      <c r="CS16" s="194"/>
      <c r="CT16" s="194"/>
      <c r="CU16" s="194"/>
      <c r="CW16" s="193"/>
    </row>
    <row r="17" spans="1:102" s="190" customFormat="1" ht="3" customHeight="1" x14ac:dyDescent="0.2">
      <c r="C17" s="192"/>
      <c r="D17" s="192"/>
      <c r="E17" s="274"/>
      <c r="F17" s="274"/>
      <c r="G17" s="274"/>
      <c r="H17" s="274"/>
      <c r="I17" s="274"/>
      <c r="J17" s="274"/>
      <c r="K17" s="274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274"/>
      <c r="AW17" s="274"/>
      <c r="AX17" s="274"/>
      <c r="AY17" s="274"/>
      <c r="AZ17" s="274"/>
      <c r="BA17" s="192"/>
      <c r="BB17" s="191"/>
      <c r="BC17" s="191"/>
      <c r="BD17" s="191"/>
      <c r="BE17" s="191"/>
      <c r="BF17" s="191"/>
      <c r="BG17" s="191"/>
      <c r="BH17" s="191"/>
      <c r="BI17" s="191"/>
      <c r="BJ17" s="191"/>
      <c r="BK17" s="191"/>
      <c r="BL17" s="191"/>
      <c r="BM17" s="191"/>
      <c r="BN17" s="191"/>
      <c r="BO17" s="191"/>
      <c r="BP17" s="191"/>
      <c r="BQ17" s="191"/>
      <c r="BR17" s="191"/>
      <c r="BS17" s="191"/>
      <c r="BT17" s="191"/>
      <c r="BU17" s="191"/>
      <c r="BV17" s="191"/>
      <c r="BW17" s="191"/>
      <c r="BX17" s="191"/>
      <c r="BY17" s="191"/>
      <c r="BZ17" s="191"/>
      <c r="CA17" s="191"/>
      <c r="CB17" s="191"/>
      <c r="CC17" s="191"/>
      <c r="CD17" s="191"/>
      <c r="CE17" s="191"/>
      <c r="CF17" s="191"/>
      <c r="CG17" s="191"/>
      <c r="CH17" s="191"/>
      <c r="CI17" s="191"/>
      <c r="CJ17" s="191"/>
      <c r="CK17" s="191"/>
      <c r="CL17" s="191"/>
      <c r="CM17" s="191"/>
      <c r="CN17" s="191"/>
      <c r="CO17" s="191"/>
      <c r="CP17" s="191"/>
      <c r="CQ17" s="191"/>
      <c r="CR17" s="191"/>
      <c r="CS17" s="191"/>
      <c r="CT17" s="191"/>
      <c r="CU17" s="191"/>
      <c r="CX17" s="292"/>
    </row>
    <row r="18" spans="1:102" x14ac:dyDescent="0.2">
      <c r="A18" s="187" t="s">
        <v>62</v>
      </c>
      <c r="B18" s="187" t="s">
        <v>75</v>
      </c>
      <c r="C18" s="185">
        <f>SUMIF($B$5:$B$11,B18,$C$5:$C$11)</f>
        <v>235000000</v>
      </c>
    </row>
    <row r="19" spans="1:102" x14ac:dyDescent="0.2">
      <c r="A19" s="187" t="s">
        <v>62</v>
      </c>
      <c r="B19" s="278" t="s">
        <v>130</v>
      </c>
      <c r="C19" s="185">
        <f>SUMIF($B$5:$B$11,B19,$C$5:$C$11)</f>
        <v>0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</row>
    <row r="20" spans="1:102" x14ac:dyDescent="0.2">
      <c r="A20" s="187" t="s">
        <v>62</v>
      </c>
      <c r="B20" s="278" t="s">
        <v>170</v>
      </c>
      <c r="C20" s="185">
        <f>SUMIF($B$5:$B$11,B20,$C$5:$C$11)</f>
        <v>200000000</v>
      </c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</row>
    <row r="21" spans="1:102" x14ac:dyDescent="0.2">
      <c r="A21" s="187" t="s">
        <v>145</v>
      </c>
      <c r="B21" s="187" t="s">
        <v>130</v>
      </c>
      <c r="C21" s="185">
        <f>C4</f>
        <v>0</v>
      </c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CV21" s="299"/>
    </row>
    <row r="22" spans="1:102" x14ac:dyDescent="0.2">
      <c r="C22" s="185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CV22" s="294"/>
    </row>
    <row r="23" spans="1:102" x14ac:dyDescent="0.2">
      <c r="CV23" s="188"/>
    </row>
    <row r="24" spans="1:102" s="190" customFormat="1" ht="3" customHeight="1" x14ac:dyDescent="0.2"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275"/>
      <c r="AJ24" s="275"/>
      <c r="AK24" s="275"/>
      <c r="AL24" s="275"/>
      <c r="AM24" s="275"/>
      <c r="AN24" s="275"/>
      <c r="AO24" s="275"/>
      <c r="AP24" s="275"/>
      <c r="AQ24" s="275"/>
      <c r="AR24" s="275"/>
      <c r="AS24" s="275"/>
      <c r="AT24" s="275"/>
      <c r="AU24" s="275"/>
      <c r="AV24" s="275"/>
      <c r="AW24" s="275"/>
      <c r="AX24" s="275"/>
      <c r="AY24" s="275"/>
      <c r="AZ24" s="275"/>
      <c r="CX24" s="292"/>
    </row>
    <row r="25" spans="1:102" x14ac:dyDescent="0.2">
      <c r="A25" s="187" t="s">
        <v>62</v>
      </c>
      <c r="B25" s="187" t="s">
        <v>132</v>
      </c>
      <c r="C25" s="185">
        <f>SUMIFS($C$3:$C$11,$A$3:$A$11,B25,$CX$3:$CX$11,A25)</f>
        <v>0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</row>
    <row r="26" spans="1:102" x14ac:dyDescent="0.2">
      <c r="A26" s="187" t="s">
        <v>62</v>
      </c>
      <c r="B26" s="187" t="s">
        <v>135</v>
      </c>
      <c r="C26" s="185">
        <f>SUMIFS($C$3:$C$11,$A$3:$A$11,B26,$CX$3:$CX$11,A26)</f>
        <v>0</v>
      </c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7"/>
    </row>
    <row r="27" spans="1:102" x14ac:dyDescent="0.2">
      <c r="A27" s="454" t="s">
        <v>145</v>
      </c>
      <c r="B27" s="187" t="s">
        <v>135</v>
      </c>
      <c r="C27" s="185">
        <f>SUMIFS($C$3:$C$11,$A$3:$A$11,B27,$CX$3:$CX$11,A27)</f>
        <v>0</v>
      </c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</row>
    <row r="28" spans="1:102" x14ac:dyDescent="0.2">
      <c r="A28" s="187" t="s">
        <v>4</v>
      </c>
      <c r="B28" s="187" t="s">
        <v>132</v>
      </c>
      <c r="C28" s="185">
        <f>SUMIFS($C$3:$C$11,$A$3:$A$11,B28,$CX$3:$CX$11,A28)</f>
        <v>0</v>
      </c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8"/>
      <c r="BT28" s="188"/>
      <c r="BU28" s="188"/>
      <c r="BV28" s="188"/>
      <c r="BW28" s="188"/>
      <c r="BX28" s="188"/>
      <c r="BY28" s="188"/>
      <c r="BZ28" s="188"/>
      <c r="CA28" s="188"/>
      <c r="CB28" s="188"/>
      <c r="CC28" s="188"/>
      <c r="CD28" s="188"/>
      <c r="CE28" s="188"/>
      <c r="CF28" s="188"/>
      <c r="CG28" s="188"/>
      <c r="CH28" s="188"/>
      <c r="CI28" s="188"/>
      <c r="CJ28" s="188"/>
      <c r="CK28" s="188"/>
      <c r="CL28" s="188"/>
      <c r="CM28" s="188"/>
      <c r="CN28" s="188"/>
      <c r="CO28" s="188"/>
      <c r="CP28" s="188"/>
      <c r="CQ28" s="188"/>
      <c r="CR28" s="188"/>
      <c r="CS28" s="188"/>
      <c r="CT28" s="188"/>
      <c r="CU28" s="188"/>
    </row>
    <row r="29" spans="1:102" x14ac:dyDescent="0.2">
      <c r="C29" s="299"/>
      <c r="CH29" s="313"/>
      <c r="CI29" s="313"/>
      <c r="CJ29" s="313"/>
      <c r="CK29" s="313"/>
      <c r="CL29" s="313"/>
      <c r="CM29" s="313"/>
      <c r="CN29" s="313"/>
    </row>
    <row r="34" spans="3:102" x14ac:dyDescent="0.2">
      <c r="C34" s="299"/>
      <c r="BA34" s="294"/>
      <c r="CX34" s="187"/>
    </row>
    <row r="35" spans="3:102" ht="12.75" customHeight="1" x14ac:dyDescent="0.2">
      <c r="CX35" s="187"/>
    </row>
    <row r="36" spans="3:102" x14ac:dyDescent="0.2">
      <c r="CX36" s="187"/>
    </row>
    <row r="37" spans="3:102" x14ac:dyDescent="0.2">
      <c r="CX37" s="187"/>
    </row>
    <row r="38" spans="3:102" x14ac:dyDescent="0.2">
      <c r="CX38" s="187"/>
    </row>
    <row r="39" spans="3:102" x14ac:dyDescent="0.2">
      <c r="CX39" s="187"/>
    </row>
    <row r="40" spans="3:102" x14ac:dyDescent="0.2">
      <c r="CX40" s="187"/>
    </row>
    <row r="41" spans="3:102" x14ac:dyDescent="0.2">
      <c r="CX41" s="187"/>
    </row>
    <row r="42" spans="3:102" x14ac:dyDescent="0.2">
      <c r="CX42" s="187"/>
    </row>
    <row r="43" spans="3:102" x14ac:dyDescent="0.2">
      <c r="CX43" s="187"/>
    </row>
    <row r="44" spans="3:102" x14ac:dyDescent="0.2">
      <c r="CX44" s="187"/>
    </row>
    <row r="45" spans="3:102" x14ac:dyDescent="0.2">
      <c r="CX45" s="187"/>
    </row>
    <row r="46" spans="3:102" x14ac:dyDescent="0.2">
      <c r="CX46" s="187"/>
    </row>
    <row r="47" spans="3:102" x14ac:dyDescent="0.2">
      <c r="CX47" s="187"/>
    </row>
  </sheetData>
  <autoFilter ref="A2:CW15"/>
  <mergeCells count="2">
    <mergeCell ref="A1:B1"/>
    <mergeCell ref="A14:B14"/>
  </mergeCells>
  <conditionalFormatting sqref="B20">
    <cfRule type="cellIs" dxfId="1" priority="45" operator="equal">
      <formula>0</formula>
    </cfRule>
  </conditionalFormatting>
  <conditionalFormatting sqref="B19">
    <cfRule type="cellIs" dxfId="0" priority="9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6" sqref="C46"/>
    </sheetView>
  </sheetViews>
  <sheetFormatPr defaultColWidth="9.140625" defaultRowHeight="18" customHeight="1" x14ac:dyDescent="0.2"/>
  <cols>
    <col min="1" max="1" width="9" style="234" customWidth="1"/>
    <col min="2" max="2" width="34.28515625" style="234" customWidth="1"/>
    <col min="3" max="5" width="31.140625" style="234" customWidth="1"/>
    <col min="6" max="8" width="20.7109375" style="234" customWidth="1"/>
    <col min="9" max="9" width="25.140625" style="234" customWidth="1"/>
    <col min="10" max="10" width="30.28515625" style="234" bestFit="1" customWidth="1"/>
    <col min="11" max="16384" width="9.140625" style="234"/>
  </cols>
  <sheetData>
    <row r="1" spans="2:7" ht="18" customHeight="1" x14ac:dyDescent="0.3">
      <c r="B1" s="233" t="s">
        <v>97</v>
      </c>
      <c r="D1" s="231">
        <f>'Memo Severnaya'!F2</f>
        <v>42565</v>
      </c>
      <c r="F1" s="232">
        <f>'Memo Severnaya'!J4</f>
        <v>63.853099999999998</v>
      </c>
      <c r="G1" s="233" t="s">
        <v>98</v>
      </c>
    </row>
    <row r="2" spans="2:7" s="237" customFormat="1" ht="18" customHeight="1" x14ac:dyDescent="0.2">
      <c r="B2" s="235"/>
      <c r="C2" s="236" t="s">
        <v>132</v>
      </c>
      <c r="D2" s="236" t="s">
        <v>135</v>
      </c>
      <c r="E2" s="236" t="s">
        <v>99</v>
      </c>
      <c r="F2" s="232">
        <f>'Memo Severnaya'!J5</f>
        <v>70.557699999999997</v>
      </c>
      <c r="G2" s="233" t="s">
        <v>139</v>
      </c>
    </row>
    <row r="3" spans="2:7" ht="18" hidden="1" customHeight="1" x14ac:dyDescent="0.2">
      <c r="B3" s="238"/>
      <c r="C3" s="239"/>
      <c r="D3" s="240"/>
      <c r="E3" s="262">
        <f t="shared" ref="E3:E12" si="0">SUM(C3:D3)</f>
        <v>0</v>
      </c>
    </row>
    <row r="4" spans="2:7" ht="18" hidden="1" customHeight="1" x14ac:dyDescent="0.2">
      <c r="B4" s="241" t="s">
        <v>72</v>
      </c>
      <c r="C4" s="239"/>
      <c r="D4" s="240"/>
      <c r="E4" s="239">
        <f t="shared" si="0"/>
        <v>0</v>
      </c>
    </row>
    <row r="5" spans="2:7" ht="18" hidden="1" customHeight="1" x14ac:dyDescent="0.2">
      <c r="B5" s="241" t="s">
        <v>83</v>
      </c>
      <c r="C5" s="239"/>
      <c r="D5" s="240"/>
      <c r="E5" s="239">
        <f t="shared" si="0"/>
        <v>0</v>
      </c>
    </row>
    <row r="6" spans="2:7" ht="18" hidden="1" customHeight="1" x14ac:dyDescent="0.2">
      <c r="B6" s="241" t="s">
        <v>74</v>
      </c>
      <c r="C6" s="239"/>
      <c r="D6" s="240"/>
      <c r="E6" s="239">
        <f t="shared" si="0"/>
        <v>0</v>
      </c>
    </row>
    <row r="7" spans="2:7" ht="18" customHeight="1" x14ac:dyDescent="0.2">
      <c r="B7" s="241" t="s">
        <v>75</v>
      </c>
      <c r="C7" s="239" t="e">
        <f>HLOOKUP($D$1,accounts!$B$2:$XFD$17,5,FALSE)</f>
        <v>#N/A</v>
      </c>
      <c r="D7" s="240" t="e">
        <f>HLOOKUP($D$1,accounts!$B$2:$XFD$65,32,FALSE)</f>
        <v>#N/A</v>
      </c>
      <c r="E7" s="239" t="e">
        <f>SUM(C7:D7)</f>
        <v>#N/A</v>
      </c>
    </row>
    <row r="8" spans="2:7" ht="18" hidden="1" customHeight="1" x14ac:dyDescent="0.2">
      <c r="B8" s="241" t="s">
        <v>76</v>
      </c>
      <c r="C8" s="239"/>
      <c r="D8" s="240"/>
      <c r="E8" s="239">
        <f t="shared" si="0"/>
        <v>0</v>
      </c>
    </row>
    <row r="9" spans="2:7" ht="18" hidden="1" customHeight="1" x14ac:dyDescent="0.2">
      <c r="B9" s="241" t="s">
        <v>77</v>
      </c>
      <c r="C9" s="239"/>
      <c r="D9" s="240"/>
      <c r="E9" s="239">
        <f t="shared" si="0"/>
        <v>0</v>
      </c>
    </row>
    <row r="10" spans="2:7" ht="18" customHeight="1" x14ac:dyDescent="0.2">
      <c r="B10" s="241" t="s">
        <v>130</v>
      </c>
      <c r="C10" s="239" t="e">
        <f>HLOOKUP($D$1,accounts!$B$2:$XFD$17,4,FALSE)</f>
        <v>#N/A</v>
      </c>
      <c r="D10" s="240" t="e">
        <f>HLOOKUP($D$1,accounts!$B$2:$XFD$65,31,FALSE)</f>
        <v>#N/A</v>
      </c>
      <c r="E10" s="239" t="e">
        <f t="shared" si="0"/>
        <v>#N/A</v>
      </c>
    </row>
    <row r="11" spans="2:7" ht="18" hidden="1" customHeight="1" x14ac:dyDescent="0.2">
      <c r="B11" s="242" t="s">
        <v>100</v>
      </c>
      <c r="C11" s="243"/>
      <c r="D11" s="243"/>
      <c r="E11" s="243">
        <f t="shared" si="0"/>
        <v>0</v>
      </c>
    </row>
    <row r="12" spans="2:7" ht="18" hidden="1" customHeight="1" x14ac:dyDescent="0.2">
      <c r="B12" s="242" t="s">
        <v>100</v>
      </c>
      <c r="C12" s="243"/>
      <c r="D12" s="243"/>
      <c r="E12" s="243">
        <f t="shared" si="0"/>
        <v>0</v>
      </c>
    </row>
    <row r="13" spans="2:7" ht="18" customHeight="1" x14ac:dyDescent="0.2">
      <c r="B13" s="244" t="s">
        <v>101</v>
      </c>
      <c r="C13" s="245" t="e">
        <f>SUM(C3:C12)</f>
        <v>#N/A</v>
      </c>
      <c r="D13" s="245" t="e">
        <f>SUM(D3:D12)</f>
        <v>#N/A</v>
      </c>
      <c r="E13" s="245" t="e">
        <f>SUM(E3:E12)</f>
        <v>#N/A</v>
      </c>
    </row>
    <row r="14" spans="2:7" ht="18" hidden="1" customHeight="1" x14ac:dyDescent="0.2">
      <c r="B14" s="238" t="s">
        <v>72</v>
      </c>
      <c r="C14" s="239"/>
      <c r="D14" s="239"/>
      <c r="E14" s="262">
        <f t="shared" ref="E14:E21" si="1">SUM(C14:D14)</f>
        <v>0</v>
      </c>
    </row>
    <row r="15" spans="2:7" ht="18" hidden="1" customHeight="1" x14ac:dyDescent="0.2">
      <c r="B15" s="241" t="s">
        <v>73</v>
      </c>
      <c r="C15" s="239"/>
      <c r="D15" s="246"/>
      <c r="E15" s="239">
        <f t="shared" si="1"/>
        <v>0</v>
      </c>
    </row>
    <row r="16" spans="2:7" ht="18" hidden="1" customHeight="1" x14ac:dyDescent="0.2">
      <c r="B16" s="241" t="s">
        <v>74</v>
      </c>
      <c r="C16" s="239"/>
      <c r="D16" s="246"/>
      <c r="E16" s="239">
        <f t="shared" si="1"/>
        <v>0</v>
      </c>
    </row>
    <row r="17" spans="1:5" ht="18" customHeight="1" x14ac:dyDescent="0.2">
      <c r="B17" s="241" t="s">
        <v>75</v>
      </c>
      <c r="C17" s="239"/>
      <c r="D17" s="246"/>
      <c r="E17" s="239">
        <f t="shared" si="1"/>
        <v>0</v>
      </c>
    </row>
    <row r="18" spans="1:5" ht="18" customHeight="1" x14ac:dyDescent="0.2">
      <c r="A18" s="247"/>
      <c r="B18" s="241" t="s">
        <v>130</v>
      </c>
      <c r="C18" s="239" t="e">
        <f>HLOOKUP($D$1,accounts!$B$2:$XFD$65,20,FALSE)</f>
        <v>#N/A</v>
      </c>
      <c r="D18" s="246"/>
      <c r="E18" s="239" t="e">
        <f t="shared" si="1"/>
        <v>#N/A</v>
      </c>
    </row>
    <row r="19" spans="1:5" ht="18" hidden="1" customHeight="1" x14ac:dyDescent="0.2">
      <c r="B19" s="241" t="s">
        <v>77</v>
      </c>
      <c r="C19" s="239"/>
      <c r="D19" s="248"/>
      <c r="E19" s="239">
        <f t="shared" si="1"/>
        <v>0</v>
      </c>
    </row>
    <row r="20" spans="1:5" ht="18" hidden="1" customHeight="1" x14ac:dyDescent="0.2">
      <c r="B20" s="249" t="s">
        <v>83</v>
      </c>
      <c r="C20" s="239"/>
      <c r="D20" s="250"/>
      <c r="E20" s="239">
        <f t="shared" si="1"/>
        <v>0</v>
      </c>
    </row>
    <row r="21" spans="1:5" ht="18" hidden="1" customHeight="1" x14ac:dyDescent="0.2">
      <c r="B21" s="242"/>
      <c r="C21" s="243"/>
      <c r="D21" s="243"/>
      <c r="E21" s="263">
        <f t="shared" si="1"/>
        <v>0</v>
      </c>
    </row>
    <row r="22" spans="1:5" ht="18" customHeight="1" x14ac:dyDescent="0.2">
      <c r="B22" s="244" t="s">
        <v>102</v>
      </c>
      <c r="C22" s="251" t="e">
        <f>SUM(C14:C21)</f>
        <v>#N/A</v>
      </c>
      <c r="D22" s="251">
        <f>SUM(D14:D21)</f>
        <v>0</v>
      </c>
      <c r="E22" s="251" t="e">
        <f>SUM(E14:E21)</f>
        <v>#N/A</v>
      </c>
    </row>
    <row r="23" spans="1:5" ht="18" customHeight="1" thickBot="1" x14ac:dyDescent="0.25">
      <c r="B23" s="252" t="s">
        <v>103</v>
      </c>
      <c r="C23" s="253" t="e">
        <f>+C13+C22</f>
        <v>#N/A</v>
      </c>
      <c r="D23" s="253" t="e">
        <f>+D13+D22</f>
        <v>#N/A</v>
      </c>
      <c r="E23" s="253" t="e">
        <f>+E13+E22</f>
        <v>#N/A</v>
      </c>
    </row>
    <row r="24" spans="1:5" s="254" customFormat="1" ht="18" customHeight="1" thickTop="1" x14ac:dyDescent="0.2">
      <c r="B24" s="255" t="s">
        <v>104</v>
      </c>
      <c r="C24" s="256" t="e">
        <f>SUM(C25:C26)</f>
        <v>#N/A</v>
      </c>
      <c r="D24" s="257">
        <f>SUM(D25:D26)</f>
        <v>0</v>
      </c>
      <c r="E24" s="256" t="e">
        <f>SUM(C24:D24)</f>
        <v>#N/A</v>
      </c>
    </row>
    <row r="25" spans="1:5" ht="18" customHeight="1" x14ac:dyDescent="0.2">
      <c r="B25" s="238" t="s">
        <v>75</v>
      </c>
      <c r="C25" s="246" t="e">
        <f>HLOOKUP($D$1,accounts!$B$2:$XFD$65,15,FALSE)</f>
        <v>#N/A</v>
      </c>
      <c r="D25" s="246"/>
      <c r="E25" s="246" t="e">
        <f>SUM(C25:D25)</f>
        <v>#N/A</v>
      </c>
    </row>
    <row r="26" spans="1:5" ht="18" customHeight="1" x14ac:dyDescent="0.2">
      <c r="B26" s="238" t="s">
        <v>130</v>
      </c>
      <c r="C26" s="239"/>
      <c r="D26" s="246"/>
      <c r="E26" s="239">
        <f>SUM(C26:D26)</f>
        <v>0</v>
      </c>
    </row>
    <row r="27" spans="1:5" s="233" customFormat="1" ht="18" customHeight="1" x14ac:dyDescent="0.2">
      <c r="B27" s="258" t="s">
        <v>105</v>
      </c>
      <c r="C27" s="259" t="e">
        <f>SUM(C25:C26)*$F1</f>
        <v>#N/A</v>
      </c>
      <c r="D27" s="259">
        <f>SUM(D25:D26)*$F1</f>
        <v>0</v>
      </c>
      <c r="E27" s="259" t="e">
        <f>SUM(E25:E26)*F1</f>
        <v>#N/A</v>
      </c>
    </row>
    <row r="28" spans="1:5" s="254" customFormat="1" ht="18" customHeight="1" x14ac:dyDescent="0.2">
      <c r="B28" s="255" t="s">
        <v>137</v>
      </c>
      <c r="C28" s="256" t="e">
        <f>SUM(C29:C30)</f>
        <v>#N/A</v>
      </c>
      <c r="D28" s="257" t="e">
        <f>SUM(D29:D30)</f>
        <v>#N/A</v>
      </c>
      <c r="E28" s="256" t="e">
        <f t="shared" ref="E28:E37" si="2">SUM(C28:D28)</f>
        <v>#N/A</v>
      </c>
    </row>
    <row r="29" spans="1:5" ht="18" customHeight="1" x14ac:dyDescent="0.2">
      <c r="B29" s="238" t="s">
        <v>75</v>
      </c>
      <c r="C29" s="246" t="e">
        <f>HLOOKUP($D$1,accounts!$B$2:$XFD$65,8,FALSE)</f>
        <v>#N/A</v>
      </c>
      <c r="D29" s="246" t="e">
        <f>HLOOKUP($D$1,accounts!$B$2:$XFD$65,36,FALSE)</f>
        <v>#N/A</v>
      </c>
      <c r="E29" s="246" t="e">
        <f t="shared" si="2"/>
        <v>#N/A</v>
      </c>
    </row>
    <row r="30" spans="1:5" ht="18" customHeight="1" x14ac:dyDescent="0.2">
      <c r="B30" s="238" t="s">
        <v>130</v>
      </c>
      <c r="C30" s="239"/>
      <c r="D30" s="246" t="e">
        <f>HLOOKUP($D$1,accounts!$B$2:$XFD$65,35,FALSE)</f>
        <v>#N/A</v>
      </c>
      <c r="E30" s="239" t="e">
        <f t="shared" si="2"/>
        <v>#N/A</v>
      </c>
    </row>
    <row r="31" spans="1:5" s="233" customFormat="1" ht="18" customHeight="1" x14ac:dyDescent="0.2">
      <c r="B31" s="258" t="s">
        <v>138</v>
      </c>
      <c r="C31" s="259" t="e">
        <f>SUM(C29:C30)*$F2</f>
        <v>#N/A</v>
      </c>
      <c r="D31" s="259" t="e">
        <f>SUM(D29:D30)*$F2</f>
        <v>#N/A</v>
      </c>
      <c r="E31" s="259" t="e">
        <f t="shared" si="2"/>
        <v>#N/A</v>
      </c>
    </row>
    <row r="32" spans="1:5" s="254" customFormat="1" ht="18" customHeight="1" x14ac:dyDescent="0.2">
      <c r="B32" s="255" t="s">
        <v>106</v>
      </c>
      <c r="C32" s="256" t="e">
        <f>SUM(C33:C36)</f>
        <v>#N/A</v>
      </c>
      <c r="D32" s="257">
        <f>SUM(D33:D36)</f>
        <v>0</v>
      </c>
      <c r="E32" s="256" t="e">
        <f t="shared" si="2"/>
        <v>#N/A</v>
      </c>
    </row>
    <row r="33" spans="2:5" ht="18" customHeight="1" x14ac:dyDescent="0.2">
      <c r="B33" s="238" t="s">
        <v>75</v>
      </c>
      <c r="C33" s="239" t="e">
        <f>HLOOKUP($D$1,accounts!$B$2:$XFD$65,23,FALSE)</f>
        <v>#N/A</v>
      </c>
      <c r="D33" s="239"/>
      <c r="E33" s="239" t="e">
        <f t="shared" si="2"/>
        <v>#N/A</v>
      </c>
    </row>
    <row r="34" spans="2:5" ht="18" customHeight="1" x14ac:dyDescent="0.2">
      <c r="B34" s="238" t="s">
        <v>130</v>
      </c>
      <c r="C34" s="239"/>
      <c r="D34" s="246"/>
      <c r="E34" s="239">
        <f t="shared" si="2"/>
        <v>0</v>
      </c>
    </row>
    <row r="35" spans="2:5" ht="19.5" hidden="1" customHeight="1" x14ac:dyDescent="0.2">
      <c r="B35" s="241"/>
      <c r="C35" s="246"/>
      <c r="D35" s="246"/>
      <c r="E35" s="246">
        <f t="shared" si="2"/>
        <v>0</v>
      </c>
    </row>
    <row r="36" spans="2:5" ht="18" hidden="1" customHeight="1" x14ac:dyDescent="0.2">
      <c r="B36" s="249"/>
      <c r="C36" s="250"/>
      <c r="D36" s="250"/>
      <c r="E36" s="250">
        <f t="shared" si="2"/>
        <v>0</v>
      </c>
    </row>
    <row r="37" spans="2:5" s="233" customFormat="1" ht="18" customHeight="1" x14ac:dyDescent="0.2">
      <c r="B37" s="258" t="s">
        <v>105</v>
      </c>
      <c r="C37" s="259" t="e">
        <f>SUM(C33:C36)*$F1</f>
        <v>#N/A</v>
      </c>
      <c r="D37" s="259">
        <f>SUM(D33:D36)*$F1</f>
        <v>0</v>
      </c>
      <c r="E37" s="259" t="e">
        <f t="shared" si="2"/>
        <v>#N/A</v>
      </c>
    </row>
    <row r="38" spans="2:5" ht="18" customHeight="1" x14ac:dyDescent="0.2">
      <c r="B38" s="244" t="s">
        <v>107</v>
      </c>
      <c r="C38" s="245" t="e">
        <f>+C24+C32</f>
        <v>#N/A</v>
      </c>
      <c r="D38" s="245">
        <f>+D24+D32</f>
        <v>0</v>
      </c>
      <c r="E38" s="245" t="e">
        <f>+E24+E32</f>
        <v>#N/A</v>
      </c>
    </row>
    <row r="39" spans="2:5" ht="18" customHeight="1" x14ac:dyDescent="0.2">
      <c r="B39" s="260" t="s">
        <v>108</v>
      </c>
      <c r="C39" s="261" t="e">
        <f>+C27+C37</f>
        <v>#N/A</v>
      </c>
      <c r="D39" s="261">
        <f>+D27+D37</f>
        <v>0</v>
      </c>
      <c r="E39" s="261" t="e">
        <f>+E27+E37</f>
        <v>#N/A</v>
      </c>
    </row>
    <row r="40" spans="2:5" ht="18" customHeight="1" x14ac:dyDescent="0.2">
      <c r="B40" s="244" t="s">
        <v>140</v>
      </c>
      <c r="C40" s="245" t="e">
        <f>C28</f>
        <v>#N/A</v>
      </c>
      <c r="D40" s="245" t="e">
        <f>D28</f>
        <v>#N/A</v>
      </c>
      <c r="E40" s="245" t="e">
        <f>E28</f>
        <v>#N/A</v>
      </c>
    </row>
    <row r="41" spans="2:5" ht="18" customHeight="1" x14ac:dyDescent="0.2">
      <c r="B41" s="260" t="s">
        <v>108</v>
      </c>
      <c r="C41" s="261" t="e">
        <f>C31</f>
        <v>#N/A</v>
      </c>
      <c r="D41" s="261" t="e">
        <f>D31</f>
        <v>#N/A</v>
      </c>
      <c r="E41" s="261" t="e">
        <f>E31</f>
        <v>#N/A</v>
      </c>
    </row>
    <row r="42" spans="2:5" s="233" customFormat="1" ht="18" customHeight="1" x14ac:dyDescent="0.2">
      <c r="B42" s="244" t="s">
        <v>109</v>
      </c>
      <c r="C42" s="245" t="e">
        <f>+C23+C39+C41</f>
        <v>#N/A</v>
      </c>
      <c r="D42" s="245" t="e">
        <f>+D23+D39+D41</f>
        <v>#N/A</v>
      </c>
      <c r="E42" s="245" t="e">
        <f>+E23+E39+E41</f>
        <v>#N/A</v>
      </c>
    </row>
    <row r="43" spans="2:5" ht="18" customHeight="1" x14ac:dyDescent="0.2">
      <c r="E43" s="276"/>
    </row>
  </sheetData>
  <pageMargins left="0.7" right="0.7" top="0.75" bottom="0.75" header="0.3" footer="0.3"/>
  <pageSetup scale="70" orientation="landscape" r:id="rId1"/>
  <customProperties>
    <customPr name="EpmWorksheetKeyString_GUID" r:id="rId2"/>
  </customProperties>
  <ignoredErrors>
    <ignoredError sqref="E27 E1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I54"/>
  <sheetViews>
    <sheetView workbookViewId="0">
      <selection activeCell="H29" sqref="H29"/>
    </sheetView>
  </sheetViews>
  <sheetFormatPr defaultRowHeight="12.75" x14ac:dyDescent="0.2"/>
  <cols>
    <col min="3" max="3" width="38" customWidth="1"/>
    <col min="8" max="9" width="19.5703125" customWidth="1"/>
  </cols>
  <sheetData>
    <row r="14" ht="12.75" customHeight="1" x14ac:dyDescent="0.2"/>
    <row r="39" spans="3:9" x14ac:dyDescent="0.2">
      <c r="C39" s="295"/>
      <c r="D39" s="295"/>
      <c r="E39" s="295"/>
      <c r="F39" s="295"/>
      <c r="G39" s="295"/>
      <c r="H39" s="295"/>
      <c r="I39" s="295"/>
    </row>
    <row r="40" spans="3:9" x14ac:dyDescent="0.2">
      <c r="C40" s="295"/>
      <c r="D40" s="295"/>
      <c r="E40" s="295"/>
      <c r="F40" s="295"/>
      <c r="G40" s="295"/>
      <c r="H40" s="295"/>
      <c r="I40" s="295"/>
    </row>
    <row r="41" spans="3:9" x14ac:dyDescent="0.2">
      <c r="C41" s="295"/>
      <c r="D41" s="295"/>
      <c r="E41" s="295"/>
      <c r="F41" s="295"/>
      <c r="G41" s="295"/>
      <c r="H41" s="295"/>
      <c r="I41" s="295"/>
    </row>
    <row r="42" spans="3:9" x14ac:dyDescent="0.2">
      <c r="C42" s="295"/>
      <c r="D42" s="295"/>
      <c r="E42" s="295"/>
      <c r="F42" s="295"/>
      <c r="G42" s="295"/>
      <c r="H42" s="295"/>
      <c r="I42" s="295"/>
    </row>
    <row r="43" spans="3:9" x14ac:dyDescent="0.2">
      <c r="C43" s="295"/>
      <c r="D43" s="295"/>
      <c r="E43" s="295"/>
      <c r="F43" s="295"/>
      <c r="G43" s="295"/>
      <c r="H43" s="295"/>
      <c r="I43" s="295"/>
    </row>
    <row r="44" spans="3:9" x14ac:dyDescent="0.2">
      <c r="C44" s="295"/>
      <c r="D44" s="295"/>
      <c r="E44" s="295"/>
      <c r="F44" s="295"/>
      <c r="G44" s="295"/>
      <c r="H44" s="295"/>
      <c r="I44" s="295"/>
    </row>
    <row r="45" spans="3:9" x14ac:dyDescent="0.2">
      <c r="C45" s="295"/>
      <c r="D45" s="295"/>
      <c r="E45" s="295"/>
      <c r="F45" s="295"/>
      <c r="G45" s="295"/>
      <c r="H45" s="295"/>
      <c r="I45" s="295"/>
    </row>
    <row r="46" spans="3:9" x14ac:dyDescent="0.2">
      <c r="C46" s="295"/>
      <c r="D46" s="295"/>
      <c r="E46" s="295"/>
      <c r="F46" s="295"/>
      <c r="G46" s="295"/>
      <c r="H46" s="295"/>
      <c r="I46" s="295"/>
    </row>
    <row r="47" spans="3:9" x14ac:dyDescent="0.2">
      <c r="C47" s="295"/>
      <c r="D47" s="295"/>
      <c r="E47" s="295"/>
      <c r="F47" s="295"/>
      <c r="G47" s="295"/>
      <c r="H47" s="295"/>
      <c r="I47" s="295"/>
    </row>
    <row r="48" spans="3:9" x14ac:dyDescent="0.2">
      <c r="C48" s="295"/>
      <c r="D48" s="295"/>
      <c r="E48" s="295"/>
      <c r="F48" s="295"/>
      <c r="G48" s="295"/>
      <c r="H48" s="295"/>
      <c r="I48" s="295"/>
    </row>
    <row r="49" spans="3:9" x14ac:dyDescent="0.2">
      <c r="C49" s="295"/>
      <c r="D49" s="295"/>
      <c r="E49" s="295"/>
      <c r="F49" s="295"/>
      <c r="G49" s="295"/>
      <c r="H49" s="295"/>
      <c r="I49" s="295"/>
    </row>
    <row r="50" spans="3:9" x14ac:dyDescent="0.2">
      <c r="C50" s="295"/>
      <c r="D50" s="295"/>
      <c r="E50" s="295"/>
      <c r="F50" s="295"/>
      <c r="G50" s="295"/>
      <c r="H50" s="295"/>
      <c r="I50" s="295"/>
    </row>
    <row r="51" spans="3:9" x14ac:dyDescent="0.2">
      <c r="C51" s="295"/>
      <c r="D51" s="295"/>
      <c r="E51" s="295"/>
      <c r="F51" s="295"/>
      <c r="G51" s="295"/>
      <c r="H51" s="295"/>
      <c r="I51" s="295"/>
    </row>
    <row r="52" spans="3:9" x14ac:dyDescent="0.2">
      <c r="C52" s="295"/>
      <c r="D52" s="295"/>
      <c r="E52" s="295"/>
      <c r="F52" s="295"/>
      <c r="G52" s="295"/>
      <c r="H52" s="295"/>
      <c r="I52" s="295"/>
    </row>
    <row r="53" spans="3:9" x14ac:dyDescent="0.2">
      <c r="C53" s="295"/>
      <c r="D53" s="295"/>
      <c r="E53" s="295"/>
      <c r="F53" s="295"/>
      <c r="G53" s="295"/>
      <c r="H53" s="295"/>
      <c r="I53" s="295"/>
    </row>
    <row r="54" spans="3:9" x14ac:dyDescent="0.2">
      <c r="C54" s="295"/>
      <c r="D54" s="295"/>
      <c r="E54" s="295"/>
      <c r="F54" s="295"/>
      <c r="G54" s="295"/>
      <c r="H54" s="295"/>
      <c r="I54" s="295"/>
    </row>
  </sheetData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11465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Memo Woyskovitsy1</vt:lpstr>
      <vt:lpstr>Memo Severnaya</vt:lpstr>
      <vt:lpstr>Memo Woyskovitsy</vt:lpstr>
      <vt:lpstr>accounts</vt:lpstr>
      <vt:lpstr>deposits</vt:lpstr>
      <vt:lpstr>Cash in Bank</vt:lpstr>
      <vt:lpstr>Sheet1</vt:lpstr>
      <vt:lpstr>'Memo Severnaya'!Print_Range</vt:lpstr>
      <vt:lpstr>'Memo Woyskovitsy1'!Print_Range</vt:lpstr>
      <vt:lpstr>'Memo Severnaya'!Область_печати</vt:lpstr>
      <vt:lpstr>'Memo Woyskovitsy1'!Область_печати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YILDIRAY SUBASI</dc:creator>
  <cp:lastModifiedBy>Юлия Васильева</cp:lastModifiedBy>
  <cp:revision>386</cp:revision>
  <cp:lastPrinted>2024-01-16T13:33:21Z</cp:lastPrinted>
  <dcterms:created xsi:type="dcterms:W3CDTF">1601-01-01T00:00:00Z</dcterms:created>
  <dcterms:modified xsi:type="dcterms:W3CDTF">2025-08-11T13:32:34Z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