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lashcard\2016 Stesha\08.2025\"/>
    </mc:Choice>
  </mc:AlternateContent>
  <bookViews>
    <workbookView xWindow="-110" yWindow="-110" windowWidth="23260" windowHeight="13900"/>
  </bookViews>
  <sheets>
    <sheet name="Cash in bank report" sheetId="1" r:id="rId1"/>
    <sheet name="Daily exchange" sheetId="4" r:id="rId2"/>
    <sheet name="Time deposit" sheetId="2" r:id="rId3"/>
    <sheet name="LR" sheetId="5" r:id="rId4"/>
    <sheet name="CBR" sheetId="6" state="hidden" r:id="rId5"/>
  </sheets>
  <definedNames>
    <definedName name="\0" localSheetId="3">#REF!</definedName>
    <definedName name="\0">#REF!</definedName>
    <definedName name="\00" localSheetId="3">#REF!</definedName>
    <definedName name="\00">#REF!</definedName>
    <definedName name="\a">#N/A</definedName>
    <definedName name="\b">#N/A</definedName>
    <definedName name="\C" localSheetId="3">#REF!</definedName>
    <definedName name="\C">#REF!</definedName>
    <definedName name="\cc" localSheetId="3">#REF!</definedName>
    <definedName name="\cc">#REF!</definedName>
    <definedName name="\d" localSheetId="3">#REF!</definedName>
    <definedName name="\d">#REF!</definedName>
    <definedName name="\e" localSheetId="3">#REF!</definedName>
    <definedName name="\e">#REF!</definedName>
    <definedName name="\i" localSheetId="3">#REF!</definedName>
    <definedName name="\i">#REF!</definedName>
    <definedName name="\M" localSheetId="3">#REF!</definedName>
    <definedName name="\M">#REF!</definedName>
    <definedName name="\s" localSheetId="3">#REF!</definedName>
    <definedName name="\s">#REF!</definedName>
    <definedName name="\u" localSheetId="3">#REF!</definedName>
    <definedName name="\u">#REF!</definedName>
    <definedName name="_" localSheetId="3">#REF!</definedName>
    <definedName name="_">#REF!</definedName>
    <definedName name="_____________________________________________PL1" localSheetId="3">#REF!</definedName>
    <definedName name="_____________________________________________PL1">#REF!</definedName>
    <definedName name="_____________________________________________PL2" localSheetId="3">#REF!</definedName>
    <definedName name="_____________________________________________PL2">#REF!</definedName>
    <definedName name="____________________________________________PL1" localSheetId="3">#REF!</definedName>
    <definedName name="____________________________________________PL1">#REF!</definedName>
    <definedName name="____________________________________________PL2" localSheetId="3">#REF!</definedName>
    <definedName name="____________________________________________PL2">#REF!</definedName>
    <definedName name="__________________________NEW2" localSheetId="3">#REF!</definedName>
    <definedName name="__________________________NEW2">#REF!</definedName>
    <definedName name="_________________________NEW2" localSheetId="3">#REF!</definedName>
    <definedName name="_________________________NEW2">#REF!</definedName>
    <definedName name="____________________DAT1" localSheetId="3">#REF!</definedName>
    <definedName name="____________________DAT1">#REF!</definedName>
    <definedName name="____________________DAT10" localSheetId="3">#REF!</definedName>
    <definedName name="____________________DAT10">#REF!</definedName>
    <definedName name="____________________DAT11" localSheetId="3">#REF!</definedName>
    <definedName name="____________________DAT11">#REF!</definedName>
    <definedName name="____________________DAT2" localSheetId="3">#REF!</definedName>
    <definedName name="____________________DAT2">#REF!</definedName>
    <definedName name="____________________DAT3" localSheetId="3">#REF!</definedName>
    <definedName name="____________________DAT3">#REF!</definedName>
    <definedName name="____________________DAT4" localSheetId="3">#REF!</definedName>
    <definedName name="____________________DAT4">#REF!</definedName>
    <definedName name="____________________DAT5" localSheetId="3">#REF!</definedName>
    <definedName name="____________________DAT5">#REF!</definedName>
    <definedName name="____________________DAT6" localSheetId="3">#REF!</definedName>
    <definedName name="____________________DAT6">#REF!</definedName>
    <definedName name="____________________DAT7" localSheetId="3">#REF!</definedName>
    <definedName name="____________________DAT7">#REF!</definedName>
    <definedName name="____________________DAT8" localSheetId="3">#REF!</definedName>
    <definedName name="____________________DAT8">#REF!</definedName>
    <definedName name="____________________DAT9" localSheetId="3">#REF!</definedName>
    <definedName name="____________________DAT9">#REF!</definedName>
    <definedName name="____________________PL2" localSheetId="3">#REF!</definedName>
    <definedName name="____________________PL2">#REF!</definedName>
    <definedName name="____________________PR1">#N/A</definedName>
    <definedName name="____________________PR2">#N/A</definedName>
    <definedName name="___________________DAT1" localSheetId="3">#REF!</definedName>
    <definedName name="___________________DAT1">#REF!</definedName>
    <definedName name="___________________DAT10" localSheetId="3">#REF!</definedName>
    <definedName name="___________________DAT10">#REF!</definedName>
    <definedName name="___________________DAT11" localSheetId="3">#REF!</definedName>
    <definedName name="___________________DAT11">#REF!</definedName>
    <definedName name="___________________DAT2" localSheetId="3">#REF!</definedName>
    <definedName name="___________________DAT2">#REF!</definedName>
    <definedName name="___________________DAT3" localSheetId="3">#REF!</definedName>
    <definedName name="___________________DAT3">#REF!</definedName>
    <definedName name="___________________DAT4" localSheetId="3">#REF!</definedName>
    <definedName name="___________________DAT4">#REF!</definedName>
    <definedName name="___________________DAT5" localSheetId="3">#REF!</definedName>
    <definedName name="___________________DAT5">#REF!</definedName>
    <definedName name="___________________DAT6" localSheetId="3">#REF!</definedName>
    <definedName name="___________________DAT6">#REF!</definedName>
    <definedName name="___________________DAT7" localSheetId="3">#REF!</definedName>
    <definedName name="___________________DAT7">#REF!</definedName>
    <definedName name="___________________DAT8" localSheetId="3">#REF!</definedName>
    <definedName name="___________________DAT8">#REF!</definedName>
    <definedName name="___________________DAT9" localSheetId="3">#REF!</definedName>
    <definedName name="___________________DAT9">#REF!</definedName>
    <definedName name="___________________PR1">#N/A</definedName>
    <definedName name="___________________PR2">#N/A</definedName>
    <definedName name="__________________DAT1" localSheetId="3">#REF!</definedName>
    <definedName name="__________________DAT1">#REF!</definedName>
    <definedName name="__________________DAT10" localSheetId="3">#REF!</definedName>
    <definedName name="__________________DAT10">#REF!</definedName>
    <definedName name="__________________DAT11" localSheetId="3">#REF!</definedName>
    <definedName name="__________________DAT11">#REF!</definedName>
    <definedName name="__________________DAT2" localSheetId="3">#REF!</definedName>
    <definedName name="__________________DAT2">#REF!</definedName>
    <definedName name="__________________DAT3" localSheetId="3">#REF!</definedName>
    <definedName name="__________________DAT3">#REF!</definedName>
    <definedName name="__________________DAT4" localSheetId="3">#REF!</definedName>
    <definedName name="__________________DAT4">#REF!</definedName>
    <definedName name="__________________DAT5" localSheetId="3">#REF!</definedName>
    <definedName name="__________________DAT5">#REF!</definedName>
    <definedName name="__________________DAT6" localSheetId="3">#REF!</definedName>
    <definedName name="__________________DAT6">#REF!</definedName>
    <definedName name="__________________DAT7" localSheetId="3">#REF!</definedName>
    <definedName name="__________________DAT7">#REF!</definedName>
    <definedName name="__________________DAT8" localSheetId="3">#REF!</definedName>
    <definedName name="__________________DAT8">#REF!</definedName>
    <definedName name="__________________DAT9" localSheetId="3">#REF!</definedName>
    <definedName name="__________________DAT9">#REF!</definedName>
    <definedName name="__________________PR1">#N/A</definedName>
    <definedName name="__________________PR2">#N/A</definedName>
    <definedName name="_________________DAT1" localSheetId="3">#REF!</definedName>
    <definedName name="_________________DAT1">#REF!</definedName>
    <definedName name="_________________DAT10" localSheetId="3">#REF!</definedName>
    <definedName name="_________________DAT10">#REF!</definedName>
    <definedName name="_________________DAT11" localSheetId="3">#REF!</definedName>
    <definedName name="_________________DAT11">#REF!</definedName>
    <definedName name="_________________DAT2" localSheetId="3">#REF!</definedName>
    <definedName name="_________________DAT2">#REF!</definedName>
    <definedName name="_________________DAT3" localSheetId="3">#REF!</definedName>
    <definedName name="_________________DAT3">#REF!</definedName>
    <definedName name="_________________DAT4" localSheetId="3">#REF!</definedName>
    <definedName name="_________________DAT4">#REF!</definedName>
    <definedName name="_________________DAT5" localSheetId="3">#REF!</definedName>
    <definedName name="_________________DAT5">#REF!</definedName>
    <definedName name="_________________DAT6" localSheetId="3">#REF!</definedName>
    <definedName name="_________________DAT6">#REF!</definedName>
    <definedName name="_________________DAT7" localSheetId="3">#REF!</definedName>
    <definedName name="_________________DAT7">#REF!</definedName>
    <definedName name="_________________DAT8" localSheetId="3">#REF!</definedName>
    <definedName name="_________________DAT8">#REF!</definedName>
    <definedName name="_________________DAT9" localSheetId="3">#REF!</definedName>
    <definedName name="_________________DAT9">#REF!</definedName>
    <definedName name="_________________PR1">#N/A</definedName>
    <definedName name="_________________PR2">#N/A</definedName>
    <definedName name="________________DAT1" localSheetId="3">#REF!</definedName>
    <definedName name="________________DAT1">#REF!</definedName>
    <definedName name="________________DAT10" localSheetId="3">#REF!</definedName>
    <definedName name="________________DAT10">#REF!</definedName>
    <definedName name="________________DAT11" localSheetId="3">#REF!</definedName>
    <definedName name="________________DAT11">#REF!</definedName>
    <definedName name="________________DAT2" localSheetId="3">#REF!</definedName>
    <definedName name="________________DAT2">#REF!</definedName>
    <definedName name="________________DAT3" localSheetId="3">#REF!</definedName>
    <definedName name="________________DAT3">#REF!</definedName>
    <definedName name="________________DAT4" localSheetId="3">#REF!</definedName>
    <definedName name="________________DAT4">#REF!</definedName>
    <definedName name="________________DAT5" localSheetId="3">#REF!</definedName>
    <definedName name="________________DAT5">#REF!</definedName>
    <definedName name="________________DAT6" localSheetId="3">#REF!</definedName>
    <definedName name="________________DAT6">#REF!</definedName>
    <definedName name="________________DAT7" localSheetId="3">#REF!</definedName>
    <definedName name="________________DAT7">#REF!</definedName>
    <definedName name="________________DAT8" localSheetId="3">#REF!</definedName>
    <definedName name="________________DAT8">#REF!</definedName>
    <definedName name="________________DAT9" localSheetId="3">#REF!</definedName>
    <definedName name="________________DAT9">#REF!</definedName>
    <definedName name="________________PR1">#N/A</definedName>
    <definedName name="________________PR2">#N/A</definedName>
    <definedName name="_______________DAT1" localSheetId="3">#REF!</definedName>
    <definedName name="_______________DAT1">#REF!</definedName>
    <definedName name="_______________DAT10" localSheetId="3">#REF!</definedName>
    <definedName name="_______________DAT10">#REF!</definedName>
    <definedName name="_______________DAT11" localSheetId="3">#REF!</definedName>
    <definedName name="_______________DAT11">#REF!</definedName>
    <definedName name="_______________DAT2" localSheetId="3">#REF!</definedName>
    <definedName name="_______________DAT2">#REF!</definedName>
    <definedName name="_______________DAT3" localSheetId="3">#REF!</definedName>
    <definedName name="_______________DAT3">#REF!</definedName>
    <definedName name="_______________DAT4" localSheetId="3">#REF!</definedName>
    <definedName name="_______________DAT4">#REF!</definedName>
    <definedName name="_______________DAT5" localSheetId="3">#REF!</definedName>
    <definedName name="_______________DAT5">#REF!</definedName>
    <definedName name="_______________DAT6" localSheetId="3">#REF!</definedName>
    <definedName name="_______________DAT6">#REF!</definedName>
    <definedName name="_______________DAT7" localSheetId="3">#REF!</definedName>
    <definedName name="_______________DAT7">#REF!</definedName>
    <definedName name="_______________DAT8" localSheetId="3">#REF!</definedName>
    <definedName name="_______________DAT8">#REF!</definedName>
    <definedName name="_______________DAT9" localSheetId="3">#REF!</definedName>
    <definedName name="_______________DAT9">#REF!</definedName>
    <definedName name="_______________PR1">#N/A</definedName>
    <definedName name="_______________PR2">#N/A</definedName>
    <definedName name="______________DAT1" localSheetId="3">#REF!</definedName>
    <definedName name="______________DAT1">#REF!</definedName>
    <definedName name="______________DAT10" localSheetId="3">#REF!</definedName>
    <definedName name="______________DAT10">#REF!</definedName>
    <definedName name="______________DAT11" localSheetId="3">#REF!</definedName>
    <definedName name="______________DAT11">#REF!</definedName>
    <definedName name="______________DAT2" localSheetId="3">#REF!</definedName>
    <definedName name="______________DAT2">#REF!</definedName>
    <definedName name="______________DAT3" localSheetId="3">#REF!</definedName>
    <definedName name="______________DAT3">#REF!</definedName>
    <definedName name="______________DAT4" localSheetId="3">#REF!</definedName>
    <definedName name="______________DAT4">#REF!</definedName>
    <definedName name="______________DAT5" localSheetId="3">#REF!</definedName>
    <definedName name="______________DAT5">#REF!</definedName>
    <definedName name="______________DAT6" localSheetId="3">#REF!</definedName>
    <definedName name="______________DAT6">#REF!</definedName>
    <definedName name="______________DAT7" localSheetId="3">#REF!</definedName>
    <definedName name="______________DAT7">#REF!</definedName>
    <definedName name="______________DAT8" localSheetId="3">#REF!</definedName>
    <definedName name="______________DAT8">#REF!</definedName>
    <definedName name="______________DAT9" localSheetId="3">#REF!</definedName>
    <definedName name="______________DAT9">#REF!</definedName>
    <definedName name="______________PR1">#N/A</definedName>
    <definedName name="______________PR2">#N/A</definedName>
    <definedName name="_____________DAT1" localSheetId="3">#REF!</definedName>
    <definedName name="_____________DAT1">#REF!</definedName>
    <definedName name="_____________DAT10" localSheetId="3">#REF!</definedName>
    <definedName name="_____________DAT10">#REF!</definedName>
    <definedName name="_____________DAT11" localSheetId="3">#REF!</definedName>
    <definedName name="_____________DAT11">#REF!</definedName>
    <definedName name="_____________DAT2" localSheetId="3">#REF!</definedName>
    <definedName name="_____________DAT2">#REF!</definedName>
    <definedName name="_____________DAT3" localSheetId="3">#REF!</definedName>
    <definedName name="_____________DAT3">#REF!</definedName>
    <definedName name="_____________DAT4" localSheetId="3">#REF!</definedName>
    <definedName name="_____________DAT4">#REF!</definedName>
    <definedName name="_____________DAT5" localSheetId="3">#REF!</definedName>
    <definedName name="_____________DAT5">#REF!</definedName>
    <definedName name="_____________DAT6" localSheetId="3">#REF!</definedName>
    <definedName name="_____________DAT6">#REF!</definedName>
    <definedName name="_____________DAT7" localSheetId="3">#REF!</definedName>
    <definedName name="_____________DAT7">#REF!</definedName>
    <definedName name="_____________DAT8" localSheetId="3">#REF!</definedName>
    <definedName name="_____________DAT8">#REF!</definedName>
    <definedName name="_____________DAT9" localSheetId="3">#REF!</definedName>
    <definedName name="_____________DAT9">#REF!</definedName>
    <definedName name="_____________PR1">#N/A</definedName>
    <definedName name="_____________PR2">#N/A</definedName>
    <definedName name="____________DAT1" localSheetId="3">#REF!</definedName>
    <definedName name="____________DAT1">#REF!</definedName>
    <definedName name="____________DAT10" localSheetId="3">#REF!</definedName>
    <definedName name="____________DAT10">#REF!</definedName>
    <definedName name="____________DAT11" localSheetId="3">#REF!</definedName>
    <definedName name="____________DAT11">#REF!</definedName>
    <definedName name="____________DAT2" localSheetId="3">#REF!</definedName>
    <definedName name="____________DAT2">#REF!</definedName>
    <definedName name="____________DAT3" localSheetId="3">#REF!</definedName>
    <definedName name="____________DAT3">#REF!</definedName>
    <definedName name="____________DAT4" localSheetId="3">#REF!</definedName>
    <definedName name="____________DAT4">#REF!</definedName>
    <definedName name="____________DAT5" localSheetId="3">#REF!</definedName>
    <definedName name="____________DAT5">#REF!</definedName>
    <definedName name="____________DAT6" localSheetId="3">#REF!</definedName>
    <definedName name="____________DAT6">#REF!</definedName>
    <definedName name="____________DAT7" localSheetId="3">#REF!</definedName>
    <definedName name="____________DAT7">#REF!</definedName>
    <definedName name="____________DAT8" localSheetId="3">#REF!</definedName>
    <definedName name="____________DAT8">#REF!</definedName>
    <definedName name="____________DAT9" localSheetId="3">#REF!</definedName>
    <definedName name="____________DAT9">#REF!</definedName>
    <definedName name="____________PR1">#N/A</definedName>
    <definedName name="____________PR2">#N/A</definedName>
    <definedName name="___________DAT1" localSheetId="3">#REF!</definedName>
    <definedName name="___________DAT1">#REF!</definedName>
    <definedName name="___________DAT10" localSheetId="3">#REF!</definedName>
    <definedName name="___________DAT10">#REF!</definedName>
    <definedName name="___________DAT11" localSheetId="3">#REF!</definedName>
    <definedName name="___________DAT11">#REF!</definedName>
    <definedName name="___________DAT2" localSheetId="3">#REF!</definedName>
    <definedName name="___________DAT2">#REF!</definedName>
    <definedName name="___________DAT3" localSheetId="3">#REF!</definedName>
    <definedName name="___________DAT3">#REF!</definedName>
    <definedName name="___________DAT4" localSheetId="3">#REF!</definedName>
    <definedName name="___________DAT4">#REF!</definedName>
    <definedName name="___________DAT5" localSheetId="3">#REF!</definedName>
    <definedName name="___________DAT5">#REF!</definedName>
    <definedName name="___________DAT6" localSheetId="3">#REF!</definedName>
    <definedName name="___________DAT6">#REF!</definedName>
    <definedName name="___________DAT7" localSheetId="3">#REF!</definedName>
    <definedName name="___________DAT7">#REF!</definedName>
    <definedName name="___________DAT8" localSheetId="3">#REF!</definedName>
    <definedName name="___________DAT8">#REF!</definedName>
    <definedName name="___________DAT9" localSheetId="3">#REF!</definedName>
    <definedName name="___________DAT9">#REF!</definedName>
    <definedName name="___________PR1">#N/A</definedName>
    <definedName name="___________PR2">#N/A</definedName>
    <definedName name="__________DAT1" localSheetId="3">#REF!</definedName>
    <definedName name="__________DAT1">#REF!</definedName>
    <definedName name="__________DAT10" localSheetId="3">#REF!</definedName>
    <definedName name="__________DAT10">#REF!</definedName>
    <definedName name="__________DAT11" localSheetId="3">#REF!</definedName>
    <definedName name="__________DAT11">#REF!</definedName>
    <definedName name="__________DAT2" localSheetId="3">#REF!</definedName>
    <definedName name="__________DAT2">#REF!</definedName>
    <definedName name="__________DAT3" localSheetId="3">#REF!</definedName>
    <definedName name="__________DAT3">#REF!</definedName>
    <definedName name="__________DAT4" localSheetId="3">#REF!</definedName>
    <definedName name="__________DAT4">#REF!</definedName>
    <definedName name="__________DAT5" localSheetId="3">#REF!</definedName>
    <definedName name="__________DAT5">#REF!</definedName>
    <definedName name="__________DAT6" localSheetId="3">#REF!</definedName>
    <definedName name="__________DAT6">#REF!</definedName>
    <definedName name="__________DAT7" localSheetId="3">#REF!</definedName>
    <definedName name="__________DAT7">#REF!</definedName>
    <definedName name="__________DAT8" localSheetId="3">#REF!</definedName>
    <definedName name="__________DAT8">#REF!</definedName>
    <definedName name="__________DAT9" localSheetId="3">#REF!</definedName>
    <definedName name="__________DAT9">#REF!</definedName>
    <definedName name="__________PR1">#N/A</definedName>
    <definedName name="__________PR2">#N/A</definedName>
    <definedName name="_________DAT1" localSheetId="3">#REF!</definedName>
    <definedName name="_________DAT1">#REF!</definedName>
    <definedName name="_________DAT10" localSheetId="3">#REF!</definedName>
    <definedName name="_________DAT10">#REF!</definedName>
    <definedName name="_________DAT11" localSheetId="3">#REF!</definedName>
    <definedName name="_________DAT11">#REF!</definedName>
    <definedName name="_________DAT2" localSheetId="3">#REF!</definedName>
    <definedName name="_________DAT2">#REF!</definedName>
    <definedName name="_________DAT3" localSheetId="3">#REF!</definedName>
    <definedName name="_________DAT3">#REF!</definedName>
    <definedName name="_________DAT4" localSheetId="3">#REF!</definedName>
    <definedName name="_________DAT4">#REF!</definedName>
    <definedName name="_________DAT5" localSheetId="3">#REF!</definedName>
    <definedName name="_________DAT5">#REF!</definedName>
    <definedName name="_________DAT6" localSheetId="3">#REF!</definedName>
    <definedName name="_________DAT6">#REF!</definedName>
    <definedName name="_________DAT7" localSheetId="3">#REF!</definedName>
    <definedName name="_________DAT7">#REF!</definedName>
    <definedName name="_________DAT8" localSheetId="3">#REF!</definedName>
    <definedName name="_________DAT8">#REF!</definedName>
    <definedName name="_________DAT9" localSheetId="3">#REF!</definedName>
    <definedName name="_________DAT9">#REF!</definedName>
    <definedName name="_________PR1">#N/A</definedName>
    <definedName name="_________PR2">#N/A</definedName>
    <definedName name="________DAT1" localSheetId="3">#REF!</definedName>
    <definedName name="________DAT1">#REF!</definedName>
    <definedName name="________DAT10" localSheetId="3">#REF!</definedName>
    <definedName name="________DAT10">#REF!</definedName>
    <definedName name="________DAT11" localSheetId="3">#REF!</definedName>
    <definedName name="________DAT11">#REF!</definedName>
    <definedName name="________DAT2" localSheetId="3">#REF!</definedName>
    <definedName name="________DAT2">#REF!</definedName>
    <definedName name="________DAT3" localSheetId="3">#REF!</definedName>
    <definedName name="________DAT3">#REF!</definedName>
    <definedName name="________DAT4" localSheetId="3">#REF!</definedName>
    <definedName name="________DAT4">#REF!</definedName>
    <definedName name="________DAT5" localSheetId="3">#REF!</definedName>
    <definedName name="________DAT5">#REF!</definedName>
    <definedName name="________DAT6" localSheetId="3">#REF!</definedName>
    <definedName name="________DAT6">#REF!</definedName>
    <definedName name="________DAT7" localSheetId="3">#REF!</definedName>
    <definedName name="________DAT7">#REF!</definedName>
    <definedName name="________DAT8" localSheetId="3">#REF!</definedName>
    <definedName name="________DAT8">#REF!</definedName>
    <definedName name="________DAT9" localSheetId="3">#REF!</definedName>
    <definedName name="________DAT9">#REF!</definedName>
    <definedName name="________PR1">#N/A</definedName>
    <definedName name="________PR2">#N/A</definedName>
    <definedName name="_______DAT1" localSheetId="3">#REF!</definedName>
    <definedName name="_______DAT1">#REF!</definedName>
    <definedName name="_______DAT10" localSheetId="3">#REF!</definedName>
    <definedName name="_______DAT10">#REF!</definedName>
    <definedName name="_______DAT11" localSheetId="3">#REF!</definedName>
    <definedName name="_______DAT11">#REF!</definedName>
    <definedName name="_______DAT2" localSheetId="3">#REF!</definedName>
    <definedName name="_______DAT2">#REF!</definedName>
    <definedName name="_______DAT3" localSheetId="3">#REF!</definedName>
    <definedName name="_______DAT3">#REF!</definedName>
    <definedName name="_______DAT4" localSheetId="3">#REF!</definedName>
    <definedName name="_______DAT4">#REF!</definedName>
    <definedName name="_______DAT5" localSheetId="3">#REF!</definedName>
    <definedName name="_______DAT5">#REF!</definedName>
    <definedName name="_______DAT6" localSheetId="3">#REF!</definedName>
    <definedName name="_______DAT6">#REF!</definedName>
    <definedName name="_______DAT7" localSheetId="3">#REF!</definedName>
    <definedName name="_______DAT7">#REF!</definedName>
    <definedName name="_______DAT8" localSheetId="3">#REF!</definedName>
    <definedName name="_______DAT8">#REF!</definedName>
    <definedName name="_______DAT9" localSheetId="3">#REF!</definedName>
    <definedName name="_______DAT9">#REF!</definedName>
    <definedName name="_______PR1">#N/A</definedName>
    <definedName name="_______PR2">#N/A</definedName>
    <definedName name="______DAT1" localSheetId="3">#REF!</definedName>
    <definedName name="______DAT1">#REF!</definedName>
    <definedName name="______DAT10" localSheetId="3">#REF!</definedName>
    <definedName name="______DAT10">#REF!</definedName>
    <definedName name="______DAT11" localSheetId="3">#REF!</definedName>
    <definedName name="______DAT11">#REF!</definedName>
    <definedName name="______DAT2" localSheetId="3">#REF!</definedName>
    <definedName name="______DAT2">#REF!</definedName>
    <definedName name="______DAT3" localSheetId="3">#REF!</definedName>
    <definedName name="______DAT3">#REF!</definedName>
    <definedName name="______DAT4" localSheetId="3">#REF!</definedName>
    <definedName name="______DAT4">#REF!</definedName>
    <definedName name="______DAT5" localSheetId="3">#REF!</definedName>
    <definedName name="______DAT5">#REF!</definedName>
    <definedName name="______DAT6" localSheetId="3">#REF!</definedName>
    <definedName name="______DAT6">#REF!</definedName>
    <definedName name="______DAT7" localSheetId="3">#REF!</definedName>
    <definedName name="______DAT7">#REF!</definedName>
    <definedName name="______DAT8" localSheetId="3">#REF!</definedName>
    <definedName name="______DAT8">#REF!</definedName>
    <definedName name="______DAT9" localSheetId="3">#REF!</definedName>
    <definedName name="______DAT9">#REF!</definedName>
    <definedName name="______PR1">#N/A</definedName>
    <definedName name="______PR2">#N/A</definedName>
    <definedName name="_____DAT1" localSheetId="3">#REF!</definedName>
    <definedName name="_____DAT1">#REF!</definedName>
    <definedName name="_____DAT10" localSheetId="3">#REF!</definedName>
    <definedName name="_____DAT10">#REF!</definedName>
    <definedName name="_____DAT11" localSheetId="3">#REF!</definedName>
    <definedName name="_____DAT11">#REF!</definedName>
    <definedName name="_____DAT2" localSheetId="3">#REF!</definedName>
    <definedName name="_____DAT2">#REF!</definedName>
    <definedName name="_____DAT3" localSheetId="3">#REF!</definedName>
    <definedName name="_____DAT3">#REF!</definedName>
    <definedName name="_____DAT4" localSheetId="3">#REF!</definedName>
    <definedName name="_____DAT4">#REF!</definedName>
    <definedName name="_____DAT5" localSheetId="3">#REF!</definedName>
    <definedName name="_____DAT5">#REF!</definedName>
    <definedName name="_____DAT6" localSheetId="3">#REF!</definedName>
    <definedName name="_____DAT6">#REF!</definedName>
    <definedName name="_____DAT7" localSheetId="3">#REF!</definedName>
    <definedName name="_____DAT7">#REF!</definedName>
    <definedName name="_____DAT8" localSheetId="3">#REF!</definedName>
    <definedName name="_____DAT8">#REF!</definedName>
    <definedName name="_____DAT9" localSheetId="3">#REF!</definedName>
    <definedName name="_____DAT9">#REF!</definedName>
    <definedName name="_____NEW1" localSheetId="3">#REF!</definedName>
    <definedName name="_____NEW1">#REF!</definedName>
    <definedName name="_____NEW2" localSheetId="3">#REF!</definedName>
    <definedName name="_____NEW2">#REF!</definedName>
    <definedName name="_____PL1" localSheetId="3">#REF!</definedName>
    <definedName name="_____PL1">#REF!</definedName>
    <definedName name="_____PL2" localSheetId="3">#REF!</definedName>
    <definedName name="_____PL2">#REF!</definedName>
    <definedName name="_____PR1">#N/A</definedName>
    <definedName name="_____PR2">#N/A</definedName>
    <definedName name="____DAT1" localSheetId="3">#REF!</definedName>
    <definedName name="____DAT1">#REF!</definedName>
    <definedName name="____DAT10" localSheetId="3">#REF!</definedName>
    <definedName name="____DAT10">#REF!</definedName>
    <definedName name="____DAT11" localSheetId="3">#REF!</definedName>
    <definedName name="____DAT11">#REF!</definedName>
    <definedName name="____DAT2" localSheetId="3">#REF!</definedName>
    <definedName name="____DAT2">#REF!</definedName>
    <definedName name="____DAT3" localSheetId="3">#REF!</definedName>
    <definedName name="____DAT3">#REF!</definedName>
    <definedName name="____DAT4" localSheetId="3">#REF!</definedName>
    <definedName name="____DAT4">#REF!</definedName>
    <definedName name="____DAT5" localSheetId="3">#REF!</definedName>
    <definedName name="____DAT5">#REF!</definedName>
    <definedName name="____DAT6" localSheetId="3">#REF!</definedName>
    <definedName name="____DAT6">#REF!</definedName>
    <definedName name="____DAT7" localSheetId="3">#REF!</definedName>
    <definedName name="____DAT7">#REF!</definedName>
    <definedName name="____DAT8" localSheetId="3">#REF!</definedName>
    <definedName name="____DAT8">#REF!</definedName>
    <definedName name="____DAT9" localSheetId="3">#REF!</definedName>
    <definedName name="____DAT9">#REF!</definedName>
    <definedName name="____PR1">#N/A</definedName>
    <definedName name="____PR2">#N/A</definedName>
    <definedName name="___DAT1" localSheetId="3">#REF!</definedName>
    <definedName name="___DAT1">#REF!</definedName>
    <definedName name="___DAT10" localSheetId="3">#REF!</definedName>
    <definedName name="___DAT10">#REF!</definedName>
    <definedName name="___DAT11" localSheetId="3">#REF!</definedName>
    <definedName name="___DAT11">#REF!</definedName>
    <definedName name="___DAT2" localSheetId="3">#REF!</definedName>
    <definedName name="___DAT2">#REF!</definedName>
    <definedName name="___DAT3" localSheetId="3">#REF!</definedName>
    <definedName name="___DAT3">#REF!</definedName>
    <definedName name="___DAT4" localSheetId="3">#REF!</definedName>
    <definedName name="___DAT4">#REF!</definedName>
    <definedName name="___DAT5" localSheetId="3">#REF!</definedName>
    <definedName name="___DAT5">#REF!</definedName>
    <definedName name="___DAT6" localSheetId="3">#REF!</definedName>
    <definedName name="___DAT6">#REF!</definedName>
    <definedName name="___DAT7" localSheetId="3">#REF!</definedName>
    <definedName name="___DAT7">#REF!</definedName>
    <definedName name="___DAT8" localSheetId="3">#REF!</definedName>
    <definedName name="___DAT8">#REF!</definedName>
    <definedName name="___DAT9" localSheetId="3">#REF!</definedName>
    <definedName name="___DAT9">#REF!</definedName>
    <definedName name="___IV70000" localSheetId="3">#REF!</definedName>
    <definedName name="___IV70000">#REF!</definedName>
    <definedName name="___IV77777" localSheetId="3">#REF!</definedName>
    <definedName name="___IV77777">#REF!</definedName>
    <definedName name="___PR1">#N/A</definedName>
    <definedName name="___PR2">#N/A</definedName>
    <definedName name="___PS1" localSheetId="3">#REF!</definedName>
    <definedName name="___PS1">#REF!</definedName>
    <definedName name="___PS2" localSheetId="3">#REF!</definedName>
    <definedName name="___PS2">#REF!</definedName>
    <definedName name="__DAT1" localSheetId="3">#REF!</definedName>
    <definedName name="__DAT1">#REF!</definedName>
    <definedName name="__DAT10" localSheetId="3">#REF!</definedName>
    <definedName name="__DAT10">#REF!</definedName>
    <definedName name="__DAT11" localSheetId="3">#REF!</definedName>
    <definedName name="__DAT11">#REF!</definedName>
    <definedName name="__DAT2" localSheetId="3">#REF!</definedName>
    <definedName name="__DAT2">#REF!</definedName>
    <definedName name="__DAT3" localSheetId="3">#REF!</definedName>
    <definedName name="__DAT3">#REF!</definedName>
    <definedName name="__DAT4" localSheetId="3">#REF!</definedName>
    <definedName name="__DAT4">#REF!</definedName>
    <definedName name="__DAT5" localSheetId="3">#REF!</definedName>
    <definedName name="__DAT5">#REF!</definedName>
    <definedName name="__DAT6" localSheetId="3">#REF!</definedName>
    <definedName name="__DAT6">#REF!</definedName>
    <definedName name="__DAT7" localSheetId="3">#REF!</definedName>
    <definedName name="__DAT7">#REF!</definedName>
    <definedName name="__DAT8" localSheetId="3">#REF!</definedName>
    <definedName name="__DAT8">#REF!</definedName>
    <definedName name="__DAT9" localSheetId="3">#REF!</definedName>
    <definedName name="__DAT9">#REF!</definedName>
    <definedName name="__ESTATE" localSheetId="3">#REF!</definedName>
    <definedName name="__ESTATE">#REF!</definedName>
    <definedName name="__IV70000" localSheetId="3">#REF!</definedName>
    <definedName name="__IV70000">#REF!</definedName>
    <definedName name="__IV77777" localSheetId="3">#REF!</definedName>
    <definedName name="__IV77777">#REF!</definedName>
    <definedName name="__PR1">#N/A</definedName>
    <definedName name="__PR2">#N/A</definedName>
    <definedName name="__PS1" localSheetId="3">#REF!</definedName>
    <definedName name="__PS1">#REF!</definedName>
    <definedName name="__PS2" localSheetId="3">#REF!</definedName>
    <definedName name="__PS2">#REF!</definedName>
    <definedName name="_1">#N/A</definedName>
    <definedName name="_1_____Module1_.Macro1" localSheetId="3">#REF!</definedName>
    <definedName name="_1_____Module1_.Macro1">#REF!</definedName>
    <definedName name="_10">#N/A</definedName>
    <definedName name="_10_____Module1_.Macro1" localSheetId="3">#REF!</definedName>
    <definedName name="_10_____Module1_.Macro1">#REF!</definedName>
    <definedName name="_100___Module1_.Macro1" localSheetId="3">#REF!</definedName>
    <definedName name="_100___Module1_.Macro1">#REF!</definedName>
    <definedName name="_11">#N/A</definedName>
    <definedName name="_11_____Module1_.Macro1" localSheetId="3">#REF!</definedName>
    <definedName name="_11_____Module1_.Macro1">#REF!</definedName>
    <definedName name="_117____Module1_.Macro1" localSheetId="3">#REF!</definedName>
    <definedName name="_117____Module1_.Macro1">#REF!</definedName>
    <definedName name="_12______Module1_.Macro1" localSheetId="3">#REF!</definedName>
    <definedName name="_12______Module1_.Macro1">#REF!</definedName>
    <definedName name="_13______Module1_.Macro1" localSheetId="3">#REF!</definedName>
    <definedName name="_13______Module1_.Macro1">#REF!</definedName>
    <definedName name="_139____Module1_.Macro1" localSheetId="3">#REF!</definedName>
    <definedName name="_139____Module1_.Macro1">#REF!</definedName>
    <definedName name="_14_______Module1_.Macro1" localSheetId="3">#REF!</definedName>
    <definedName name="_14_______Module1_.Macro1">#REF!</definedName>
    <definedName name="_15_______Module1_.Macro1" localSheetId="3">#REF!</definedName>
    <definedName name="_15_______Module1_.Macro1">#REF!</definedName>
    <definedName name="_152_____Module1_.Macro1" localSheetId="3">#REF!</definedName>
    <definedName name="_152_____Module1_.Macro1">#REF!</definedName>
    <definedName name="_16________Module1_.Macro1" localSheetId="3">#REF!</definedName>
    <definedName name="_16________Module1_.Macro1">#REF!</definedName>
    <definedName name="_165______Module1_.Macro1" localSheetId="3">#REF!</definedName>
    <definedName name="_165______Module1_.Macro1">#REF!</definedName>
    <definedName name="_17________Module1_.Macro1" localSheetId="3">#REF!</definedName>
    <definedName name="_17________Module1_.Macro1">#REF!</definedName>
    <definedName name="_178_______Module1_.Macro1" localSheetId="3">#REF!</definedName>
    <definedName name="_178_______Module1_.Macro1">#REF!</definedName>
    <definedName name="_18_________Module1_.Macro1" localSheetId="3">#REF!</definedName>
    <definedName name="_18_________Module1_.Macro1">#REF!</definedName>
    <definedName name="_18______Module1_.Macro1" localSheetId="3">#REF!</definedName>
    <definedName name="_18______Module1_.Macro1">#REF!</definedName>
    <definedName name="_19_________Module1_.Macro1" localSheetId="3">#REF!</definedName>
    <definedName name="_19_________Module1_.Macro1">#REF!</definedName>
    <definedName name="_191________Module1_.Macro1" localSheetId="3">#REF!</definedName>
    <definedName name="_191________Module1_.Macro1">#REF!</definedName>
    <definedName name="_1Module1_.Macro1" localSheetId="3">#REF!</definedName>
    <definedName name="_1Module1_.Macro1">#REF!</definedName>
    <definedName name="_2">#N/A</definedName>
    <definedName name="_2______Module1_.Macro1" localSheetId="3">#REF!</definedName>
    <definedName name="_2______Module1_.Macro1">#REF!</definedName>
    <definedName name="_20__________Module1_.Macro1" localSheetId="3">#REF!</definedName>
    <definedName name="_20__________Module1_.Macro1">#REF!</definedName>
    <definedName name="_204_________Module1_.Macro1" localSheetId="3">#REF!</definedName>
    <definedName name="_204_________Module1_.Macro1">#REF!</definedName>
    <definedName name="_21__________Module1_.Macro1" localSheetId="3">#REF!</definedName>
    <definedName name="_21__________Module1_.Macro1">#REF!</definedName>
    <definedName name="_217__________Module1_.Macro1" localSheetId="3">#REF!</definedName>
    <definedName name="_217__________Module1_.Macro1">#REF!</definedName>
    <definedName name="_22____________Module1_.Macro1" localSheetId="3">#REF!</definedName>
    <definedName name="_22____________Module1_.Macro1">#REF!</definedName>
    <definedName name="_22Module1_.Macro1" localSheetId="3">#REF!</definedName>
    <definedName name="_22Module1_.Macro1">#REF!</definedName>
    <definedName name="_23____________Module1_.Macro1" localSheetId="3">#REF!</definedName>
    <definedName name="_23____________Module1_.Macro1">#REF!</definedName>
    <definedName name="_230____________Module1_.Macro1" localSheetId="3">#REF!</definedName>
    <definedName name="_230____________Module1_.Macro1">#REF!</definedName>
    <definedName name="_24______________Module1_.Macro1" localSheetId="3">#REF!</definedName>
    <definedName name="_24______________Module1_.Macro1">#REF!</definedName>
    <definedName name="_243______________Module1_.Macro1" localSheetId="3">#REF!</definedName>
    <definedName name="_243______________Module1_.Macro1">#REF!</definedName>
    <definedName name="_25______________Module1_.Macro1" localSheetId="3">#REF!</definedName>
    <definedName name="_25______________Module1_.Macro1">#REF!</definedName>
    <definedName name="_256________________Module1_.Macro1" localSheetId="3">#REF!</definedName>
    <definedName name="_256________________Module1_.Macro1">#REF!</definedName>
    <definedName name="_26________________Module1_.Macro1" localSheetId="3">#REF!</definedName>
    <definedName name="_26________________Module1_.Macro1">#REF!</definedName>
    <definedName name="_27________________Module1_.Macro1" localSheetId="3">#REF!</definedName>
    <definedName name="_27________________Module1_.Macro1">#REF!</definedName>
    <definedName name="_27_______Module1_.Macro1" localSheetId="3">#REF!</definedName>
    <definedName name="_27_______Module1_.Macro1">#REF!</definedName>
    <definedName name="_27Module1_.Macro1" localSheetId="3">#REF!</definedName>
    <definedName name="_27Module1_.Macro1">#REF!</definedName>
    <definedName name="_2Module1_.Macro1" localSheetId="3">#REF!</definedName>
    <definedName name="_2Module1_.Macro1">#REF!</definedName>
    <definedName name="_3">#N/A</definedName>
    <definedName name="_3_______Module1_.Macro1" localSheetId="3">#REF!</definedName>
    <definedName name="_3_______Module1_.Macro1">#REF!</definedName>
    <definedName name="_3__Module1_.Macro1" localSheetId="3">#REF!</definedName>
    <definedName name="_3__Module1_.Macro1">#REF!</definedName>
    <definedName name="_36________Module1_.Macro1" localSheetId="3">#REF!</definedName>
    <definedName name="_36________Module1_.Macro1">#REF!</definedName>
    <definedName name="_3Module1_.Macro1" localSheetId="3">#REF!</definedName>
    <definedName name="_3Module1_.Macro1">#REF!</definedName>
    <definedName name="_4">#N/A</definedName>
    <definedName name="_4________Module1_.Macro1" localSheetId="3">#REF!</definedName>
    <definedName name="_4________Module1_.Macro1">#REF!</definedName>
    <definedName name="_4__Module1_.Macro1" localSheetId="3">#REF!</definedName>
    <definedName name="_4__Module1_.Macro1">#REF!</definedName>
    <definedName name="_45_________Module1_.Macro1" localSheetId="3">#REF!</definedName>
    <definedName name="_45_________Module1_.Macro1">#REF!</definedName>
    <definedName name="_5">#N/A</definedName>
    <definedName name="_5_________Module1_.Macro1" localSheetId="3">#REF!</definedName>
    <definedName name="_5_________Module1_.Macro1">#REF!</definedName>
    <definedName name="_5__Module1_.Macro1" localSheetId="3">#REF!</definedName>
    <definedName name="_5__Module1_.Macro1">#REF!</definedName>
    <definedName name="_54__________Module1_.Macro1" localSheetId="3">#REF!</definedName>
    <definedName name="_54__________Module1_.Macro1">#REF!</definedName>
    <definedName name="_551" localSheetId="3">#REF!</definedName>
    <definedName name="_551">#REF!</definedName>
    <definedName name="_552" localSheetId="3">#REF!</definedName>
    <definedName name="_552">#REF!</definedName>
    <definedName name="_553" localSheetId="3">#REF!</definedName>
    <definedName name="_553">#REF!</definedName>
    <definedName name="_57__Module1_.Macro1" localSheetId="3">#REF!</definedName>
    <definedName name="_57__Module1_.Macro1">#REF!</definedName>
    <definedName name="_6">#N/A</definedName>
    <definedName name="_6__________Module1_.Macro1" localSheetId="3">#REF!</definedName>
    <definedName name="_6__________Module1_.Macro1">#REF!</definedName>
    <definedName name="_6___Module1_.Macro1" localSheetId="3">#REF!</definedName>
    <definedName name="_6___Module1_.Macro1">#REF!</definedName>
    <definedName name="_61__Module1_.Macro1" localSheetId="3">#REF!</definedName>
    <definedName name="_61__Module1_.Macro1">#REF!</definedName>
    <definedName name="_63____________Module1_.Macro1" localSheetId="3">#REF!</definedName>
    <definedName name="_63____________Module1_.Macro1">#REF!</definedName>
    <definedName name="_7">#N/A</definedName>
    <definedName name="_7____________Module1_.Macro1" localSheetId="3">#REF!</definedName>
    <definedName name="_7____________Module1_.Macro1">#REF!</definedName>
    <definedName name="_7___Module1_.Macro1" localSheetId="3">#REF!</definedName>
    <definedName name="_7___Module1_.Macro1">#REF!</definedName>
    <definedName name="_72______________Module1_.Macro1" localSheetId="3">#REF!</definedName>
    <definedName name="_72______________Module1_.Macro1">#REF!</definedName>
    <definedName name="_7Module1_.Macro1" localSheetId="3">#REF!</definedName>
    <definedName name="_7Module1_.Macro1">#REF!</definedName>
    <definedName name="_8">#N/A</definedName>
    <definedName name="_8______________Module1_.Macro1" localSheetId="3">#REF!</definedName>
    <definedName name="_8______________Module1_.Macro1">#REF!</definedName>
    <definedName name="_8____Module1_.Macro1" localSheetId="3">#REF!</definedName>
    <definedName name="_8____Module1_.Macro1">#REF!</definedName>
    <definedName name="_81________________Module1_.Macro1" localSheetId="3">#REF!</definedName>
    <definedName name="_81________________Module1_.Macro1">#REF!</definedName>
    <definedName name="_87___Module1_.Macro1" localSheetId="3">#REF!</definedName>
    <definedName name="_87___Module1_.Macro1">#REF!</definedName>
    <definedName name="_9">#N/A</definedName>
    <definedName name="_9________________Module1_.Macro1" localSheetId="3">#REF!</definedName>
    <definedName name="_9________________Module1_.Macro1">#REF!</definedName>
    <definedName name="_9_____Module1_.Macro1" localSheetId="3">#REF!</definedName>
    <definedName name="_9_____Module1_.Macro1">#REF!</definedName>
    <definedName name="_9____Module1_.Macro1" localSheetId="3">#REF!</definedName>
    <definedName name="_9____Module1_.Macro1">#REF!</definedName>
    <definedName name="_Bal2" localSheetId="3">#REF!</definedName>
    <definedName name="_Bal2">#REF!</definedName>
    <definedName name="_DAT1" localSheetId="3">#REF!</definedName>
    <definedName name="_DAT1">#REF!</definedName>
    <definedName name="_DAT10" localSheetId="3">#REF!</definedName>
    <definedName name="_DAT10">#REF!</definedName>
    <definedName name="_DAT11" localSheetId="3">#REF!</definedName>
    <definedName name="_DAT11">#REF!</definedName>
    <definedName name="_DAT2" localSheetId="3">#REF!</definedName>
    <definedName name="_DAT2">#REF!</definedName>
    <definedName name="_DAT3" localSheetId="3">#REF!</definedName>
    <definedName name="_DAT3">#REF!</definedName>
    <definedName name="_DAT4" localSheetId="3">#REF!</definedName>
    <definedName name="_DAT4">#REF!</definedName>
    <definedName name="_DAT5" localSheetId="3">#REF!</definedName>
    <definedName name="_DAT5">#REF!</definedName>
    <definedName name="_DAT6" localSheetId="3">#REF!</definedName>
    <definedName name="_DAT6">#REF!</definedName>
    <definedName name="_DAT7" localSheetId="3">#REF!</definedName>
    <definedName name="_DAT7">#REF!</definedName>
    <definedName name="_DAT8" localSheetId="3">#REF!</definedName>
    <definedName name="_DAT8">#REF!</definedName>
    <definedName name="_DAT9" localSheetId="3">#REF!</definedName>
    <definedName name="_DAT9">#REF!</definedName>
    <definedName name="_Dist_Values" localSheetId="3" hidden="1">#REF!</definedName>
    <definedName name="_Dist_Values" hidden="1">#REF!</definedName>
    <definedName name="_Fill" localSheetId="3" hidden="1">#REF!</definedName>
    <definedName name="_Fill" hidden="1">#REF!</definedName>
    <definedName name="_ilg1" localSheetId="3">#REF!</definedName>
    <definedName name="_ilg1">#REF!</definedName>
    <definedName name="_imt2" localSheetId="3">#REF!</definedName>
    <definedName name="_imt2">#REF!</definedName>
    <definedName name="_int2" localSheetId="3">#REF!</definedName>
    <definedName name="_int2">#REF!</definedName>
    <definedName name="_IV70000" localSheetId="3">#REF!</definedName>
    <definedName name="_IV70000">#REF!</definedName>
    <definedName name="_IV77777" localSheetId="3">#REF!</definedName>
    <definedName name="_IV77777">#REF!</definedName>
    <definedName name="_Key1" localSheetId="3" hidden="1">#REF!</definedName>
    <definedName name="_Key1" hidden="1">#REF!</definedName>
    <definedName name="_LB1" localSheetId="3">#REF!</definedName>
    <definedName name="_LB1">#REF!</definedName>
    <definedName name="_NEW1" localSheetId="3">#REF!</definedName>
    <definedName name="_NEW1">#REF!</definedName>
    <definedName name="_NEW2" localSheetId="3">#REF!</definedName>
    <definedName name="_NEW2">#REF!</definedName>
    <definedName name="_no1" localSheetId="3">#REF!</definedName>
    <definedName name="_no1">#REF!</definedName>
    <definedName name="_no2" localSheetId="3">#REF!</definedName>
    <definedName name="_no2">#REF!</definedName>
    <definedName name="_Order1" hidden="1">255</definedName>
    <definedName name="_Order2" hidden="1">255</definedName>
    <definedName name="_Parse_In" localSheetId="3" hidden="1">#REF!</definedName>
    <definedName name="_Parse_In" hidden="1">#REF!</definedName>
    <definedName name="_Parse_Out" localSheetId="3" hidden="1">#REF!</definedName>
    <definedName name="_Parse_Out" hidden="1">#REF!</definedName>
    <definedName name="_PL1" localSheetId="3">#REF!</definedName>
    <definedName name="_PL1">#REF!</definedName>
    <definedName name="_PL2" localSheetId="3">#REF!</definedName>
    <definedName name="_PL2">#REF!</definedName>
    <definedName name="_PR1">#N/A</definedName>
    <definedName name="_PR2">#N/A</definedName>
    <definedName name="_PRJ_SHEET_" localSheetId="3">#REF!</definedName>
    <definedName name="_PRJ_SHEET_">#REF!</definedName>
    <definedName name="_ps3" localSheetId="3">#REF!</definedName>
    <definedName name="_ps3">#REF!</definedName>
    <definedName name="_Regression_Int" hidden="1">1</definedName>
    <definedName name="_Sort" localSheetId="3" hidden="1">#REF!</definedName>
    <definedName name="_Sort" hidden="1">#REF!</definedName>
    <definedName name="A">#N/A</definedName>
    <definedName name="aa" localSheetId="3" hidden="1">#REF!</definedName>
    <definedName name="aa" hidden="1">#REF!</definedName>
    <definedName name="aaa" localSheetId="3">#REF!</definedName>
    <definedName name="aaa">#REF!</definedName>
    <definedName name="aaaa" localSheetId="3">#REF!</definedName>
    <definedName name="aaaa">#REF!</definedName>
    <definedName name="AAAAA" localSheetId="3">#REF!</definedName>
    <definedName name="AAAAA">#REF!</definedName>
    <definedName name="Aasta" localSheetId="3">#REF!</definedName>
    <definedName name="Aasta">#REF!</definedName>
    <definedName name="ab" localSheetId="3">#REF!</definedName>
    <definedName name="ab">#REF!</definedName>
    <definedName name="About_AI" localSheetId="3">#REF!</definedName>
    <definedName name="About_AI">#REF!</definedName>
    <definedName name="About_AI_Summ" localSheetId="3">#REF!</definedName>
    <definedName name="About_AI_Summ">#REF!</definedName>
    <definedName name="ADD" localSheetId="3">#REF!</definedName>
    <definedName name="ADD">#REF!</definedName>
    <definedName name="adj" localSheetId="3">#REF!</definedName>
    <definedName name="adj">#REF!</definedName>
    <definedName name="adj_eqty" localSheetId="3">#REF!</definedName>
    <definedName name="adj_eqty">#REF!</definedName>
    <definedName name="adsf" localSheetId="3">#REF!</definedName>
    <definedName name="adsf">#REF!</definedName>
    <definedName name="ADV" localSheetId="3">#REF!</definedName>
    <definedName name="ADV">#REF!</definedName>
    <definedName name="aewf" localSheetId="3">#REF!</definedName>
    <definedName name="aewf">#REF!</definedName>
    <definedName name="AI" localSheetId="3">#REF!</definedName>
    <definedName name="AI">#REF!</definedName>
    <definedName name="AI_Version" localSheetId="3">#REF!</definedName>
    <definedName name="AI_Version">#REF!</definedName>
    <definedName name="akc" localSheetId="3">#REF!</definedName>
    <definedName name="akc">#REF!</definedName>
    <definedName name="AkcijuPok" localSheetId="3">#REF!</definedName>
    <definedName name="AkcijuPok">#REF!</definedName>
    <definedName name="akcininku" localSheetId="3">#REF!</definedName>
    <definedName name="akcininku">#REF!</definedName>
    <definedName name="AM" localSheetId="3">#REF!</definedName>
    <definedName name="AM">#REF!</definedName>
    <definedName name="APMI" localSheetId="3">#REF!</definedName>
    <definedName name="APMI">#REF!</definedName>
    <definedName name="APMlik" localSheetId="3">#REF!</definedName>
    <definedName name="APMlik">#REF!</definedName>
    <definedName name="APMS" localSheetId="3">#REF!</definedName>
    <definedName name="APMS">#REF!</definedName>
    <definedName name="APMT" localSheetId="3">#REF!</definedName>
    <definedName name="APMT">#REF!</definedName>
    <definedName name="APMTBendr" localSheetId="3">#REF!</definedName>
    <definedName name="APMTBendr">#REF!</definedName>
    <definedName name="APMTI" localSheetId="3">#REF!</definedName>
    <definedName name="APMTI">#REF!</definedName>
    <definedName name="AR_allowance_2008" localSheetId="3">#REF!</definedName>
    <definedName name="AR_allowance_2008">#REF!</definedName>
    <definedName name="AREA" localSheetId="3">#REF!</definedName>
    <definedName name="AREA">#REF!</definedName>
    <definedName name="as" localSheetId="3">#REF!</definedName>
    <definedName name="as">#REF!</definedName>
    <definedName name="AS2DocOpenMode" hidden="1">"AS2DocumentBrowse"</definedName>
    <definedName name="AS2ReportLS" hidden="1">1</definedName>
    <definedName name="AS2SyncStepLS" hidden="1">0</definedName>
    <definedName name="AS2TickmarkLS" localSheetId="3" hidden="1">#REF!</definedName>
    <definedName name="AS2TickmarkLS" hidden="1">#REF!</definedName>
    <definedName name="AS2VersionLS" hidden="1">300</definedName>
    <definedName name="ASCOCP" localSheetId="3">#REF!</definedName>
    <definedName name="ASCOCP">#REF!</definedName>
    <definedName name="asd" localSheetId="3">#REF!</definedName>
    <definedName name="asd">#REF!</definedName>
    <definedName name="asdddvas" localSheetId="3">#REF!</definedName>
    <definedName name="asdddvas">#REF!</definedName>
    <definedName name="asdf" localSheetId="3">#REF!</definedName>
    <definedName name="asdf">#REF!</definedName>
    <definedName name="asdzze4" localSheetId="3">#REF!</definedName>
    <definedName name="asdzze4">#REF!</definedName>
    <definedName name="asob" localSheetId="3">#REF!</definedName>
    <definedName name="asob">#REF!</definedName>
    <definedName name="asoc" localSheetId="3">#REF!</definedName>
    <definedName name="asoc">#REF!</definedName>
    <definedName name="asoc2" localSheetId="3">#REF!</definedName>
    <definedName name="asoc2">#REF!</definedName>
    <definedName name="asoc3" localSheetId="3">#REF!</definedName>
    <definedName name="asoc3">#REF!</definedName>
    <definedName name="asoc4" localSheetId="3">#REF!</definedName>
    <definedName name="asoc4">#REF!</definedName>
    <definedName name="AsocB" localSheetId="3">#REF!</definedName>
    <definedName name="AsocB">#REF!</definedName>
    <definedName name="AsocBe" localSheetId="3">#REF!</definedName>
    <definedName name="AsocBe">#REF!</definedName>
    <definedName name="AsocGr" localSheetId="3">#REF!</definedName>
    <definedName name="AsocGr">#REF!</definedName>
    <definedName name="Asocijuota_įmonė" localSheetId="3">#REF!</definedName>
    <definedName name="Asocijuota_įmonė">#REF!</definedName>
    <definedName name="AsocLikBendr" localSheetId="3">#REF!</definedName>
    <definedName name="AsocLikBendr">#REF!</definedName>
    <definedName name="AsocLikGr" localSheetId="3">#REF!</definedName>
    <definedName name="AsocLikGr">#REF!</definedName>
    <definedName name="AsocPok" localSheetId="3">#REF!</definedName>
    <definedName name="AsocPok">#REF!</definedName>
    <definedName name="AsocPokS" localSheetId="3">#REF!</definedName>
    <definedName name="AsocPokS">#REF!</definedName>
    <definedName name="ass" localSheetId="3">#REF!</definedName>
    <definedName name="ass">#REF!</definedName>
    <definedName name="asset_count_1" localSheetId="3">#REF!</definedName>
    <definedName name="asset_count_1">#REF!</definedName>
    <definedName name="asset_count_2" localSheetId="3">#REF!</definedName>
    <definedName name="asset_count_2">#REF!</definedName>
    <definedName name="asset_count_3" localSheetId="3">#REF!</definedName>
    <definedName name="asset_count_3">#REF!</definedName>
    <definedName name="asso_1" localSheetId="3">#REF!</definedName>
    <definedName name="asso_1">#REF!</definedName>
    <definedName name="asso_2" localSheetId="3">#REF!</definedName>
    <definedName name="asso_2">#REF!</definedName>
    <definedName name="Atsargos_tr" localSheetId="3">#REF!</definedName>
    <definedName name="Atsargos_tr">#REF!</definedName>
    <definedName name="atsargos08" localSheetId="3">#REF!</definedName>
    <definedName name="atsargos08">#REF!</definedName>
    <definedName name="AtTIGTV" localSheetId="3">#REF!</definedName>
    <definedName name="AtTIGTV">#REF!</definedName>
    <definedName name="awe" localSheetId="3">#REF!</definedName>
    <definedName name="awe">#REF!</definedName>
    <definedName name="B">#N/A</definedName>
    <definedName name="balansas1" localSheetId="3">#REF!</definedName>
    <definedName name="balansas1">#REF!</definedName>
    <definedName name="balansas1d" localSheetId="3">#REF!</definedName>
    <definedName name="balansas1d">#REF!</definedName>
    <definedName name="balansas2" localSheetId="3">#REF!</definedName>
    <definedName name="balansas2">#REF!</definedName>
    <definedName name="balansus" localSheetId="3">#REF!</definedName>
    <definedName name="balansus">#REF!</definedName>
    <definedName name="BalSus" localSheetId="3">#REF!</definedName>
    <definedName name="BalSus">#REF!</definedName>
    <definedName name="Bank_Pask_Term" localSheetId="3">#REF!</definedName>
    <definedName name="Bank_Pask_Term">#REF!</definedName>
    <definedName name="bankai" localSheetId="3">#REF!</definedName>
    <definedName name="bankai">#REF!</definedName>
    <definedName name="BBBBB" localSheetId="3">#REF!</definedName>
    <definedName name="BBBBB">#REF!</definedName>
    <definedName name="benilg" localSheetId="3">#REF!</definedName>
    <definedName name="benilg">#REF!</definedName>
    <definedName name="BG" localSheetId="3" hidden="1">#REF!</definedName>
    <definedName name="BG" hidden="1">#REF!</definedName>
    <definedName name="BG_Del" hidden="1">15</definedName>
    <definedName name="BG_Ins" hidden="1">4</definedName>
    <definedName name="BG_Mod" hidden="1">6</definedName>
    <definedName name="BLB" localSheetId="3">#REF!</definedName>
    <definedName name="BLB">#REF!</definedName>
    <definedName name="bm" localSheetId="3">#REF!</definedName>
    <definedName name="bm">#REF!</definedName>
    <definedName name="Bodyweight" localSheetId="3">#REF!</definedName>
    <definedName name="Bodyweight">#REF!</definedName>
    <definedName name="BS" localSheetId="3">#REF!</definedName>
    <definedName name="BS">#REF!</definedName>
    <definedName name="bs_1" localSheetId="3">#REF!</definedName>
    <definedName name="bs_1">#REF!</definedName>
    <definedName name="bs_1eq" localSheetId="3">#REF!</definedName>
    <definedName name="bs_1eq">#REF!</definedName>
    <definedName name="bs_2" localSheetId="3">#REF!</definedName>
    <definedName name="bs_2">#REF!</definedName>
    <definedName name="bs_2eq" localSheetId="3">#REF!</definedName>
    <definedName name="bs_2eq">#REF!</definedName>
    <definedName name="bs_3" localSheetId="3">#REF!</definedName>
    <definedName name="bs_3">#REF!</definedName>
    <definedName name="bs_4" localSheetId="3">#REF!</definedName>
    <definedName name="bs_4">#REF!</definedName>
    <definedName name="BS_PL" localSheetId="3">#REF!</definedName>
    <definedName name="BS_PL">#REF!</definedName>
    <definedName name="BTI" localSheetId="3">#REF!</definedName>
    <definedName name="BTI">#REF!</definedName>
    <definedName name="BUSINESS" localSheetId="3">#REF!</definedName>
    <definedName name="BUSINESS">#REF!</definedName>
    <definedName name="C_">#N/A</definedName>
    <definedName name="CalcMethod" localSheetId="3">#REF!</definedName>
    <definedName name="CalcMethod">#REF!</definedName>
    <definedName name="Cash_At_End" localSheetId="3">#REF!</definedName>
    <definedName name="Cash_At_End">#REF!</definedName>
    <definedName name="Ccy" localSheetId="3">#REF!</definedName>
    <definedName name="Ccy">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" localSheetId="3">#REF!</definedName>
    <definedName name="cf">#REF!</definedName>
    <definedName name="cfgjcfjcfj" localSheetId="3">#REF!</definedName>
    <definedName name="cfgjcfjcfj">#REF!</definedName>
    <definedName name="cfyhv" localSheetId="3">#REF!</definedName>
    <definedName name="cfyhv">#REF!</definedName>
    <definedName name="Check" localSheetId="3">#REF!</definedName>
    <definedName name="Check">#REF!</definedName>
    <definedName name="CIQWBGuid" hidden="1">"01a9e372-0e97-465a-bcc0-a6998dad97d4"</definedName>
    <definedName name="cjdtxdtfhxzg" localSheetId="3">#REF!</definedName>
    <definedName name="cjdtxdtfhxzg">#REF!</definedName>
    <definedName name="class" localSheetId="3">#REF!</definedName>
    <definedName name="class">#REF!</definedName>
    <definedName name="code" localSheetId="3">#REF!</definedName>
    <definedName name="code">#REF!</definedName>
    <definedName name="COMP_LAST_COLUMN" localSheetId="3">#REF!</definedName>
    <definedName name="COMP_LAST_COLUMN">#REF!</definedName>
    <definedName name="COMPANY" localSheetId="3">#REF!</definedName>
    <definedName name="COMPANY">#REF!</definedName>
    <definedName name="Conv" localSheetId="3">#REF!</definedName>
    <definedName name="Conv">#REF!</definedName>
    <definedName name="cost" localSheetId="3">#REF!</definedName>
    <definedName name="cost">#REF!</definedName>
    <definedName name="Count_Personnel_4" localSheetId="3">#REF!</definedName>
    <definedName name="Count_Personnel_4">#REF!</definedName>
    <definedName name="CRA" localSheetId="3">#REF!</definedName>
    <definedName name="CRA">#REF!</definedName>
    <definedName name="CUR_Foreign" localSheetId="3">#REF!</definedName>
    <definedName name="CUR_Foreign">#REF!</definedName>
    <definedName name="CUR_I_Foreign" localSheetId="3">#REF!</definedName>
    <definedName name="CUR_I_Foreign">#REF!</definedName>
    <definedName name="CUR_I_Main" localSheetId="3">#REF!</definedName>
    <definedName name="CUR_I_Main">#REF!</definedName>
    <definedName name="CUR_I_Report" localSheetId="3">#REF!</definedName>
    <definedName name="CUR_I_Report">#REF!</definedName>
    <definedName name="CUR_Main" localSheetId="3">#REF!</definedName>
    <definedName name="CUR_Main">#REF!</definedName>
    <definedName name="CUR_Report" localSheetId="3">#REF!</definedName>
    <definedName name="CUR_Report">#REF!</definedName>
    <definedName name="CurrencyRate" localSheetId="3">#REF!</definedName>
    <definedName name="CurrencyRate">#REF!</definedName>
    <definedName name="Custom" localSheetId="3">#REF!</definedName>
    <definedName name="Custom">#REF!</definedName>
    <definedName name="cv" localSheetId="3">#REF!</definedName>
    <definedName name="cv">#REF!</definedName>
    <definedName name="cvh" localSheetId="3">#REF!</definedName>
    <definedName name="cvh">#REF!</definedName>
    <definedName name="cx" localSheetId="3">#REF!</definedName>
    <definedName name="cx">#REF!</definedName>
    <definedName name="cxgh" localSheetId="3">#REF!</definedName>
    <definedName name="cxgh">#REF!</definedName>
    <definedName name="d" localSheetId="3">#REF!</definedName>
    <definedName name="d">#REF!</definedName>
    <definedName name="dads" localSheetId="3">#REF!</definedName>
    <definedName name="dads">#REF!</definedName>
    <definedName name="daily" localSheetId="4">CBR!$A$1:$E$113</definedName>
    <definedName name="dang" localSheetId="3">#REF!</definedName>
    <definedName name="dang">#REF!</definedName>
    <definedName name="data" localSheetId="3">#REF!</definedName>
    <definedName name="data">#REF!</definedName>
    <definedName name="DATA1" localSheetId="3">#REF!</definedName>
    <definedName name="DATA1">#REF!</definedName>
    <definedName name="DataSet_BalticICP" localSheetId="3">#REF!</definedName>
    <definedName name="DataSet_BalticICP">#REF!</definedName>
    <definedName name="DataSet_CloseExDiff" localSheetId="3">#REF!</definedName>
    <definedName name="DataSet_CloseExDiff">#REF!</definedName>
    <definedName name="DataSet_IC_PL" localSheetId="3">#REF!</definedName>
    <definedName name="DataSet_IC_PL">#REF!</definedName>
    <definedName name="DataSet_ICP" localSheetId="3">#REF!</definedName>
    <definedName name="DataSet_ICP">#REF!</definedName>
    <definedName name="date" localSheetId="3">#REF!</definedName>
    <definedName name="date">#REF!</definedName>
    <definedName name="DD" hidden="1">{"'Test'!$B$2:$H$6","'Test'!$B$2:$H$23"}</definedName>
    <definedName name="ddas" localSheetId="3">#REF!</definedName>
    <definedName name="ddas">#REF!</definedName>
    <definedName name="dddd" localSheetId="3">#REF!</definedName>
    <definedName name="dddd">#REF!</definedName>
    <definedName name="dddddd" localSheetId="3">#REF!</definedName>
    <definedName name="dddddd">#REF!</definedName>
    <definedName name="ddddddd" localSheetId="3">#REF!</definedName>
    <definedName name="ddddddd">#REF!</definedName>
    <definedName name="dekt" localSheetId="3">#REF!</definedName>
    <definedName name="dekt">#REF!</definedName>
    <definedName name="Delivery" localSheetId="3">#REF!</definedName>
    <definedName name="Delivery">#REF!</definedName>
    <definedName name="Design" localSheetId="3">#REF!</definedName>
    <definedName name="Design">#REF!</definedName>
    <definedName name="dfg" localSheetId="3">#REF!</definedName>
    <definedName name="dfg">#REF!</definedName>
    <definedName name="dfjg" localSheetId="3">#REF!</definedName>
    <definedName name="dfjg">#REF!</definedName>
    <definedName name="dg" localSheetId="3">#REF!</definedName>
    <definedName name="dg">#REF!</definedName>
    <definedName name="dircost" localSheetId="3">#REF!</definedName>
    <definedName name="dircost">#REF!</definedName>
    <definedName name="DKK_AVE" localSheetId="3">#REF!</definedName>
    <definedName name="DKK_AVE">#REF!</definedName>
    <definedName name="DKK_END" localSheetId="3">#REF!</definedName>
    <definedName name="DKK_END">#REF!</definedName>
    <definedName name="DKK_OB" localSheetId="3">#REF!</definedName>
    <definedName name="DKK_OB">#REF!</definedName>
    <definedName name="dngfb" localSheetId="3">#REF!</definedName>
    <definedName name="dngfb">#REF!</definedName>
    <definedName name="DownP20" localSheetId="3">#REF!</definedName>
    <definedName name="DownP20">#REF!</definedName>
    <definedName name="draud2" localSheetId="3">#REF!</definedName>
    <definedName name="draud2">#REF!</definedName>
    <definedName name="drt" localSheetId="3">#REF!</definedName>
    <definedName name="drt">#REF!</definedName>
    <definedName name="dryt" localSheetId="3">#REF!</definedName>
    <definedName name="dryt">#REF!</definedName>
    <definedName name="ds" localSheetId="3">#REF!</definedName>
    <definedName name="ds">#REF!</definedName>
    <definedName name="dssssssss" localSheetId="3">#REF!</definedName>
    <definedName name="dssssssss">#REF!</definedName>
    <definedName name="dukt1" localSheetId="3">#REF!</definedName>
    <definedName name="dukt1">#REF!</definedName>
    <definedName name="dxrgh" localSheetId="3">#REF!</definedName>
    <definedName name="dxrgh">#REF!</definedName>
    <definedName name="dxtfh" localSheetId="3">#REF!</definedName>
    <definedName name="dxtfh">#REF!</definedName>
    <definedName name="dzhfc" localSheetId="3">#REF!</definedName>
    <definedName name="dzhfc">#REF!</definedName>
    <definedName name="E">#N/A</definedName>
    <definedName name="EndDate" localSheetId="3" hidden="1">#REF!</definedName>
    <definedName name="EndDate" hidden="1">#REF!</definedName>
    <definedName name="Eng_Survey" localSheetId="3">#REF!</definedName>
    <definedName name="Eng_Survey">#REF!</definedName>
    <definedName name="EPMWorkbookOptions_1" hidden="1">"H1QAAB|LCAAAAAAABADtnG1vokoUgL9vsv/B|F2ZAQVtqBtEbblRMILb2zQNQRm3ZBW8QGv77||Irwh2tZdrHCDZbOycM4fDw5lzZngZ/sf7bFp4Q65nOfZtEZZBsYDssWNa9q/b4qs/KUG2|KPx/Rv/4Li/R47zW5n7WNUr4H62d/PuWbfFF9|f31DUYrEoL5iy4/6iaAAg9Xevq45f0MwoWbbnG/YYFbe9zD/3KuKjFgq86Ng2Gi|PqTniq|s"</definedName>
    <definedName name="EPMWorkbookOptions_2" hidden="1">"i2/9poUUgDIlbhm|sW3G7bMzQ6mjbI/loNn91reBQQw|5fRdNELY3RmXsULGhd/o9vdkX5QcI9Kd1J1iny5CtlSFXL8MquKkBSFOeMadG8zH1rD|J/c7yf0zEmVqmsXQE/z0xph565qmlFzufhPl8ao2NPX4n|7axEbay17w|5UbIkwMHVsB2DAvUUdG9ZZrIblkzZHuBu8dVd656IR2spb44i60N0Zk6bsN3XxFPxQg|6xqcRUzPyNmtO2IIPn"</definedName>
    <definedName name="EPMWorkbookOptions_3" hidden="1">"r3O8ab41o|9iu4HqvOEdkJ/TuW6/l7DsTLDwxtvTwO6FStfb2hbf3zioIzF0RRGcoaT8UJP7OxIo6HdhVApgb3DMRdi6Cv4prIbQCeWv2Ite7Np8ZH33XmyPU/GrDKVidoNClVWbNSqtCTeqlWRagEDERXzBFX4UbM8sjhXjGGu4bnq2iKRzkye2g2wskqRi0clLEKWGXVfw/T0xric/mpLwzasnYP8c|7Qb|p4vEbUT9i9t5CruGOXz52qgWcG"</definedName>
    <definedName name="EPMWorkbookOptions_4" hidden="1">"m9sa3pbXMZN8WAAfX5lT|vLU3864WSJyFJOJEwEAghBDiUMhQF0DuUQiiaQToSnTsnDe6Xk/yt7rZbeamuC1IVfL30AVGoAnF75YAor345jOF6FblfHwkCU3Sp4lE5LlxW5TTqXKxrPstB91CTxy4OZYarVSqVy|mCmUziY1xDDsSoqsqpvRYRHbLJoZCUHEwtGFbod4mcrySLpDwfkI7mihD9sSZrU|nK|ZzkIajXu9HzPnJHvK1ydoScVtjTi"</definedName>
    <definedName name="EPMWorkbookOptions_5" hidden="1">"RhDne8CVRmydKZn1CWfAmmEYyLyGfL9iGJm4Be2kh2qiUFShD0B2F6RxSCRRARleo8cikXGUwBxJaIakpmDgXE/Zaw7xXHzQFv7LTQuWZZgz7lpU0rfQ2VCM3rLAEtKDNVkoTUGnq9lNasehsIDOoUShsDmUKBTih8/1FEBR0Np3yuDxgg|sq|krgBuKBwVQ1IZCN4/VWDe/EquKqinNv9riJV|vYFMYrVuO0QnbWkZ60CaNRmurmb2Dc4yJiBv"</definedName>
    <definedName name="EPMWorkbookOptions_6" hidden="1">"zx26JZjiMVtIuWYu59GW3FcNwqHIM8VPGRHHQOY79R0n68o3hHMguPiCX49jhYOs10nFcT4nrdJWHCxa4WvoK3JJgOEA79Xqd9AhNkEYKnpAkSEOFxMfG9WSvu4Ey7KsXzF/19OWvFcOD17FFDf9sD0iP1ESZpGFtnWyQZHeafoQH8fFxPaldWuYfUblgbofnfLpHyDtwa4rRG8sbAeHxmigXnM9yLjFcJB2SP2lNmEiWJwNHkLAc8eu86yl/g7"</definedName>
    <definedName name="EPMWorkbookOptions_7" hidden="1">"4mDgeYrnjJ5w8whd/w7ZHEYYr/DdUW6XGaGItuZr/siaDQ7ps5izWLzkNLVGTScVxPNtekXvuSafycrzcJWcksEYZnHDSAbDm7b2QeA5LZmfoxIEwOJAREUzTyX4NMlAlThsS/7X49xa7XFtThoH3JxzLwnM9XCVm3bDCuZmSPWmYXLREQuirdyS0h3zDoPKWQN/FKPBW3dWKodaOOrUX3ldxvjO5FyQ/QxEXei2Irc2RvdhwMNwZ64hQZ7tKoY"</definedName>
    <definedName name="EPMWorkbookOptions_8" hidden="1">"qvGG9poHjYHuptNN/FA9QOMG|2oIKy/MNdXjZe8n4ZrGaMp6iH3185CpP37t53Z9SafjX8Bp3ziTR9UAAA="</definedName>
    <definedName name="eqty_total" localSheetId="3">#REF!</definedName>
    <definedName name="eqty_total">#REF!</definedName>
    <definedName name="EST_BALANCE" localSheetId="3">#REF!</definedName>
    <definedName name="EST_BALANCE">#REF!</definedName>
    <definedName name="EST_DATA" localSheetId="3">#REF!</definedName>
    <definedName name="EST_DATA">#REF!</definedName>
    <definedName name="EST_FROM" localSheetId="3">#REF!</definedName>
    <definedName name="EST_FROM">#REF!</definedName>
    <definedName name="EST_NumStages" localSheetId="3">#REF!</definedName>
    <definedName name="EST_NumStages">#REF!</definedName>
    <definedName name="EST_Obj_1" localSheetId="3">#REF!</definedName>
    <definedName name="EST_Obj_1">#REF!</definedName>
    <definedName name="EST_Obj_10" localSheetId="3">#REF!</definedName>
    <definedName name="EST_Obj_10">#REF!</definedName>
    <definedName name="EST_Obj_2" localSheetId="3">#REF!</definedName>
    <definedName name="EST_Obj_2">#REF!</definedName>
    <definedName name="EST_Obj_3" localSheetId="3">#REF!</definedName>
    <definedName name="EST_Obj_3">#REF!</definedName>
    <definedName name="EST_Obj_4" localSheetId="3">#REF!</definedName>
    <definedName name="EST_Obj_4">#REF!</definedName>
    <definedName name="EST_Obj_5" localSheetId="3">#REF!</definedName>
    <definedName name="EST_Obj_5">#REF!</definedName>
    <definedName name="EST_Obj_6" localSheetId="3">#REF!</definedName>
    <definedName name="EST_Obj_6">#REF!</definedName>
    <definedName name="EST_Obj_7" localSheetId="3">#REF!</definedName>
    <definedName name="EST_Obj_7">#REF!</definedName>
    <definedName name="EST_Obj_8" localSheetId="3">#REF!</definedName>
    <definedName name="EST_Obj_8">#REF!</definedName>
    <definedName name="EST_Obj_9" localSheetId="3">#REF!</definedName>
    <definedName name="EST_Obj_9">#REF!</definedName>
    <definedName name="EST_ProdNum" localSheetId="3">#REF!</definedName>
    <definedName name="EST_ProdNum">#REF!</definedName>
    <definedName name="EST_SQUARE" localSheetId="3">#REF!</definedName>
    <definedName name="EST_SQUARE">#REF!</definedName>
    <definedName name="EUR_AVE" localSheetId="3">#REF!</definedName>
    <definedName name="EUR_AVE">#REF!</definedName>
    <definedName name="EUR_END" localSheetId="3">#REF!</definedName>
    <definedName name="EUR_END">#REF!</definedName>
    <definedName name="EUR_OB" localSheetId="3">#REF!</definedName>
    <definedName name="EUR_OB">#REF!</definedName>
    <definedName name="Euro" localSheetId="3">#REF!</definedName>
    <definedName name="Euro">#REF!</definedName>
    <definedName name="Euro_EX_rate" localSheetId="3">#REF!</definedName>
    <definedName name="Euro_EX_rate">#REF!</definedName>
    <definedName name="Excel_BuiltIn_Print_Titles_2" localSheetId="3">#REF!</definedName>
    <definedName name="Excel_BuiltIn_Print_Titles_2">#REF!</definedName>
    <definedName name="expectus" localSheetId="3">#REF!</definedName>
    <definedName name="expectus">#REF!</definedName>
    <definedName name="Expertize" localSheetId="3">#REF!</definedName>
    <definedName name="Expertize">#REF!</definedName>
    <definedName name="Export" localSheetId="3">#REF!</definedName>
    <definedName name="Export">#REF!</definedName>
    <definedName name="F">#N/A</definedName>
    <definedName name="F.D." localSheetId="3">#REF!</definedName>
    <definedName name="F.D.">#REF!</definedName>
    <definedName name="FeedList" localSheetId="3">#REF!</definedName>
    <definedName name="FeedList">#REF!</definedName>
    <definedName name="Fence" localSheetId="3">#REF!</definedName>
    <definedName name="Fence">#REF!</definedName>
    <definedName name="ff" localSheetId="3">#REF!</definedName>
    <definedName name="ff">#REF!</definedName>
    <definedName name="ffffff" localSheetId="3">#REF!</definedName>
    <definedName name="ffffff">#REF!</definedName>
    <definedName name="ffghg" localSheetId="3">#REF!</definedName>
    <definedName name="ffghg">#REF!</definedName>
    <definedName name="fg" localSheetId="3">#REF!</definedName>
    <definedName name="fg">#REF!</definedName>
    <definedName name="fgnjh" localSheetId="3">#REF!</definedName>
    <definedName name="fgnjh">#REF!</definedName>
    <definedName name="fgy" localSheetId="3">#REF!</definedName>
    <definedName name="fgy">#REF!</definedName>
    <definedName name="Fil" localSheetId="3">#REF!</definedName>
    <definedName name="Fil">#REF!</definedName>
    <definedName name="finansine" localSheetId="3">#REF!</definedName>
    <definedName name="finansine">#REF!</definedName>
    <definedName name="FinVeiklSan" localSheetId="3">#REF!</definedName>
    <definedName name="FinVeiklSan">#REF!</definedName>
    <definedName name="Fire_tank_100" localSheetId="3">#REF!</definedName>
    <definedName name="Fire_tank_100">#REF!</definedName>
    <definedName name="FL" localSheetId="3">#REF!</definedName>
    <definedName name="FL">#REF!</definedName>
    <definedName name="fskol" localSheetId="3">#REF!</definedName>
    <definedName name="fskol">#REF!</definedName>
    <definedName name="ftyk" localSheetId="3">#REF!</definedName>
    <definedName name="ftyk">#REF!</definedName>
    <definedName name="fyh" localSheetId="3">#REF!</definedName>
    <definedName name="fyh">#REF!</definedName>
    <definedName name="fyku" localSheetId="3">#REF!</definedName>
    <definedName name="fyku">#REF!</definedName>
    <definedName name="fytj" localSheetId="3">#REF!</definedName>
    <definedName name="fytj">#REF!</definedName>
    <definedName name="G">#N/A</definedName>
    <definedName name="gadi" localSheetId="3">#REF!</definedName>
    <definedName name="gadi">#REF!</definedName>
    <definedName name="Gautos_Paskolos" localSheetId="3">#REF!</definedName>
    <definedName name="Gautos_Paskolos">#REF!</definedName>
    <definedName name="gexp_count_1" localSheetId="3">#REF!</definedName>
    <definedName name="gexp_count_1">#REF!</definedName>
    <definedName name="gexp_count_2" localSheetId="3">#REF!</definedName>
    <definedName name="gexp_count_2">#REF!</definedName>
    <definedName name="gexp_count_3" localSheetId="3">#REF!</definedName>
    <definedName name="gexp_count_3">#REF!</definedName>
    <definedName name="gexp_count_4" localSheetId="3">#REF!</definedName>
    <definedName name="gexp_count_4">#REF!</definedName>
    <definedName name="gg" localSheetId="3">#REF!</definedName>
    <definedName name="gg">#REF!</definedName>
    <definedName name="gggggg" localSheetId="3">#REF!</definedName>
    <definedName name="gggggg">#REF!</definedName>
    <definedName name="ght" localSheetId="3">#REF!</definedName>
    <definedName name="ght">#REF!</definedName>
    <definedName name="gig" localSheetId="3">#REF!</definedName>
    <definedName name="gig">#REF!</definedName>
    <definedName name="grisip" localSheetId="3">#REF!</definedName>
    <definedName name="grisip">#REF!</definedName>
    <definedName name="grup" localSheetId="3">#REF!</definedName>
    <definedName name="grup">#REF!</definedName>
    <definedName name="grupe" localSheetId="3">#REF!</definedName>
    <definedName name="grupe">#REF!</definedName>
    <definedName name="grverte" localSheetId="3">#REF!</definedName>
    <definedName name="grverte">#REF!</definedName>
    <definedName name="GS_ConPrice_t" localSheetId="3">#REF!</definedName>
    <definedName name="GS_ConPrice_t">#REF!</definedName>
    <definedName name="GS_EqPrice_fixed" localSheetId="3">#REF!</definedName>
    <definedName name="GS_EqPrice_fixed">#REF!</definedName>
    <definedName name="GS_EqPrice_t" localSheetId="3">#REF!</definedName>
    <definedName name="GS_EqPrice_t">#REF!</definedName>
    <definedName name="gvggggg" localSheetId="3">#REF!</definedName>
    <definedName name="gvggggg">#REF!</definedName>
    <definedName name="h" localSheetId="3" hidden="1">#REF!</definedName>
    <definedName name="h" hidden="1">#REF!</definedName>
    <definedName name="Height_Loans" localSheetId="3">#REF!</definedName>
    <definedName name="Height_Loans">#REF!</definedName>
    <definedName name="hh" localSheetId="3">#REF!</definedName>
    <definedName name="hh">#REF!</definedName>
    <definedName name="hhh" localSheetId="3">#REF!</definedName>
    <definedName name="hhh">#REF!</definedName>
    <definedName name="hkj" localSheetId="3" hidden="1">#REF!</definedName>
    <definedName name="hkj" hidden="1">#REF!</definedName>
    <definedName name="HTML_CodePage" hidden="1">874</definedName>
    <definedName name="HTML_Control" hidden="1">{"'Test'!$B$2:$H$6","'Test'!$B$2:$H$23"}</definedName>
    <definedName name="HTML_Description" hidden="1">""</definedName>
    <definedName name="HTML_Email" hidden="1">""</definedName>
    <definedName name="HTML_Header" hidden="1">"Test"</definedName>
    <definedName name="HTML_LastUpdate" hidden="1">"6/7/00"</definedName>
    <definedName name="HTML_LineAfter" hidden="1">FALSE</definedName>
    <definedName name="HTML_LineBefore" hidden="1">FALSE</definedName>
    <definedName name="HTML_Name" hidden="1">"CP-GROUP"</definedName>
    <definedName name="HTML_OBDlg2" hidden="1">TRUE</definedName>
    <definedName name="HTML_OBDlg4" hidden="1">TRUE</definedName>
    <definedName name="HTML_OS" hidden="1">0</definedName>
    <definedName name="HTML_PathFile" hidden="1">"C:\SummO\MyHTML.htm"</definedName>
    <definedName name="HTML_PathFileMac" hidden="1">"Macintosh HD:HomePageStuff:New_Home_Page:datafile:ctryprem.html"</definedName>
    <definedName name="HTML_Title" hidden="1">"Agrot"</definedName>
    <definedName name="hxf" localSheetId="3">#REF!</definedName>
    <definedName name="hxf">#REF!</definedName>
    <definedName name="ifrs71" localSheetId="3">#REF!</definedName>
    <definedName name="ifrs71">#REF!</definedName>
    <definedName name="iiii" localSheetId="3">#REF!</definedName>
    <definedName name="iiii">#REF!</definedName>
    <definedName name="ilgalaik" localSheetId="3">#REF!</definedName>
    <definedName name="ilgalaik">#REF!</definedName>
    <definedName name="ilgas1" localSheetId="3">#REF!</definedName>
    <definedName name="ilgas1">#REF!</definedName>
    <definedName name="ilgp" localSheetId="3">#REF!</definedName>
    <definedName name="ilgp">#REF!</definedName>
    <definedName name="IlgPVal" localSheetId="3">#REF!</definedName>
    <definedName name="IlgPVal">#REF!</definedName>
    <definedName name="imt" localSheetId="3">#REF!</definedName>
    <definedName name="imt">#REF!</definedName>
    <definedName name="IMTats" localSheetId="3">#REF!</definedName>
    <definedName name="IMTats">#REF!</definedName>
    <definedName name="IMTBe" localSheetId="3">#REF!</definedName>
    <definedName name="IMTBe">#REF!</definedName>
    <definedName name="IMTGr" localSheetId="3">#REF!</definedName>
    <definedName name="IMTGr">#REF!</definedName>
    <definedName name="in" localSheetId="3">#REF!</definedName>
    <definedName name="in">#REF!</definedName>
    <definedName name="int" localSheetId="3">#REF!</definedName>
    <definedName name="int">#REF!</definedName>
    <definedName name="INTats" localSheetId="3">#REF!</definedName>
    <definedName name="INTats">#REF!</definedName>
    <definedName name="INTatsk" localSheetId="3">#REF!</definedName>
    <definedName name="INTatsk">#REF!</definedName>
    <definedName name="INTGr" localSheetId="3">#REF!</definedName>
    <definedName name="INTGr">#REF!</definedName>
    <definedName name="inv" localSheetId="3">#REF!</definedName>
    <definedName name="inv">#REF!</definedName>
    <definedName name="invcost" localSheetId="3">#REF!</definedName>
    <definedName name="invcost">#REF!</definedName>
    <definedName name="InvD" localSheetId="3">#REF!</definedName>
    <definedName name="InvD">#REF!</definedName>
    <definedName name="invdout" localSheetId="3">#REF!</definedName>
    <definedName name="invdout">#REF!</definedName>
    <definedName name="invest" localSheetId="3">#REF!</definedName>
    <definedName name="invest">#REF!</definedName>
    <definedName name="InvestBe" localSheetId="3">#REF!</definedName>
    <definedName name="InvestBe">#REF!</definedName>
    <definedName name="InvestPok" localSheetId="3">#REF!</definedName>
    <definedName name="InvestPok">#REF!</definedName>
    <definedName name="InvIsig" localSheetId="3">#REF!</definedName>
    <definedName name="InvIsig">#REF!</definedName>
    <definedName name="InvKitosGr" localSheetId="3">#REF!</definedName>
    <definedName name="InvKitosGr">#REF!</definedName>
    <definedName name="InvNeties" localSheetId="3">#REF!</definedName>
    <definedName name="InvNeties">#REF!</definedName>
    <definedName name="InvPokPal" localSheetId="3">#REF!</definedName>
    <definedName name="InvPokPal">#REF!</definedName>
    <definedName name="INX" localSheetId="3">#REF!</definedName>
    <definedName name="INX">#REF!</definedName>
    <definedName name="ioo" localSheetId="3">#REF!</definedName>
    <definedName name="ioo">#REF!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42208.4884143519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r" localSheetId="3">#REF!</definedName>
    <definedName name="irr">#REF!</definedName>
    <definedName name="irrout" localSheetId="3">#REF!</definedName>
    <definedName name="irrout">#REF!</definedName>
    <definedName name="irrout2" localSheetId="3">#REF!</definedName>
    <definedName name="irrout2">#REF!</definedName>
    <definedName name="IS_DEMO" localSheetId="3">#REF!</definedName>
    <definedName name="IS_DEMO">#REF!</definedName>
    <definedName name="IS_ESTATE" localSheetId="3">#REF!</definedName>
    <definedName name="IS_ESTATE">#REF!</definedName>
    <definedName name="IS_NULL" localSheetId="3">#REF!</definedName>
    <definedName name="IS_NULL">#REF!</definedName>
    <definedName name="IS_PRIM" localSheetId="3">#REF!</definedName>
    <definedName name="IS_PRIM">#REF!</definedName>
    <definedName name="IS_SUMM" localSheetId="3">#REF!</definedName>
    <definedName name="IS_SUMM">#REF!</definedName>
    <definedName name="IS_TRIAL" localSheetId="3">#REF!</definedName>
    <definedName name="IS_TRIAL">#REF!</definedName>
    <definedName name="ISAND" localSheetId="3">#REF!</definedName>
    <definedName name="ISAND">#REF!</definedName>
    <definedName name="IsTPGTV" localSheetId="3">#REF!</definedName>
    <definedName name="IsTPGTV">#REF!</definedName>
    <definedName name="j" localSheetId="3">#REF!</definedName>
    <definedName name="j">#REF!</definedName>
    <definedName name="JanToJun" localSheetId="3">#REF!,#REF!</definedName>
    <definedName name="JanToJun">#REF!,#REF!</definedName>
    <definedName name="jdjdjd" localSheetId="3">#REF!</definedName>
    <definedName name="jdjdjd">#REF!</definedName>
    <definedName name="jhwfjff" localSheetId="3">#REF!</definedName>
    <definedName name="jhwfjff">#REF!</definedName>
    <definedName name="jjjjjj" localSheetId="3">#REF!</definedName>
    <definedName name="jjjjjj">#REF!</definedName>
    <definedName name="jkh" localSheetId="3">#REF!</definedName>
    <definedName name="jkh">#REF!</definedName>
    <definedName name="jukmg" localSheetId="3">#REF!</definedName>
    <definedName name="jukmg">#REF!</definedName>
    <definedName name="JulToDec" localSheetId="3">#REF!,#REF!</definedName>
    <definedName name="JulToDec">#REF!,#REF!</definedName>
    <definedName name="jxfyuh" localSheetId="3">#REF!</definedName>
    <definedName name="jxfyuh">#REF!</definedName>
    <definedName name="k" localSheetId="3">#REF!</definedName>
    <definedName name="k">#REF!</definedName>
    <definedName name="KEY" localSheetId="3">#REF!</definedName>
    <definedName name="KEY">#REF!</definedName>
    <definedName name="KFT" localSheetId="3">#REF!</definedName>
    <definedName name="KFT">#REF!</definedName>
    <definedName name="KGS" localSheetId="3">#REF!</definedName>
    <definedName name="KGS">#REF!</definedName>
    <definedName name="Kids" localSheetId="3">#REF!</definedName>
    <definedName name="Kids">#REF!</definedName>
    <definedName name="kkkkk" localSheetId="3">#REF!</definedName>
    <definedName name="kkkkk">#REF!</definedName>
    <definedName name="kR" localSheetId="3">#REF!</definedName>
    <definedName name="kR">#REF!</definedName>
    <definedName name="kRub" localSheetId="3">#REF!</definedName>
    <definedName name="kRub">#REF!</definedName>
    <definedName name="Kuu" localSheetId="3">#REF!</definedName>
    <definedName name="Kuu">#REF!</definedName>
    <definedName name="L" localSheetId="3">#REF!</definedName>
    <definedName name="L">#REF!</definedName>
    <definedName name="lack" localSheetId="3">#REF!</definedName>
    <definedName name="lack">#REF!</definedName>
    <definedName name="lackin" localSheetId="3">#REF!</definedName>
    <definedName name="lackin">#REF!</definedName>
    <definedName name="LANGUAGE" localSheetId="3">#REF!</definedName>
    <definedName name="LANGUAGE">#REF!</definedName>
    <definedName name="LanguageID" localSheetId="3">#REF!</definedName>
    <definedName name="LanguageID">#REF!</definedName>
    <definedName name="LAST_COLUMN" localSheetId="3">#REF!</definedName>
    <definedName name="LAST_COLUMN">#REF!</definedName>
    <definedName name="lb" localSheetId="3">#REF!</definedName>
    <definedName name="lb">#REF!</definedName>
    <definedName name="LD" localSheetId="3">#REF!</definedName>
    <definedName name="LD">#REF!</definedName>
    <definedName name="LE" localSheetId="3">#REF!</definedName>
    <definedName name="LE">#REF!</definedName>
    <definedName name="lease_count" localSheetId="3">#REF!</definedName>
    <definedName name="lease_count">#REF!</definedName>
    <definedName name="likv" localSheetId="3">#REF!</definedName>
    <definedName name="likv">#REF!</definedName>
    <definedName name="ListForSensAnal" localSheetId="3">#REF!</definedName>
    <definedName name="ListForSensAnal">#REF!</definedName>
    <definedName name="lizingai" localSheetId="3">#REF!</definedName>
    <definedName name="lizingai">#REF!</definedName>
    <definedName name="Lizingas" localSheetId="3">#REF!</definedName>
    <definedName name="Lizingas">#REF!</definedName>
    <definedName name="loan_count" localSheetId="3">#REF!</definedName>
    <definedName name="loan_count">#REF!</definedName>
    <definedName name="Local" localSheetId="3">#REF!</definedName>
    <definedName name="Local">#REF!</definedName>
    <definedName name="lugis" localSheetId="3">#REF!</definedName>
    <definedName name="lugis">#REF!</definedName>
    <definedName name="m" localSheetId="3">#REF!</definedName>
    <definedName name="m">#REF!</definedName>
    <definedName name="m_2" localSheetId="3">#REF!</definedName>
    <definedName name="m_2">#REF!</definedName>
    <definedName name="M_CC" localSheetId="3">#REF!</definedName>
    <definedName name="M_CC">#REF!</definedName>
    <definedName name="Macro001" localSheetId="3">#REF!</definedName>
    <definedName name="Macro001">#REF!</definedName>
    <definedName name="Macro002" localSheetId="3">#REF!</definedName>
    <definedName name="Macro002">#REF!</definedName>
    <definedName name="Macro003" localSheetId="3">#REF!</definedName>
    <definedName name="Macro003">#REF!</definedName>
    <definedName name="Macro004" localSheetId="3">#REF!</definedName>
    <definedName name="Macro004">#REF!</definedName>
    <definedName name="Macro005" localSheetId="3">#REF!</definedName>
    <definedName name="Macro005">#REF!</definedName>
    <definedName name="Macro1" localSheetId="3">#REF!</definedName>
    <definedName name="Macro1">#REF!</definedName>
    <definedName name="Macro10" localSheetId="3">#REF!</definedName>
    <definedName name="Macro10">#REF!</definedName>
    <definedName name="Macro11" localSheetId="3">#REF!</definedName>
    <definedName name="Macro11">#REF!</definedName>
    <definedName name="Macro111" localSheetId="3">#REF!</definedName>
    <definedName name="Macro111">#REF!</definedName>
    <definedName name="Macro12" localSheetId="3">#REF!</definedName>
    <definedName name="Macro12">#REF!</definedName>
    <definedName name="Macro15" localSheetId="3">#REF!</definedName>
    <definedName name="Macro15">#REF!</definedName>
    <definedName name="Macro2" localSheetId="3">#REF!</definedName>
    <definedName name="Macro2">#REF!</definedName>
    <definedName name="Macro4" localSheetId="3">#REF!</definedName>
    <definedName name="Macro4">#REF!</definedName>
    <definedName name="Macro6" localSheetId="3">#REF!</definedName>
    <definedName name="Macro6">#REF!</definedName>
    <definedName name="MacroS01" localSheetId="3">#REF!</definedName>
    <definedName name="MacroS01">#REF!</definedName>
    <definedName name="MacroUP" localSheetId="3">#REF!</definedName>
    <definedName name="MacroUP">#REF!</definedName>
    <definedName name="MacroUP01" localSheetId="3">#REF!</definedName>
    <definedName name="MacroUP01">#REF!</definedName>
    <definedName name="man" localSheetId="3">#REF!</definedName>
    <definedName name="man">#REF!</definedName>
    <definedName name="mann" localSheetId="3">#REF!</definedName>
    <definedName name="mann">#REF!</definedName>
    <definedName name="mar" localSheetId="3">#REF!</definedName>
    <definedName name="mar">#REF!</definedName>
    <definedName name="market" localSheetId="3">#REF!</definedName>
    <definedName name="market">#REF!</definedName>
    <definedName name="marketshare" localSheetId="3">#REF!</definedName>
    <definedName name="marketshare">#REF!</definedName>
    <definedName name="mat" localSheetId="3">#REF!</definedName>
    <definedName name="mat">#REF!</definedName>
    <definedName name="mEnist" localSheetId="3">#REF!</definedName>
    <definedName name="mEnist">#REF!</definedName>
    <definedName name="MENU" localSheetId="3">#REF!</definedName>
    <definedName name="MENU">#REF!</definedName>
    <definedName name="minliz" localSheetId="3">#REF!</definedName>
    <definedName name="minliz">#REF!</definedName>
    <definedName name="MM" localSheetId="3">#REF!</definedName>
    <definedName name="MM">#REF!</definedName>
    <definedName name="Module1.Macro1" localSheetId="3">#REF!</definedName>
    <definedName name="Module1.Macro1">#REF!</definedName>
    <definedName name="Module1.Macro111" localSheetId="3">#REF!</definedName>
    <definedName name="Module1.Macro111">#REF!</definedName>
    <definedName name="moketinos" localSheetId="3">#REF!</definedName>
    <definedName name="moketinos">#REF!</definedName>
    <definedName name="mon" localSheetId="3">#REF!</definedName>
    <definedName name="mon">#REF!</definedName>
    <definedName name="MONTH" localSheetId="3">#REF!</definedName>
    <definedName name="MONTH">#REF!</definedName>
    <definedName name="Month_name" localSheetId="3">#REF!</definedName>
    <definedName name="Month_name">#REF!</definedName>
    <definedName name="Msort.Msort" localSheetId="3">#REF!</definedName>
    <definedName name="Msort.Msort">#REF!</definedName>
    <definedName name="muk" localSheetId="3">#REF!</definedName>
    <definedName name="muk">#REF!</definedName>
    <definedName name="mungkorn" localSheetId="3">#REF!</definedName>
    <definedName name="mungkorn">#REF!</definedName>
    <definedName name="n" localSheetId="3">#REF!</definedName>
    <definedName name="n">#REF!</definedName>
    <definedName name="ncffx" localSheetId="3">#REF!</definedName>
    <definedName name="ncffx">#REF!</definedName>
    <definedName name="nematb" localSheetId="3">#REF!</definedName>
    <definedName name="nematb">#REF!</definedName>
    <definedName name="nematg" localSheetId="3">#REF!</definedName>
    <definedName name="nematg">#REF!</definedName>
    <definedName name="Nepanaudotos_Pask" localSheetId="3">#REF!</definedName>
    <definedName name="Nepanaudotos_Pask">#REF!</definedName>
    <definedName name="New" localSheetId="3">#REF!</definedName>
    <definedName name="New">#REF!</definedName>
    <definedName name="nhgcccgh" localSheetId="3">#REF!</definedName>
    <definedName name="nhgcccgh">#REF!</definedName>
    <definedName name="nkp" localSheetId="3">#REF!</definedName>
    <definedName name="nkp">#REF!</definedName>
    <definedName name="NKPA" localSheetId="3">#REF!</definedName>
    <definedName name="NKPA">#REF!</definedName>
    <definedName name="nkpa1" localSheetId="3">#REF!</definedName>
    <definedName name="nkpa1">#REF!</definedName>
    <definedName name="nkpa2" localSheetId="3">#REF!</definedName>
    <definedName name="nkpa2">#REF!</definedName>
    <definedName name="NKPAG1" localSheetId="3">#REF!</definedName>
    <definedName name="NKPAG1">#REF!</definedName>
    <definedName name="nnnn" localSheetId="3">#REF!</definedName>
    <definedName name="nnnn">#REF!</definedName>
    <definedName name="NNPP2PigProduction2" localSheetId="3">#REF!</definedName>
    <definedName name="NNPP2PigProduction2">#REF!</definedName>
    <definedName name="NOK_AVE" localSheetId="3">#REF!</definedName>
    <definedName name="NOK_AVE">#REF!</definedName>
    <definedName name="NOK_END" localSheetId="3">#REF!</definedName>
    <definedName name="NOK_END">#REF!</definedName>
    <definedName name="NOK_OB" localSheetId="3">#REF!</definedName>
    <definedName name="NOK_OB">#REF!</definedName>
    <definedName name="npv" localSheetId="3">#REF!</definedName>
    <definedName name="npv">#REF!</definedName>
    <definedName name="npvd" localSheetId="3">#REF!</definedName>
    <definedName name="npvd">#REF!</definedName>
    <definedName name="npvdout" localSheetId="3">#REF!</definedName>
    <definedName name="npvdout">#REF!</definedName>
    <definedName name="npvdout2" localSheetId="3">#REF!</definedName>
    <definedName name="npvdout2">#REF!</definedName>
    <definedName name="npvout" localSheetId="3">#REF!</definedName>
    <definedName name="npvout">#REF!</definedName>
    <definedName name="Nuostoliai" localSheetId="3">#REF!</definedName>
    <definedName name="Nuostoliai">#REF!</definedName>
    <definedName name="NWC_T_Cr_AdvK" localSheetId="3">#REF!</definedName>
    <definedName name="NWC_T_Cr_AdvK">#REF!</definedName>
    <definedName name="NWC_T_Cr_AdvT" localSheetId="3">#REF!</definedName>
    <definedName name="NWC_T_Cr_AdvT">#REF!</definedName>
    <definedName name="NWC_T_Cr_CrdK" localSheetId="3">#REF!</definedName>
    <definedName name="NWC_T_Cr_CrdK">#REF!</definedName>
    <definedName name="NWC_T_Cr_CrdT" localSheetId="3">#REF!</definedName>
    <definedName name="NWC_T_Cr_CrdT">#REF!</definedName>
    <definedName name="NWC_T_Cycle" localSheetId="3">#REF!</definedName>
    <definedName name="NWC_T_Cycle">#REF!</definedName>
    <definedName name="NWC_T_Db_AdvK" localSheetId="3">#REF!</definedName>
    <definedName name="NWC_T_Db_AdvK">#REF!</definedName>
    <definedName name="NWC_T_Db_AdvT" localSheetId="3">#REF!</definedName>
    <definedName name="NWC_T_Db_AdvT">#REF!</definedName>
    <definedName name="NWC_T_Db_CrdK" localSheetId="3">#REF!</definedName>
    <definedName name="NWC_T_Db_CrdK">#REF!</definedName>
    <definedName name="NWC_T_Db_CrdT" localSheetId="3">#REF!</definedName>
    <definedName name="NWC_T_Db_CrdT">#REF!</definedName>
    <definedName name="NWC_T_Goods" localSheetId="3">#REF!</definedName>
    <definedName name="NWC_T_Goods">#REF!</definedName>
    <definedName name="NWC_T_Mat" localSheetId="3">#REF!</definedName>
    <definedName name="NWC_T_Mat">#REF!</definedName>
    <definedName name="optimus" localSheetId="3">#REF!</definedName>
    <definedName name="optimus">#REF!</definedName>
    <definedName name="Other_Exp" localSheetId="3">#REF!</definedName>
    <definedName name="Other_Exp">#REF!</definedName>
    <definedName name="p" localSheetId="3">#REF!</definedName>
    <definedName name="p">#REF!</definedName>
    <definedName name="pajam" localSheetId="3">#REF!</definedName>
    <definedName name="pajam">#REF!</definedName>
    <definedName name="PalNR" localSheetId="3">#REF!</definedName>
    <definedName name="PalNR">#REF!</definedName>
    <definedName name="palriz" localSheetId="3">#REF!</definedName>
    <definedName name="palriz">#REF!</definedName>
    <definedName name="pard" localSheetId="3">#REF!</definedName>
    <definedName name="pard">#REF!</definedName>
    <definedName name="PardPaj" localSheetId="3">#REF!</definedName>
    <definedName name="PardPaj">#REF!</definedName>
    <definedName name="pask1" localSheetId="3">#REF!</definedName>
    <definedName name="pask1">#REF!</definedName>
    <definedName name="PaskSutIlg" localSheetId="3">#REF!</definedName>
    <definedName name="PaskSutIlg">#REF!</definedName>
    <definedName name="paskVal" localSheetId="3">#REF!</definedName>
    <definedName name="paskVal">#REF!</definedName>
    <definedName name="Pay_70" localSheetId="3">#REF!</definedName>
    <definedName name="Pay_70">#REF!</definedName>
    <definedName name="pb" localSheetId="3">#REF!</definedName>
    <definedName name="pb">#REF!</definedName>
    <definedName name="pelnas1" localSheetId="3">#REF!</definedName>
    <definedName name="pelnas1">#REF!</definedName>
    <definedName name="pelnasnuost" localSheetId="3">#REF!</definedName>
    <definedName name="pelnasnuost">#REF!</definedName>
    <definedName name="PerejimasB" localSheetId="3">#REF!</definedName>
    <definedName name="PerejimasB">#REF!</definedName>
    <definedName name="PerejimasB1" localSheetId="3">#REF!</definedName>
    <definedName name="PerejimasB1">#REF!</definedName>
    <definedName name="PerejimasB2" localSheetId="3">#REF!</definedName>
    <definedName name="PerejimasB2">#REF!</definedName>
    <definedName name="PerejimasG" localSheetId="3">#REF!</definedName>
    <definedName name="PerejimasG">#REF!</definedName>
    <definedName name="PerejimasG1" localSheetId="3">#REF!</definedName>
    <definedName name="PerejimasG1">#REF!</definedName>
    <definedName name="PerejimasG2" localSheetId="3">#REF!</definedName>
    <definedName name="PerejimasG2">#REF!</definedName>
    <definedName name="Perf10" localSheetId="3">#REF!</definedName>
    <definedName name="Perf10">#REF!</definedName>
    <definedName name="Perf20" localSheetId="3">#REF!</definedName>
    <definedName name="Perf20">#REF!</definedName>
    <definedName name="Perf25" localSheetId="3">#REF!</definedName>
    <definedName name="Perf25">#REF!</definedName>
    <definedName name="perf5" localSheetId="3">#REF!</definedName>
    <definedName name="perf5">#REF!</definedName>
    <definedName name="Perf50" localSheetId="3">#REF!</definedName>
    <definedName name="Perf50">#REF!</definedName>
    <definedName name="PeriodTitle" localSheetId="3">#REF!</definedName>
    <definedName name="PeriodTitle">#REF!</definedName>
    <definedName name="pers_count_1" localSheetId="3">#REF!</definedName>
    <definedName name="pers_count_1">#REF!</definedName>
    <definedName name="pers_count_2" localSheetId="3">#REF!</definedName>
    <definedName name="pers_count_2">#REF!</definedName>
    <definedName name="pers_count_3" localSheetId="3">#REF!</definedName>
    <definedName name="pers_count_3">#REF!</definedName>
    <definedName name="pers_count_4" localSheetId="3">#REF!</definedName>
    <definedName name="pers_count_4">#REF!</definedName>
    <definedName name="pessimus" localSheetId="3">#REF!</definedName>
    <definedName name="pessimus">#REF!</definedName>
    <definedName name="PI" localSheetId="3">#REF!</definedName>
    <definedName name="PI">#REF!</definedName>
    <definedName name="PirkSus" localSheetId="3">#REF!</definedName>
    <definedName name="PirkSus">#REF!</definedName>
    <definedName name="pl" localSheetId="3">#REF!</definedName>
    <definedName name="pl">#REF!</definedName>
    <definedName name="pl_eq" localSheetId="3">#REF!</definedName>
    <definedName name="pl_eq">#REF!</definedName>
    <definedName name="PL_LOC" localSheetId="3">#REF!</definedName>
    <definedName name="PL_LOC">#REF!</definedName>
    <definedName name="PL_PACK" localSheetId="3">#REF!</definedName>
    <definedName name="PL_PACK">#REF!</definedName>
    <definedName name="PL_TOT" localSheetId="3">#REF!</definedName>
    <definedName name="PL_TOT">#REF!</definedName>
    <definedName name="PL_XPO" localSheetId="3">#REF!</definedName>
    <definedName name="PL_XPO">#REF!</definedName>
    <definedName name="PMApsk" localSheetId="3">#REF!</definedName>
    <definedName name="PMApsk">#REF!</definedName>
    <definedName name="PMsan" localSheetId="3">#REF!</definedName>
    <definedName name="PMsan">#REF!</definedName>
    <definedName name="PMsanK" localSheetId="3">#REF!</definedName>
    <definedName name="PMsanK">#REF!</definedName>
    <definedName name="poo" localSheetId="3">#REF!</definedName>
    <definedName name="poo">#REF!</definedName>
    <definedName name="pop" localSheetId="3">#REF!</definedName>
    <definedName name="pop">#REF!</definedName>
    <definedName name="PORT_Consolidated_1" localSheetId="3">#REF!</definedName>
    <definedName name="PORT_Consolidated_1">#REF!</definedName>
    <definedName name="PORT_PrjPeriods" localSheetId="3">#REF!</definedName>
    <definedName name="PORT_PrjPeriods">#REF!</definedName>
    <definedName name="prekyb2" localSheetId="3">#REF!</definedName>
    <definedName name="prekyb2">#REF!</definedName>
    <definedName name="Present" localSheetId="3">#REF!</definedName>
    <definedName name="Present">#REF!</definedName>
    <definedName name="Prestizas" localSheetId="3">#REF!</definedName>
    <definedName name="Prestizas">#REF!</definedName>
    <definedName name="PrestJud7" localSheetId="3">#REF!</definedName>
    <definedName name="PrestJud7">#REF!</definedName>
    <definedName name="PrestPM" localSheetId="3">#REF!</definedName>
    <definedName name="PrestPM">#REF!</definedName>
    <definedName name="PrestSkaic" localSheetId="3">#REF!</definedName>
    <definedName name="PrestSkaic">#REF!</definedName>
    <definedName name="price" localSheetId="3">#REF!</definedName>
    <definedName name="price">#REF!</definedName>
    <definedName name="pricein" localSheetId="3">#REF!</definedName>
    <definedName name="pricein">#REF!</definedName>
    <definedName name="Print_Area_MI" localSheetId="3">#REF!</definedName>
    <definedName name="Print_Area_MI">#REF!</definedName>
    <definedName name="printsad" localSheetId="3">#REF!</definedName>
    <definedName name="printsad">#REF!</definedName>
    <definedName name="PRJ_COUNT" localSheetId="3">#REF!</definedName>
    <definedName name="PRJ_COUNT">#REF!</definedName>
    <definedName name="PRJ_Len" localSheetId="3">#REF!</definedName>
    <definedName name="PRJ_Len">#REF!</definedName>
    <definedName name="PRJ_Name" localSheetId="3">#REF!</definedName>
    <definedName name="PRJ_Name">#REF!</definedName>
    <definedName name="PRJ_Protected" localSheetId="3">#REF!</definedName>
    <definedName name="PRJ_Protected">#REF!</definedName>
    <definedName name="PRJ_StartDate" localSheetId="3">#REF!</definedName>
    <definedName name="PRJ_StartDate">#REF!</definedName>
    <definedName name="PRJ_StartMon" localSheetId="3">#REF!</definedName>
    <definedName name="PRJ_StartMon">#REF!</definedName>
    <definedName name="PRJ_StartYear" localSheetId="3">#REF!</definedName>
    <definedName name="PRJ_StartYear">#REF!</definedName>
    <definedName name="PRJ_Step" localSheetId="3">#REF!</definedName>
    <definedName name="PRJ_Step">#REF!</definedName>
    <definedName name="PRJ_Step_SName" localSheetId="3">#REF!</definedName>
    <definedName name="PRJ_Step_SName">#REF!</definedName>
    <definedName name="PRJ_StepType" localSheetId="3">#REF!</definedName>
    <definedName name="PRJ_StepType">#REF!</definedName>
    <definedName name="process" localSheetId="3">#REF!</definedName>
    <definedName name="process">#REF!</definedName>
    <definedName name="prod" localSheetId="3">#REF!</definedName>
    <definedName name="prod">#REF!</definedName>
    <definedName name="prod_tbl_1" localSheetId="3">#REF!</definedName>
    <definedName name="prod_tbl_1">#REF!</definedName>
    <definedName name="prod_tbl_2" localSheetId="3">#REF!</definedName>
    <definedName name="prod_tbl_2">#REF!</definedName>
    <definedName name="prod_tbl_3" localSheetId="3">#REF!</definedName>
    <definedName name="prod_tbl_3">#REF!</definedName>
    <definedName name="prod_tbl_4" localSheetId="3">#REF!</definedName>
    <definedName name="prod_tbl_4">#REF!</definedName>
    <definedName name="ProdNum" localSheetId="3">#REF!</definedName>
    <definedName name="ProdNum">#REF!</definedName>
    <definedName name="ProfitTax" localSheetId="3">#REF!</definedName>
    <definedName name="ProfitTax">#REF!</definedName>
    <definedName name="ProfitTax_Period" localSheetId="3">#REF!</definedName>
    <definedName name="ProfitTax_Period">#REF!</definedName>
    <definedName name="psa" localSheetId="3">#REF!</definedName>
    <definedName name="psa">#REF!</definedName>
    <definedName name="q" localSheetId="3">#REF!</definedName>
    <definedName name="q">#REF!</definedName>
    <definedName name="qqq" localSheetId="3" hidden="1">#REF!</definedName>
    <definedName name="qqq" hidden="1">#REF!</definedName>
    <definedName name="Query1" localSheetId="3">#REF!</definedName>
    <definedName name="Query1">#REF!</definedName>
    <definedName name="query2" localSheetId="3">#REF!</definedName>
    <definedName name="query2">#REF!</definedName>
    <definedName name="range" localSheetId="3">#REF!,#REF!,#REF!,#REF!,#REF!,#REF!,#REF!,#REF!,#REF!,#REF!</definedName>
    <definedName name="range">#REF!,#REF!,#REF!,#REF!,#REF!,#REF!,#REF!,#REF!,#REF!,#REF!</definedName>
    <definedName name="range_VPM" localSheetId="3">#REF!,#REF!,#REF!,#REF!,#REF!,#REF!,#REF!,#REF!,#REF!,#REF!</definedName>
    <definedName name="range_VPM">#REF!,#REF!,#REF!,#REF!,#REF!,#REF!,#REF!,#REF!,#REF!,#REF!</definedName>
    <definedName name="rate" localSheetId="3">#REF!</definedName>
    <definedName name="rate">#REF!</definedName>
    <definedName name="ratein" localSheetId="3">#REF!</definedName>
    <definedName name="ratein">#REF!</definedName>
    <definedName name="regnbcvxdf" localSheetId="3">#REF!</definedName>
    <definedName name="regnbcvxdf">#REF!</definedName>
    <definedName name="RegNum" localSheetId="3">#REF!</definedName>
    <definedName name="RegNum">#REF!</definedName>
    <definedName name="Reorg" localSheetId="3">#REF!</definedName>
    <definedName name="Reorg">#REF!</definedName>
    <definedName name="res" localSheetId="3">#REF!</definedName>
    <definedName name="res">#REF!</definedName>
    <definedName name="Reserve_10" localSheetId="3">#REF!</definedName>
    <definedName name="Reserve_10">#REF!</definedName>
    <definedName name="Reserve_5" localSheetId="3">#REF!</definedName>
    <definedName name="Reserve_5">#REF!</definedName>
    <definedName name="RestP10" localSheetId="3">#REF!</definedName>
    <definedName name="RestP10">#REF!</definedName>
    <definedName name="rfds" localSheetId="3">#REF!</definedName>
    <definedName name="rfds">#REF!</definedName>
    <definedName name="Roads" localSheetId="3">#REF!</definedName>
    <definedName name="Roads">#REF!</definedName>
    <definedName name="rsg" localSheetId="3">#REF!</definedName>
    <definedName name="rsg">#REF!</definedName>
    <definedName name="RUB_AVE" localSheetId="3">#REF!</definedName>
    <definedName name="RUB_AVE">#REF!</definedName>
    <definedName name="RUB_END" localSheetId="3">#REF!</definedName>
    <definedName name="RUB_END">#REF!</definedName>
    <definedName name="RUB_OB" localSheetId="3">#REF!</definedName>
    <definedName name="RUB_OB">#REF!</definedName>
    <definedName name="Ruble" localSheetId="3">#REF!</definedName>
    <definedName name="Ruble">#REF!</definedName>
    <definedName name="SAL_LOC" localSheetId="3">#REF!</definedName>
    <definedName name="SAL_LOC">#REF!</definedName>
    <definedName name="SAL_TOT" localSheetId="3">#REF!</definedName>
    <definedName name="SAL_TOT">#REF!</definedName>
    <definedName name="SAL_XPO" localSheetId="3">#REF!</definedName>
    <definedName name="SAL_XPO">#REF!</definedName>
    <definedName name="sale" localSheetId="3">#REF!</definedName>
    <definedName name="sale">#REF!</definedName>
    <definedName name="sales" localSheetId="3">#REF!</definedName>
    <definedName name="sales">#REF!</definedName>
    <definedName name="salesin" localSheetId="3">#REF!</definedName>
    <definedName name="salesin">#REF!</definedName>
    <definedName name="sandoriaisus" localSheetId="3">#REF!</definedName>
    <definedName name="sandoriaisus">#REF!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cens" localSheetId="3">#REF!</definedName>
    <definedName name="scens">#REF!</definedName>
    <definedName name="Score" localSheetId="3">#REF!</definedName>
    <definedName name="Score">#REF!</definedName>
    <definedName name="sdaf" localSheetId="3">#REF!</definedName>
    <definedName name="sdaf">#REF!</definedName>
    <definedName name="sdf" localSheetId="3">#REF!</definedName>
    <definedName name="sdf">#REF!</definedName>
    <definedName name="SE" localSheetId="3">#REF!</definedName>
    <definedName name="SE">#REF!</definedName>
    <definedName name="Segm1" localSheetId="3">#REF!</definedName>
    <definedName name="Segm1">#REF!</definedName>
    <definedName name="SegmAM" localSheetId="3">#REF!</definedName>
    <definedName name="SegmAM">#REF!</definedName>
    <definedName name="Segmentai08" localSheetId="3">#REF!</definedName>
    <definedName name="Segmentai08">#REF!</definedName>
    <definedName name="SegmPM" localSheetId="3">#REF!</definedName>
    <definedName name="SegmPM">#REF!</definedName>
    <definedName name="SENS_Parameter" localSheetId="3">#REF!</definedName>
    <definedName name="SENS_Parameter">#REF!</definedName>
    <definedName name="SENS_Project" localSheetId="3">#REF!</definedName>
    <definedName name="SENS_Project">#REF!</definedName>
    <definedName name="SENS_Res1" localSheetId="3">#REF!</definedName>
    <definedName name="SENS_Res1">#REF!</definedName>
    <definedName name="SENS_Res2" localSheetId="3">#REF!</definedName>
    <definedName name="SENS_Res2">#REF!</definedName>
    <definedName name="SensForSumm" localSheetId="3">#REF!</definedName>
    <definedName name="SensForSumm">#REF!</definedName>
    <definedName name="sf" localSheetId="3">#REF!</definedName>
    <definedName name="sf">#REF!</definedName>
    <definedName name="sger" localSheetId="3">#REF!</definedName>
    <definedName name="sger">#REF!</definedName>
    <definedName name="ShowAbout" localSheetId="3">#REF!</definedName>
    <definedName name="ShowAbout">#REF!</definedName>
    <definedName name="ShowRealDates" localSheetId="3">#REF!</definedName>
    <definedName name="ShowRealDates">#REF!</definedName>
    <definedName name="SIP" localSheetId="3">#REF!</definedName>
    <definedName name="SIP">#REF!</definedName>
    <definedName name="SkolAkc" localSheetId="3">#REF!</definedName>
    <definedName name="SkolAkc">#REF!</definedName>
    <definedName name="Skolos_akcininkams" localSheetId="3">#REF!</definedName>
    <definedName name="Skolos_akcininkams">#REF!</definedName>
    <definedName name="SkolSus" localSheetId="3">#REF!</definedName>
    <definedName name="SkolSus">#REF!</definedName>
    <definedName name="SMM_LOC" localSheetId="3">#REF!</definedName>
    <definedName name="SMM_LOC">#REF!</definedName>
    <definedName name="SMM_TOT" localSheetId="3">#REF!</definedName>
    <definedName name="SMM_TOT">#REF!</definedName>
    <definedName name="SMM_XPO" localSheetId="3">#REF!</definedName>
    <definedName name="SMM_XPO">#REF!</definedName>
    <definedName name="ss" localSheetId="3">#REF!</definedName>
    <definedName name="ss">#REF!</definedName>
    <definedName name="ssfrffhg" localSheetId="3">#REF!</definedName>
    <definedName name="ssfrffhg">#REF!</definedName>
    <definedName name="sss" localSheetId="3">#REF!</definedName>
    <definedName name="sss">#REF!</definedName>
    <definedName name="SsS_Bs" localSheetId="3">#REF!</definedName>
    <definedName name="SsS_Bs">#REF!</definedName>
    <definedName name="SsS_pp" localSheetId="3">#REF!</definedName>
    <definedName name="SsS_pp">#REF!</definedName>
    <definedName name="ssss" localSheetId="3">#REF!</definedName>
    <definedName name="ssss">#REF!</definedName>
    <definedName name="ssssss" localSheetId="3">#REF!</definedName>
    <definedName name="ssssss">#REF!</definedName>
    <definedName name="ssssssss" localSheetId="3">#REF!</definedName>
    <definedName name="ssssssss">#REF!</definedName>
    <definedName name="statuss" localSheetId="3">#REF!</definedName>
    <definedName name="statuss">#REF!</definedName>
    <definedName name="STD" localSheetId="3">#REF!</definedName>
    <definedName name="STD">#REF!</definedName>
    <definedName name="strategy" localSheetId="3">#REF!</definedName>
    <definedName name="strategy">#REF!</definedName>
    <definedName name="SUM" localSheetId="3">#REF!</definedName>
    <definedName name="SUM">#REF!</definedName>
    <definedName name="sumaz" localSheetId="3">#REF!</definedName>
    <definedName name="sumaz">#REF!</definedName>
    <definedName name="sumazej" localSheetId="3">#REF!</definedName>
    <definedName name="sumazej">#REF!</definedName>
    <definedName name="SUMM_LAST_COLUMN" localSheetId="3">#REF!</definedName>
    <definedName name="SUMM_LAST_COLUMN">#REF!</definedName>
    <definedName name="SUMM_PrjList" localSheetId="3">#REF!</definedName>
    <definedName name="SUMM_PrjList">#REF!</definedName>
    <definedName name="susij" localSheetId="3">#REF!</definedName>
    <definedName name="susij">#REF!</definedName>
    <definedName name="susijbal" localSheetId="3">#REF!</definedName>
    <definedName name="susijbal">#REF!</definedName>
    <definedName name="susijesk" localSheetId="3">#REF!</definedName>
    <definedName name="susijesk">#REF!</definedName>
    <definedName name="T" localSheetId="3">#REF!</definedName>
    <definedName name="T">#REF!</definedName>
    <definedName name="table" localSheetId="3">#REF!</definedName>
    <definedName name="table">#REF!</definedName>
    <definedName name="Tbl_FIFO_STATUSS" localSheetId="3">#REF!</definedName>
    <definedName name="Tbl_FIFO_STATUSS">#REF!</definedName>
    <definedName name="Tech_Sup" localSheetId="3">#REF!</definedName>
    <definedName name="Tech_Sup">#REF!</definedName>
    <definedName name="TEST0" localSheetId="3">#REF!</definedName>
    <definedName name="TEST0">#REF!</definedName>
    <definedName name="TEST1" localSheetId="3">#REF!</definedName>
    <definedName name="TEST1">#REF!</definedName>
    <definedName name="TEST2" localSheetId="3">#REF!</definedName>
    <definedName name="TEST2">#REF!</definedName>
    <definedName name="TEST3" localSheetId="3">#REF!</definedName>
    <definedName name="TEST3">#REF!</definedName>
    <definedName name="TESTHKEY" localSheetId="3">#REF!</definedName>
    <definedName name="TESTHKEY">#REF!</definedName>
    <definedName name="TESTKEYS" localSheetId="3">#REF!</definedName>
    <definedName name="TESTKEYS">#REF!</definedName>
    <definedName name="TESTVKEY" localSheetId="3">#REF!</definedName>
    <definedName name="TESTVKEY">#REF!</definedName>
    <definedName name="TextRefCopy1" localSheetId="3">#REF!</definedName>
    <definedName name="TextRefCopy1">#REF!</definedName>
    <definedName name="TextRefCopy2" localSheetId="3">#REF!</definedName>
    <definedName name="TextRefCopy2">#REF!</definedName>
    <definedName name="TextRefCopy3" localSheetId="3">#REF!</definedName>
    <definedName name="TextRefCopy3">#REF!</definedName>
    <definedName name="TextRefCopy4" localSheetId="3">#REF!</definedName>
    <definedName name="TextRefCopy4">#REF!</definedName>
    <definedName name="TextRefCopy5" localSheetId="3">#REF!</definedName>
    <definedName name="TextRefCopy5">#REF!</definedName>
    <definedName name="TextRefCopy6" localSheetId="3">#REF!</definedName>
    <definedName name="TextRefCopy6">#REF!</definedName>
    <definedName name="TextRefCopy7" localSheetId="3">#REF!</definedName>
    <definedName name="TextRefCopy7">#REF!</definedName>
    <definedName name="TextRefCopy8" localSheetId="3">#REF!</definedName>
    <definedName name="TextRefCopy8">#REF!</definedName>
    <definedName name="TextRefCopyRangeCount" hidden="1">8</definedName>
    <definedName name="TIT" localSheetId="3">#REF!</definedName>
    <definedName name="TIT">#REF!</definedName>
    <definedName name="to" localSheetId="3">#REF!</definedName>
    <definedName name="to">#REF!</definedName>
    <definedName name="TOT" localSheetId="3">#REF!</definedName>
    <definedName name="TOT">#REF!</definedName>
    <definedName name="TOTAL" localSheetId="3">#REF!</definedName>
    <definedName name="TOTAL">#REF!</definedName>
    <definedName name="TPGTV" localSheetId="3">#REF!</definedName>
    <definedName name="TPGTV">#REF!</definedName>
    <definedName name="TRIAL_DATE" localSheetId="3">#REF!</definedName>
    <definedName name="TRIAL_DATE">#REF!</definedName>
    <definedName name="TrMokSumos" localSheetId="3">#REF!</definedName>
    <definedName name="TrMokSumos">#REF!</definedName>
    <definedName name="txdfhxfht" localSheetId="3">#REF!</definedName>
    <definedName name="txdfhxfht">#REF!</definedName>
    <definedName name="Uniformity" localSheetId="3">#REF!</definedName>
    <definedName name="Uniformity">#REF!</definedName>
    <definedName name="UserName" localSheetId="3">#REF!</definedName>
    <definedName name="UserName">#REF!</definedName>
    <definedName name="uuuuuuu" localSheetId="3">#REF!</definedName>
    <definedName name="uuuuuuu">#REF!</definedName>
    <definedName name="UVKR" localSheetId="3">#REF!</definedName>
    <definedName name="UVKR">#REF!</definedName>
    <definedName name="uyk" localSheetId="3">#REF!</definedName>
    <definedName name="uyk">#REF!</definedName>
    <definedName name="vadov" localSheetId="3">#REF!</definedName>
    <definedName name="vadov">#REF!</definedName>
    <definedName name="vadovai" localSheetId="3">#REF!</definedName>
    <definedName name="vadovai">#REF!</definedName>
    <definedName name="Val" localSheetId="3">#REF!</definedName>
    <definedName name="Val">#REF!</definedName>
    <definedName name="valiut" localSheetId="3">#REF!</definedName>
    <definedName name="valiut">#REF!</definedName>
    <definedName name="valiutos" localSheetId="3">#REF!</definedName>
    <definedName name="valiutos">#REF!</definedName>
    <definedName name="VAT" localSheetId="3">#REF!</definedName>
    <definedName name="VAT">#REF!</definedName>
    <definedName name="VAT_20" localSheetId="3">#REF!</definedName>
    <definedName name="VAT_20">#REF!</definedName>
    <definedName name="VAT_OnAssets" localSheetId="3">#REF!</definedName>
    <definedName name="VAT_OnAssets">#REF!</definedName>
    <definedName name="VAT_Period" localSheetId="3">#REF!</definedName>
    <definedName name="VAT_Period">#REF!</definedName>
    <definedName name="VAT_Repay" localSheetId="3">#REF!</definedName>
    <definedName name="VAT_Repay">#REF!</definedName>
    <definedName name="vbhn" localSheetId="3" hidden="1">#REF!</definedName>
    <definedName name="vbhn" hidden="1">#REF!</definedName>
    <definedName name="vbhng" localSheetId="3">#REF!</definedName>
    <definedName name="vbhng">#REF!</definedName>
    <definedName name="vbmn" localSheetId="3">#REF!</definedName>
    <definedName name="vbmn">#REF!</definedName>
    <definedName name="veikla" localSheetId="3">#REF!</definedName>
    <definedName name="veikla">#REF!</definedName>
    <definedName name="veiklos" localSheetId="3">#REF!</definedName>
    <definedName name="veiklos">#REF!</definedName>
    <definedName name="VeiklosNuoma" localSheetId="3">#REF!</definedName>
    <definedName name="VeiklosNuoma">#REF!</definedName>
    <definedName name="VeiklosSan" localSheetId="3">#REF!</definedName>
    <definedName name="VeiklosSan">#REF!</definedName>
    <definedName name="Ver_BuildDate" localSheetId="3">#REF!</definedName>
    <definedName name="Ver_BuildDate">#REF!</definedName>
    <definedName name="Ver_ChangeDate" localSheetId="3">#REF!</definedName>
    <definedName name="Ver_ChangeDate">#REF!</definedName>
    <definedName name="VertSum" localSheetId="3">#REF!</definedName>
    <definedName name="VertSum">#REF!</definedName>
    <definedName name="VET" localSheetId="3">#REF!</definedName>
    <definedName name="VET">#REF!</definedName>
    <definedName name="vhjhfhj" localSheetId="3">#REF!</definedName>
    <definedName name="vhjhfhj">#REF!</definedName>
    <definedName name="vj" localSheetId="3">#REF!</definedName>
    <definedName name="vj">#REF!</definedName>
    <definedName name="vnuom" localSheetId="3">#REF!</definedName>
    <definedName name="vnuom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 localSheetId="3">#REF!</definedName>
    <definedName name="wae">#REF!</definedName>
    <definedName name="we" localSheetId="3" hidden="1">#REF!</definedName>
    <definedName name="we" hidden="1">#REF!</definedName>
    <definedName name="weafg" localSheetId="3">#REF!</definedName>
    <definedName name="weafg">#REF!</definedName>
    <definedName name="werasw" localSheetId="3">#REF!</definedName>
    <definedName name="werasw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3" hidden="1">#REF!</definedName>
    <definedName name="wwwwww" hidden="1">#REF!</definedName>
    <definedName name="x">#N/A</definedName>
    <definedName name="xcv" localSheetId="3">#REF!</definedName>
    <definedName name="xcv">#REF!</definedName>
    <definedName name="xdf" localSheetId="3">#REF!</definedName>
    <definedName name="xdf">#REF!</definedName>
    <definedName name="xdfgxcygh" localSheetId="3">#REF!</definedName>
    <definedName name="xdfgxcygh">#REF!</definedName>
    <definedName name="xdfth" localSheetId="3">#REF!</definedName>
    <definedName name="xdfth">#REF!</definedName>
    <definedName name="xdh" localSheetId="3">#REF!</definedName>
    <definedName name="xdh">#REF!</definedName>
    <definedName name="xdhf" localSheetId="3">#REF!</definedName>
    <definedName name="xdhf">#REF!</definedName>
    <definedName name="xfht" localSheetId="3">#REF!</definedName>
    <definedName name="xfht">#REF!</definedName>
    <definedName name="xg" localSheetId="3">#REF!</definedName>
    <definedName name="xg">#REF!</definedName>
    <definedName name="xgh" localSheetId="3">#REF!</definedName>
    <definedName name="xgh">#REF!</definedName>
    <definedName name="xhttxf" localSheetId="3">#REF!</definedName>
    <definedName name="xhttxf">#REF!</definedName>
    <definedName name="xls" localSheetId="3">#REF!</definedName>
    <definedName name="xls">#REF!</definedName>
    <definedName name="XREF_COLUMN_10" localSheetId="3" hidden="1">#REF!</definedName>
    <definedName name="XREF_COLUMN_10" hidden="1">#REF!</definedName>
    <definedName name="XREF_COLUMN_14" localSheetId="3" hidden="1">#REF!</definedName>
    <definedName name="XREF_COLUMN_14" hidden="1">#REF!</definedName>
    <definedName name="XREF_COLUMN_3" localSheetId="3" hidden="1">#REF!</definedName>
    <definedName name="XREF_COLUMN_3" hidden="1">#REF!</definedName>
    <definedName name="XREF_COLUMN_4" localSheetId="3" hidden="1">#REF!</definedName>
    <definedName name="XREF_COLUMN_4" hidden="1">#REF!</definedName>
    <definedName name="XREF_COLUMN_5" localSheetId="3" hidden="1">#REF!</definedName>
    <definedName name="XREF_COLUMN_5" hidden="1">#REF!</definedName>
    <definedName name="XREF_COLUMN_6" localSheetId="3" hidden="1">#REF!</definedName>
    <definedName name="XREF_COLUMN_6" hidden="1">#REF!</definedName>
    <definedName name="XREF_COLUMN_7" localSheetId="3" hidden="1">#REF!</definedName>
    <definedName name="XREF_COLUMN_7" hidden="1">#REF!</definedName>
    <definedName name="XRefColumnsCount" hidden="1">1</definedName>
    <definedName name="XRefCopy1" localSheetId="3" hidden="1">#REF!</definedName>
    <definedName name="XRefCopy1" hidden="1">#REF!</definedName>
    <definedName name="XRefCopy2" localSheetId="3" hidden="1">#REF!</definedName>
    <definedName name="XRefCopy2" hidden="1">#REF!</definedName>
    <definedName name="XRefCopy3" localSheetId="3" hidden="1">#REF!</definedName>
    <definedName name="XRefCopy3" hidden="1">#REF!</definedName>
    <definedName name="XRefCopy4" localSheetId="3" hidden="1">#REF!</definedName>
    <definedName name="XRefCopy4" hidden="1">#REF!</definedName>
    <definedName name="XRefCopy5" localSheetId="3" hidden="1">#REF!</definedName>
    <definedName name="XRefCopy5" hidden="1">#REF!</definedName>
    <definedName name="XRefCopy6" localSheetId="3" hidden="1">#REF!</definedName>
    <definedName name="XRefCopy6" hidden="1">#REF!</definedName>
    <definedName name="XRefCopy6Row" localSheetId="3" hidden="1">#REF!</definedName>
    <definedName name="XRefCopy6Row" hidden="1">#REF!</definedName>
    <definedName name="XRefCopy7" localSheetId="3" hidden="1">#REF!</definedName>
    <definedName name="XRefCopy7" hidden="1">#REF!</definedName>
    <definedName name="XRefCopy8" localSheetId="3" hidden="1">#REF!</definedName>
    <definedName name="XRefCopy8" hidden="1">#REF!</definedName>
    <definedName name="XRefCopy9" localSheetId="3" hidden="1">#REF!</definedName>
    <definedName name="XRefCopy9" hidden="1">#REF!</definedName>
    <definedName name="XRefCopy9Row" localSheetId="3" hidden="1">#REF!</definedName>
    <definedName name="XRefCopy9Row" hidden="1">#REF!</definedName>
    <definedName name="XRefCopyRangeCount" hidden="1">1</definedName>
    <definedName name="XRefPaste10" localSheetId="3" hidden="1">#REF!</definedName>
    <definedName name="XRefPaste10" hidden="1">#REF!</definedName>
    <definedName name="XRefPaste11" localSheetId="3" hidden="1">#REF!</definedName>
    <definedName name="XRefPaste11" hidden="1">#REF!</definedName>
    <definedName name="XRefPaste12" localSheetId="3" hidden="1">#REF!</definedName>
    <definedName name="XRefPaste12" hidden="1">#REF!</definedName>
    <definedName name="XRefPaste13" localSheetId="3" hidden="1">#REF!</definedName>
    <definedName name="XRefPaste13" hidden="1">#REF!</definedName>
    <definedName name="XRefPaste16" localSheetId="3" hidden="1">#REF!</definedName>
    <definedName name="XRefPaste16" hidden="1">#REF!</definedName>
    <definedName name="XRefPaste17" localSheetId="3" hidden="1">#REF!</definedName>
    <definedName name="XRefPaste17" hidden="1">#REF!</definedName>
    <definedName name="XRefPaste18" localSheetId="3" hidden="1">#REF!</definedName>
    <definedName name="XRefPaste18" hidden="1">#REF!</definedName>
    <definedName name="XRefPaste2" localSheetId="3" hidden="1">#REF!</definedName>
    <definedName name="XRefPaste2" hidden="1">#REF!</definedName>
    <definedName name="XRefPaste5" localSheetId="3" hidden="1">#REF!</definedName>
    <definedName name="XRefPaste5" hidden="1">#REF!</definedName>
    <definedName name="XRefPaste6" localSheetId="3" hidden="1">#REF!</definedName>
    <definedName name="XRefPaste6" hidden="1">#REF!</definedName>
    <definedName name="XRefPaste7" localSheetId="3" hidden="1">#REF!</definedName>
    <definedName name="XRefPaste7" hidden="1">#REF!</definedName>
    <definedName name="XRefPaste8" localSheetId="3" hidden="1">#REF!</definedName>
    <definedName name="XRefPaste8" hidden="1">#REF!</definedName>
    <definedName name="XRefPaste9" localSheetId="3" hidden="1">#REF!</definedName>
    <definedName name="XRefPaste9" hidden="1">#REF!</definedName>
    <definedName name="XRefPasteRangeCount" hidden="1">27</definedName>
    <definedName name="xtdddddd" localSheetId="3">#REF!</definedName>
    <definedName name="xtdddddd">#REF!</definedName>
    <definedName name="xzc" localSheetId="3">#REF!</definedName>
    <definedName name="xzc">#REF!</definedName>
    <definedName name="xzcb" localSheetId="3">#REF!</definedName>
    <definedName name="xzcb">#REF!</definedName>
    <definedName name="xzf" localSheetId="3">#REF!</definedName>
    <definedName name="xzf">#REF!</definedName>
    <definedName name="xzrjnyvgh" localSheetId="3">#REF!</definedName>
    <definedName name="xzrjnyvgh">#REF!</definedName>
    <definedName name="y" localSheetId="3">#REF!</definedName>
    <definedName name="y">#REF!</definedName>
    <definedName name="yjcf" localSheetId="3">#REF!</definedName>
    <definedName name="yjcf">#REF!</definedName>
    <definedName name="yjcougv" localSheetId="3">#REF!</definedName>
    <definedName name="yjcougv">#REF!</definedName>
    <definedName name="ytdj" localSheetId="3">#REF!</definedName>
    <definedName name="ytdj">#REF!</definedName>
    <definedName name="yug" localSheetId="3">#REF!</definedName>
    <definedName name="yug">#REF!</definedName>
    <definedName name="YYYY" localSheetId="3">#REF!</definedName>
    <definedName name="YYYY">#REF!</definedName>
    <definedName name="z" localSheetId="3">#REF!</definedName>
    <definedName name="z">#REF!</definedName>
    <definedName name="zgffxdhxtghj" localSheetId="3">#REF!</definedName>
    <definedName name="zgffxdhxtghj">#REF!</definedName>
    <definedName name="zsrg" localSheetId="3">#REF!</definedName>
    <definedName name="zsrg">#REF!</definedName>
    <definedName name="zxfg" localSheetId="3">#REF!</definedName>
    <definedName name="zxfg">#REF!</definedName>
    <definedName name="а" localSheetId="3">#REF!</definedName>
    <definedName name="а">#REF!</definedName>
    <definedName name="ааа" localSheetId="3">#REF!</definedName>
    <definedName name="ааа">#REF!</definedName>
    <definedName name="аааааааа" localSheetId="3">#REF!</definedName>
    <definedName name="аааааааа">#REF!</definedName>
    <definedName name="ббббб" localSheetId="3">#REF!</definedName>
    <definedName name="ббббб">#REF!</definedName>
    <definedName name="ббббббб" localSheetId="3">#REF!</definedName>
    <definedName name="ббббббб">#REF!</definedName>
    <definedName name="бббббббббб" localSheetId="3">#REF!</definedName>
    <definedName name="бббббббббб">#REF!</definedName>
    <definedName name="в" localSheetId="3">#REF!</definedName>
    <definedName name="в">#REF!</definedName>
    <definedName name="вввв" localSheetId="3">#REF!</definedName>
    <definedName name="вввв">#REF!</definedName>
    <definedName name="ввввввввввв" localSheetId="3">#REF!</definedName>
    <definedName name="ввввввввввв">#REF!</definedName>
    <definedName name="ггггг" localSheetId="3">#REF!</definedName>
    <definedName name="ггггг">#REF!</definedName>
    <definedName name="еее" localSheetId="3">#REF!</definedName>
    <definedName name="еее">#REF!</definedName>
    <definedName name="ееееее" localSheetId="3">#REF!</definedName>
    <definedName name="ееееее">#REF!</definedName>
    <definedName name="еееееееее" localSheetId="3">#REF!</definedName>
    <definedName name="еееееееее">#REF!</definedName>
    <definedName name="жжжжжж" localSheetId="3">#REF!</definedName>
    <definedName name="жжжжжж">#REF!</definedName>
    <definedName name="зззззз" localSheetId="3">#REF!</definedName>
    <definedName name="зззззз">#REF!</definedName>
    <definedName name="и" localSheetId="3">#REF!</definedName>
    <definedName name="и">#REF!</definedName>
    <definedName name="иии" localSheetId="3">#REF!</definedName>
    <definedName name="иии">#REF!</definedName>
    <definedName name="ииииииииииииии" localSheetId="3">#REF!</definedName>
    <definedName name="ииииииииииииии">#REF!</definedName>
    <definedName name="ййй" localSheetId="3">#REF!</definedName>
    <definedName name="ййй">#REF!</definedName>
    <definedName name="ййййййййй" localSheetId="3">#REF!</definedName>
    <definedName name="ййййййййй">#REF!</definedName>
    <definedName name="кккк" localSheetId="3">#REF!</definedName>
    <definedName name="кккк">#REF!</definedName>
    <definedName name="ккккккккккк" localSheetId="3">#REF!</definedName>
    <definedName name="ккккккккккк">#REF!</definedName>
    <definedName name="лллл" localSheetId="3">#REF!</definedName>
    <definedName name="лллл">#REF!</definedName>
    <definedName name="м" localSheetId="3">#REF!</definedName>
    <definedName name="м">#REF!</definedName>
    <definedName name="ммм" localSheetId="3">#REF!</definedName>
    <definedName name="ммм">#REF!</definedName>
    <definedName name="ммммммммм" localSheetId="3">#REF!</definedName>
    <definedName name="ммммммммм">#REF!</definedName>
    <definedName name="ммммммммммм" localSheetId="3">#REF!</definedName>
    <definedName name="ммммммммммм">#REF!</definedName>
    <definedName name="нннннн" localSheetId="3">#REF!</definedName>
    <definedName name="нннннн">#REF!</definedName>
    <definedName name="ннннннннннн" localSheetId="3">#REF!</definedName>
    <definedName name="ннннннннннн">#REF!</definedName>
    <definedName name="о" localSheetId="3">#REF!</definedName>
    <definedName name="о">#REF!</definedName>
    <definedName name="_xlnm.Print_Area">#N/A</definedName>
    <definedName name="ооо" localSheetId="3">#REF!</definedName>
    <definedName name="ооо">#REF!</definedName>
    <definedName name="оооооо" localSheetId="3">#REF!</definedName>
    <definedName name="оооооо">#REF!</definedName>
    <definedName name="п" localSheetId="3">#REF!</definedName>
    <definedName name="п">#REF!</definedName>
    <definedName name="пппппппппп" localSheetId="3">#REF!</definedName>
    <definedName name="пппппппппп">#REF!</definedName>
    <definedName name="р" localSheetId="3">#REF!</definedName>
    <definedName name="р">#REF!</definedName>
    <definedName name="ррр" localSheetId="3">#REF!</definedName>
    <definedName name="ррр">#REF!</definedName>
    <definedName name="рррррр" localSheetId="3">#REF!</definedName>
    <definedName name="рррррр">#REF!</definedName>
    <definedName name="рррррррррр" localSheetId="3">#REF!</definedName>
    <definedName name="рррррррррр">#REF!</definedName>
    <definedName name="ррррррррррр" localSheetId="3">#REF!</definedName>
    <definedName name="ррррррррррр">#REF!</definedName>
    <definedName name="с" localSheetId="3">#REF!</definedName>
    <definedName name="с">#REF!</definedName>
    <definedName name="ссс" localSheetId="3">#REF!</definedName>
    <definedName name="ссс">#REF!</definedName>
    <definedName name="ссссс" localSheetId="3">#REF!</definedName>
    <definedName name="ссссс">#REF!</definedName>
    <definedName name="СуммTable_10" localSheetId="3">#REF!</definedName>
    <definedName name="СуммTable_10">#REF!</definedName>
    <definedName name="т" localSheetId="3">#REF!</definedName>
    <definedName name="т">#REF!</definedName>
    <definedName name="ттт" localSheetId="3">#REF!</definedName>
    <definedName name="ттт">#REF!</definedName>
    <definedName name="ттттттттттттт" localSheetId="3">#REF!</definedName>
    <definedName name="ттттттттттттт">#REF!</definedName>
    <definedName name="ууу" localSheetId="3">#REF!</definedName>
    <definedName name="ууу">#REF!</definedName>
    <definedName name="уууууу" localSheetId="3">#REF!</definedName>
    <definedName name="уууууу">#REF!</definedName>
    <definedName name="уууууууууу" localSheetId="3">#REF!</definedName>
    <definedName name="уууууууууу">#REF!</definedName>
    <definedName name="ффф" localSheetId="3">#REF!</definedName>
    <definedName name="ффф">#REF!</definedName>
    <definedName name="ффффффффф" localSheetId="3">#REF!</definedName>
    <definedName name="ффффффффф">#REF!</definedName>
    <definedName name="ххххххх" localSheetId="3">#REF!</definedName>
    <definedName name="ххххххх">#REF!</definedName>
    <definedName name="ццц" localSheetId="3">#REF!</definedName>
    <definedName name="ццц">#REF!</definedName>
    <definedName name="ццццццццц" localSheetId="3">#REF!</definedName>
    <definedName name="ццццццццц">#REF!</definedName>
    <definedName name="ч" localSheetId="3">#REF!</definedName>
    <definedName name="ч">#REF!</definedName>
    <definedName name="ччч" localSheetId="3">#REF!</definedName>
    <definedName name="ччч">#REF!</definedName>
    <definedName name="шшшшшшшшш" localSheetId="3">#REF!</definedName>
    <definedName name="шшшшшшшшш">#REF!</definedName>
    <definedName name="ы" localSheetId="3">#REF!</definedName>
    <definedName name="ы">#REF!</definedName>
    <definedName name="ыыыыыыыыы" localSheetId="3">#REF!</definedName>
    <definedName name="ыыыыыыыыы">#REF!</definedName>
    <definedName name="ь" localSheetId="3">#REF!</definedName>
    <definedName name="ь">#REF!</definedName>
    <definedName name="ььь" localSheetId="3">#REF!</definedName>
    <definedName name="ььь">#REF!</definedName>
    <definedName name="ьььььььььььь" localSheetId="3">#REF!</definedName>
    <definedName name="ьььььььььььь">#REF!</definedName>
    <definedName name="эээээ" localSheetId="3">#REF!</definedName>
    <definedName name="эээээ">#REF!</definedName>
    <definedName name="ююююю" localSheetId="3">#REF!</definedName>
    <definedName name="ююююю">#REF!</definedName>
    <definedName name="юююююююююю" localSheetId="3">#REF!</definedName>
    <definedName name="юююююююююю">#REF!</definedName>
    <definedName name="я" localSheetId="3">#REF!</definedName>
    <definedName name="я">#REF!</definedName>
    <definedName name="яяя" localSheetId="3">#REF!</definedName>
    <definedName name="яяя">#REF!</definedName>
    <definedName name="กหเหเ" localSheetId="3">#REF!</definedName>
    <definedName name="กหเหเ">#REF!</definedName>
    <definedName name="กำไรขาดทุน" localSheetId="3">#REF!</definedName>
    <definedName name="กำไรขาดทุน">#REF!</definedName>
    <definedName name="คัดทิ้ง" localSheetId="3">#REF!</definedName>
    <definedName name="คัดทิ้ง">#REF!</definedName>
    <definedName name="ค่ายา" localSheetId="3">#REF!</definedName>
    <definedName name="ค่ายา">#REF!</definedName>
    <definedName name="ทรัพย์สิน" localSheetId="3">#REF!</definedName>
    <definedName name="ทรัพย์สิน">#REF!</definedName>
    <definedName name="นน.เข้า" localSheetId="3">#REF!</definedName>
    <definedName name="นน.เข้า">#REF!</definedName>
    <definedName name="นน.ออก" localSheetId="3">#REF!</definedName>
    <definedName name="นน.ออก">#REF!</definedName>
    <definedName name="พพพพ" localSheetId="3">#REF!</definedName>
    <definedName name="พพพพ">#REF!</definedName>
    <definedName name="ฟ" localSheetId="3">#REF!</definedName>
    <definedName name="ฟ">#REF!</definedName>
    <definedName name="ฟฟ" localSheetId="3">#REF!</definedName>
    <definedName name="ฟฟ">#REF!</definedName>
    <definedName name="ร่วมT" localSheetId="3">#REF!</definedName>
    <definedName name="ร่วมT">#REF!</definedName>
    <definedName name="วววว" localSheetId="3">#REF!</definedName>
    <definedName name="วววว">#REF!</definedName>
    <definedName name="ส่วนแบ่งตลาด" localSheetId="3">#REF!</definedName>
    <definedName name="ส่วนแบ่งตลาด">#REF!</definedName>
    <definedName name="สสสสส" localSheetId="3">#REF!</definedName>
    <definedName name="สสสสส">#REF!</definedName>
    <definedName name="หนี้สินและทุน" localSheetId="3">#REF!</definedName>
    <definedName name="หนี้สินและทุน">#REF!</definedName>
    <definedName name="หมูเข้า" localSheetId="3">#REF!</definedName>
    <definedName name="หมูเข้า">#REF!</definedName>
    <definedName name="หมูออก" localSheetId="3">#REF!</definedName>
    <definedName name="หมูออก">#REF!</definedName>
    <definedName name="หหก" localSheetId="3">#REF!</definedName>
    <definedName name="หหก">#REF!</definedName>
    <definedName name="อายุ" localSheetId="3">#REF!</definedName>
    <definedName name="อายุ">#REF!</definedName>
    <definedName name="อายุลูกหนี้" localSheetId="3">#REF!</definedName>
    <definedName name="อายุลูกหนี้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1" i="4" l="1"/>
  <c r="H231" i="4"/>
  <c r="I231" i="4"/>
  <c r="K231" i="4"/>
  <c r="N231" i="4"/>
  <c r="B586" i="1"/>
  <c r="E586" i="1"/>
  <c r="I586" i="1" s="1"/>
  <c r="J586" i="1"/>
  <c r="Q586" i="1"/>
  <c r="O231" i="4" l="1"/>
  <c r="B585" i="1"/>
  <c r="E230" i="4"/>
  <c r="H230" i="4"/>
  <c r="I230" i="4"/>
  <c r="K230" i="4" s="1"/>
  <c r="O230" i="4" s="1"/>
  <c r="N230" i="4"/>
  <c r="E585" i="1" l="1"/>
  <c r="I585" i="1" s="1"/>
  <c r="J585" i="1"/>
  <c r="Q585" i="1"/>
  <c r="E229" i="4" l="1"/>
  <c r="H229" i="4"/>
  <c r="I229" i="4"/>
  <c r="K229" i="4"/>
  <c r="E584" i="1" s="1"/>
  <c r="I584" i="1" s="1"/>
  <c r="N229" i="4"/>
  <c r="B584" i="1"/>
  <c r="J584" i="1"/>
  <c r="Q584" i="1"/>
  <c r="O229" i="4" l="1"/>
  <c r="B583" i="1"/>
  <c r="E228" i="4"/>
  <c r="H228" i="4"/>
  <c r="I228" i="4"/>
  <c r="K228" i="4" s="1"/>
  <c r="N228" i="4"/>
  <c r="J583" i="1"/>
  <c r="Q583" i="1"/>
  <c r="E583" i="1" l="1"/>
  <c r="I583" i="1" s="1"/>
  <c r="O228" i="4"/>
  <c r="B582" i="1"/>
  <c r="E227" i="4"/>
  <c r="H227" i="4"/>
  <c r="I227" i="4"/>
  <c r="K227" i="4" s="1"/>
  <c r="N227" i="4"/>
  <c r="J582" i="1"/>
  <c r="Q582" i="1" s="1"/>
  <c r="O227" i="4" l="1"/>
  <c r="E582" i="1"/>
  <c r="I582" i="1" s="1"/>
  <c r="J581" i="1"/>
  <c r="B581" i="1"/>
  <c r="E226" i="4" l="1"/>
  <c r="H226" i="4"/>
  <c r="I226" i="4"/>
  <c r="K226" i="4"/>
  <c r="N226" i="4"/>
  <c r="C4" i="2"/>
  <c r="I581" i="1"/>
  <c r="E581" i="1"/>
  <c r="Q581" i="1"/>
  <c r="O226" i="4" l="1"/>
  <c r="E225" i="4"/>
  <c r="H225" i="4"/>
  <c r="I225" i="4"/>
  <c r="K225" i="4"/>
  <c r="N225" i="4"/>
  <c r="B580" i="1"/>
  <c r="E580" i="1"/>
  <c r="I580" i="1" s="1"/>
  <c r="J580" i="1"/>
  <c r="Q580" i="1"/>
  <c r="O225" i="4" l="1"/>
  <c r="E224" i="4"/>
  <c r="H224" i="4"/>
  <c r="I224" i="4"/>
  <c r="K224" i="4"/>
  <c r="N224" i="4"/>
  <c r="B579" i="1"/>
  <c r="E579" i="1"/>
  <c r="I579" i="1" s="1"/>
  <c r="J579" i="1"/>
  <c r="Q579" i="1" s="1"/>
  <c r="O224" i="4" l="1"/>
  <c r="B578" i="1"/>
  <c r="E223" i="4"/>
  <c r="H223" i="4"/>
  <c r="I223" i="4"/>
  <c r="K223" i="4" s="1"/>
  <c r="E578" i="1" s="1"/>
  <c r="I578" i="1" s="1"/>
  <c r="N223" i="4"/>
  <c r="J578" i="1"/>
  <c r="Q578" i="1"/>
  <c r="E222" i="4"/>
  <c r="H222" i="4"/>
  <c r="I222" i="4"/>
  <c r="K222" i="4" s="1"/>
  <c r="E577" i="1" s="1"/>
  <c r="N222" i="4"/>
  <c r="B577" i="1"/>
  <c r="J577" i="1"/>
  <c r="Q577" i="1"/>
  <c r="B576" i="1"/>
  <c r="E221" i="4"/>
  <c r="H221" i="4"/>
  <c r="I221" i="4"/>
  <c r="K221" i="4"/>
  <c r="E576" i="1" s="1"/>
  <c r="N221" i="4"/>
  <c r="J576" i="1"/>
  <c r="Q576" i="1"/>
  <c r="E220" i="4"/>
  <c r="H220" i="4"/>
  <c r="I220" i="4"/>
  <c r="K220" i="4"/>
  <c r="E575" i="1" s="1"/>
  <c r="N220" i="4"/>
  <c r="B575" i="1"/>
  <c r="B574" i="1"/>
  <c r="J575" i="1"/>
  <c r="Q575" i="1" s="1"/>
  <c r="E219" i="4"/>
  <c r="H219" i="4"/>
  <c r="I219" i="4"/>
  <c r="K219" i="4" s="1"/>
  <c r="E574" i="1" s="1"/>
  <c r="N219" i="4"/>
  <c r="J574" i="1"/>
  <c r="Q574" i="1" s="1"/>
  <c r="B573" i="1"/>
  <c r="E218" i="4"/>
  <c r="H218" i="4"/>
  <c r="I218" i="4"/>
  <c r="K218" i="4" s="1"/>
  <c r="E573" i="1" s="1"/>
  <c r="I573" i="1" s="1"/>
  <c r="N218" i="4"/>
  <c r="J573" i="1"/>
  <c r="Q573" i="1"/>
  <c r="E217" i="4"/>
  <c r="H217" i="4"/>
  <c r="I217" i="4"/>
  <c r="K217" i="4" s="1"/>
  <c r="E572" i="1" s="1"/>
  <c r="N217" i="4"/>
  <c r="B572" i="1"/>
  <c r="J572" i="1"/>
  <c r="Q572" i="1"/>
  <c r="B571" i="1"/>
  <c r="E216" i="4"/>
  <c r="H216" i="4"/>
  <c r="I216" i="4"/>
  <c r="K216" i="4" s="1"/>
  <c r="N216" i="4"/>
  <c r="O223" i="4" l="1"/>
  <c r="O222" i="4"/>
  <c r="I572" i="1"/>
  <c r="O221" i="4"/>
  <c r="I577" i="1"/>
  <c r="I576" i="1"/>
  <c r="I575" i="1"/>
  <c r="I574" i="1"/>
  <c r="O219" i="4"/>
  <c r="O220" i="4"/>
  <c r="O218" i="4"/>
  <c r="O217" i="4"/>
  <c r="O216" i="4"/>
  <c r="J571" i="1"/>
  <c r="Q571" i="1" s="1"/>
  <c r="E571" i="1"/>
  <c r="I571" i="1" l="1"/>
  <c r="B570" i="1"/>
  <c r="E215" i="4" l="1"/>
  <c r="H215" i="4"/>
  <c r="I215" i="4"/>
  <c r="K215" i="4" s="1"/>
  <c r="E570" i="1" s="1"/>
  <c r="I570" i="1" s="1"/>
  <c r="N215" i="4"/>
  <c r="J570" i="1"/>
  <c r="Q570" i="1" s="1"/>
  <c r="O215" i="4" l="1"/>
  <c r="B569" i="1"/>
  <c r="E214" i="4"/>
  <c r="H214" i="4"/>
  <c r="I214" i="4"/>
  <c r="K214" i="4" s="1"/>
  <c r="E569" i="1" s="1"/>
  <c r="I569" i="1" s="1"/>
  <c r="N214" i="4"/>
  <c r="J569" i="1"/>
  <c r="Q569" i="1" s="1"/>
  <c r="B568" i="1"/>
  <c r="E213" i="4"/>
  <c r="H213" i="4"/>
  <c r="I213" i="4"/>
  <c r="K213" i="4" s="1"/>
  <c r="E568" i="1" s="1"/>
  <c r="N213" i="4"/>
  <c r="J568" i="1"/>
  <c r="Q568" i="1" s="1"/>
  <c r="E212" i="4"/>
  <c r="H212" i="4"/>
  <c r="I212" i="4"/>
  <c r="K212" i="4" s="1"/>
  <c r="E567" i="1" s="1"/>
  <c r="N212" i="4"/>
  <c r="B567" i="1"/>
  <c r="J567" i="1"/>
  <c r="Q567" i="1" s="1"/>
  <c r="B566" i="1"/>
  <c r="E211" i="4"/>
  <c r="H211" i="4"/>
  <c r="I211" i="4"/>
  <c r="K211" i="4" s="1"/>
  <c r="E566" i="1" s="1"/>
  <c r="N211" i="4"/>
  <c r="J566" i="1"/>
  <c r="Q566" i="1" s="1"/>
  <c r="B565" i="1"/>
  <c r="E210" i="4"/>
  <c r="H210" i="4"/>
  <c r="I210" i="4"/>
  <c r="K210" i="4" s="1"/>
  <c r="N210" i="4"/>
  <c r="J565" i="1"/>
  <c r="Q565" i="1" s="1"/>
  <c r="I567" i="1" l="1"/>
  <c r="O212" i="4"/>
  <c r="O213" i="4"/>
  <c r="O214" i="4"/>
  <c r="I568" i="1"/>
  <c r="O211" i="4"/>
  <c r="I566" i="1"/>
  <c r="E565" i="1"/>
  <c r="I565" i="1" s="1"/>
  <c r="O210" i="4"/>
  <c r="E209" i="4"/>
  <c r="H209" i="4"/>
  <c r="I209" i="4"/>
  <c r="K209" i="4" s="1"/>
  <c r="E564" i="1" s="1"/>
  <c r="L209" i="4"/>
  <c r="N209" i="4" s="1"/>
  <c r="F564" i="1" s="1"/>
  <c r="B564" i="1"/>
  <c r="J564" i="1"/>
  <c r="Q564" i="1" s="1"/>
  <c r="B563" i="1"/>
  <c r="O209" i="4" l="1"/>
  <c r="I564" i="1"/>
  <c r="E208" i="4"/>
  <c r="H208" i="4"/>
  <c r="I208" i="4"/>
  <c r="K208" i="4" s="1"/>
  <c r="E563" i="1" s="1"/>
  <c r="L208" i="4"/>
  <c r="N208" i="4" s="1"/>
  <c r="F563" i="1" s="1"/>
  <c r="J563" i="1"/>
  <c r="Q563" i="1" s="1"/>
  <c r="O208" i="4" l="1"/>
  <c r="I563" i="1"/>
  <c r="B562" i="1"/>
  <c r="E207" i="4" l="1"/>
  <c r="H207" i="4"/>
  <c r="I207" i="4"/>
  <c r="K207" i="4" s="1"/>
  <c r="E562" i="1" s="1"/>
  <c r="L207" i="4"/>
  <c r="N207" i="4" s="1"/>
  <c r="F562" i="1" s="1"/>
  <c r="J562" i="1"/>
  <c r="Q562" i="1"/>
  <c r="I562" i="1" l="1"/>
  <c r="O207" i="4"/>
  <c r="J561" i="1"/>
  <c r="B561" i="1"/>
  <c r="E206" i="4" l="1"/>
  <c r="H206" i="4"/>
  <c r="I206" i="4"/>
  <c r="K206" i="4"/>
  <c r="L206" i="4"/>
  <c r="N206" i="4" s="1"/>
  <c r="F561" i="1" s="1"/>
  <c r="E561" i="1"/>
  <c r="Q561" i="1"/>
  <c r="I561" i="1" l="1"/>
  <c r="O206" i="4"/>
  <c r="E205" i="4"/>
  <c r="H205" i="4"/>
  <c r="I205" i="4"/>
  <c r="K205" i="4" s="1"/>
  <c r="E560" i="1" s="1"/>
  <c r="L205" i="4"/>
  <c r="N205" i="4"/>
  <c r="B560" i="1"/>
  <c r="F560" i="1"/>
  <c r="J560" i="1"/>
  <c r="Q560" i="1"/>
  <c r="O205" i="4" l="1"/>
  <c r="I560" i="1"/>
  <c r="E204" i="4"/>
  <c r="H204" i="4"/>
  <c r="I204" i="4"/>
  <c r="K204" i="4" s="1"/>
  <c r="E559" i="1" s="1"/>
  <c r="L204" i="4"/>
  <c r="N204" i="4"/>
  <c r="F559" i="1" s="1"/>
  <c r="B559" i="1"/>
  <c r="J559" i="1"/>
  <c r="Q559" i="1" s="1"/>
  <c r="I559" i="1" l="1"/>
  <c r="O204" i="4"/>
  <c r="B558" i="1"/>
  <c r="E203" i="4" l="1"/>
  <c r="H203" i="4"/>
  <c r="I203" i="4"/>
  <c r="K203" i="4" s="1"/>
  <c r="L203" i="4"/>
  <c r="N203" i="4" s="1"/>
  <c r="F558" i="1" s="1"/>
  <c r="J558" i="1"/>
  <c r="Q558" i="1" s="1"/>
  <c r="E558" i="1" l="1"/>
  <c r="O203" i="4"/>
  <c r="I558" i="1"/>
  <c r="E202" i="4"/>
  <c r="H202" i="4"/>
  <c r="I202" i="4"/>
  <c r="K202" i="4" s="1"/>
  <c r="L202" i="4"/>
  <c r="N202" i="4"/>
  <c r="F557" i="1" s="1"/>
  <c r="B557" i="1"/>
  <c r="J557" i="1"/>
  <c r="Q557" i="1" s="1"/>
  <c r="E557" i="1" l="1"/>
  <c r="I557" i="1" s="1"/>
  <c r="O202" i="4"/>
  <c r="B556" i="1"/>
  <c r="E201" i="4" l="1"/>
  <c r="H201" i="4"/>
  <c r="I201" i="4"/>
  <c r="K201" i="4" s="1"/>
  <c r="E556" i="1" s="1"/>
  <c r="L201" i="4"/>
  <c r="N201" i="4"/>
  <c r="F556" i="1" s="1"/>
  <c r="J556" i="1"/>
  <c r="Q556" i="1"/>
  <c r="I556" i="1" l="1"/>
  <c r="O201" i="4"/>
  <c r="B555" i="1"/>
  <c r="E200" i="4" l="1"/>
  <c r="H200" i="4"/>
  <c r="I200" i="4"/>
  <c r="K200" i="4" s="1"/>
  <c r="E555" i="1" s="1"/>
  <c r="L200" i="4"/>
  <c r="N200" i="4"/>
  <c r="F555" i="1" s="1"/>
  <c r="J555" i="1"/>
  <c r="Q555" i="1"/>
  <c r="O200" i="4" l="1"/>
  <c r="I555" i="1"/>
  <c r="B554" i="1"/>
  <c r="E199" i="4"/>
  <c r="H199" i="4"/>
  <c r="I199" i="4"/>
  <c r="K199" i="4" s="1"/>
  <c r="L199" i="4"/>
  <c r="N199" i="4" s="1"/>
  <c r="F554" i="1" s="1"/>
  <c r="J554" i="1"/>
  <c r="Q554" i="1" s="1"/>
  <c r="B553" i="1"/>
  <c r="E198" i="4"/>
  <c r="H198" i="4"/>
  <c r="I198" i="4"/>
  <c r="K198" i="4"/>
  <c r="L198" i="4"/>
  <c r="N198" i="4"/>
  <c r="E553" i="1"/>
  <c r="F553" i="1"/>
  <c r="J553" i="1"/>
  <c r="Q553" i="1"/>
  <c r="B552" i="1"/>
  <c r="E197" i="4"/>
  <c r="H197" i="4"/>
  <c r="I197" i="4"/>
  <c r="K197" i="4" s="1"/>
  <c r="L197" i="4"/>
  <c r="N197" i="4" s="1"/>
  <c r="F552" i="1" s="1"/>
  <c r="J552" i="1"/>
  <c r="Q552" i="1"/>
  <c r="B551" i="1"/>
  <c r="J551" i="1"/>
  <c r="Q551" i="1" s="1"/>
  <c r="E196" i="4"/>
  <c r="H196" i="4"/>
  <c r="I196" i="4"/>
  <c r="K196" i="4"/>
  <c r="L196" i="4"/>
  <c r="N196" i="4"/>
  <c r="E551" i="1"/>
  <c r="F551" i="1"/>
  <c r="B550" i="1"/>
  <c r="E195" i="4"/>
  <c r="H195" i="4"/>
  <c r="I195" i="4"/>
  <c r="K195" i="4" s="1"/>
  <c r="E550" i="1" s="1"/>
  <c r="L195" i="4"/>
  <c r="N195" i="4" s="1"/>
  <c r="F550" i="1" s="1"/>
  <c r="J550" i="1"/>
  <c r="Q550" i="1" s="1"/>
  <c r="B549" i="1"/>
  <c r="E194" i="4"/>
  <c r="H194" i="4"/>
  <c r="I194" i="4"/>
  <c r="K194" i="4" s="1"/>
  <c r="E549" i="1" s="1"/>
  <c r="L194" i="4"/>
  <c r="N194" i="4" s="1"/>
  <c r="F549" i="1" s="1"/>
  <c r="J549" i="1"/>
  <c r="Q549" i="1"/>
  <c r="B548" i="1"/>
  <c r="E193" i="4"/>
  <c r="H193" i="4"/>
  <c r="I193" i="4"/>
  <c r="K193" i="4" s="1"/>
  <c r="E548" i="1" s="1"/>
  <c r="L193" i="4"/>
  <c r="N193" i="4" s="1"/>
  <c r="F548" i="1" s="1"/>
  <c r="J548" i="1"/>
  <c r="Q548" i="1" s="1"/>
  <c r="E192" i="4"/>
  <c r="H192" i="4"/>
  <c r="I192" i="4"/>
  <c r="K192" i="4" s="1"/>
  <c r="E547" i="1" s="1"/>
  <c r="L192" i="4"/>
  <c r="N192" i="4" s="1"/>
  <c r="F547" i="1" s="1"/>
  <c r="B547" i="1"/>
  <c r="J547" i="1"/>
  <c r="Q547" i="1" s="1"/>
  <c r="B546" i="1"/>
  <c r="E191" i="4"/>
  <c r="H191" i="4"/>
  <c r="I191" i="4"/>
  <c r="K191" i="4" s="1"/>
  <c r="E546" i="1" s="1"/>
  <c r="L191" i="4"/>
  <c r="N191" i="4" s="1"/>
  <c r="F546" i="1" s="1"/>
  <c r="J546" i="1"/>
  <c r="Q546" i="1" s="1"/>
  <c r="E190" i="4"/>
  <c r="H190" i="4"/>
  <c r="I190" i="4"/>
  <c r="K190" i="4" s="1"/>
  <c r="E545" i="1" s="1"/>
  <c r="L190" i="4"/>
  <c r="N190" i="4" s="1"/>
  <c r="F545" i="1" s="1"/>
  <c r="B545" i="1"/>
  <c r="J545" i="1"/>
  <c r="Q545" i="1"/>
  <c r="B544" i="1"/>
  <c r="E189" i="4"/>
  <c r="H189" i="4"/>
  <c r="I189" i="4"/>
  <c r="K189" i="4" s="1"/>
  <c r="E544" i="1" s="1"/>
  <c r="L189" i="4"/>
  <c r="N189" i="4" s="1"/>
  <c r="F544" i="1" s="1"/>
  <c r="J544" i="1"/>
  <c r="Q544" i="1" s="1"/>
  <c r="J543" i="1"/>
  <c r="B543" i="1"/>
  <c r="L188" i="4"/>
  <c r="E188" i="4"/>
  <c r="H188" i="4"/>
  <c r="I188" i="4"/>
  <c r="K188" i="4" s="1"/>
  <c r="N188" i="4"/>
  <c r="F543" i="1" s="1"/>
  <c r="Q543" i="1"/>
  <c r="B542" i="1"/>
  <c r="L187" i="4"/>
  <c r="N187" i="4" s="1"/>
  <c r="F542" i="1" s="1"/>
  <c r="E187" i="4"/>
  <c r="H187" i="4"/>
  <c r="I187" i="4"/>
  <c r="K187" i="4" s="1"/>
  <c r="E542" i="1" s="1"/>
  <c r="J542" i="1"/>
  <c r="Q542" i="1" s="1"/>
  <c r="L186" i="4"/>
  <c r="N186" i="4" s="1"/>
  <c r="F541" i="1" s="1"/>
  <c r="B541" i="1"/>
  <c r="E186" i="4"/>
  <c r="H186" i="4"/>
  <c r="I186" i="4"/>
  <c r="K186" i="4" s="1"/>
  <c r="E541" i="1" s="1"/>
  <c r="J541" i="1"/>
  <c r="Q541" i="1" s="1"/>
  <c r="B540" i="1"/>
  <c r="L185" i="4"/>
  <c r="N185" i="4" s="1"/>
  <c r="F540" i="1" s="1"/>
  <c r="E185" i="4"/>
  <c r="H185" i="4"/>
  <c r="I185" i="4"/>
  <c r="K185" i="4" s="1"/>
  <c r="E540" i="1" s="1"/>
  <c r="J540" i="1"/>
  <c r="Q540" i="1" s="1"/>
  <c r="L184" i="4"/>
  <c r="B539" i="1"/>
  <c r="E184" i="4"/>
  <c r="H184" i="4"/>
  <c r="I184" i="4"/>
  <c r="K184" i="4" s="1"/>
  <c r="E539" i="1" s="1"/>
  <c r="N184" i="4"/>
  <c r="F539" i="1" s="1"/>
  <c r="J539" i="1"/>
  <c r="Q539" i="1" s="1"/>
  <c r="B538" i="1"/>
  <c r="L183" i="4"/>
  <c r="N183" i="4" s="1"/>
  <c r="F538" i="1" s="1"/>
  <c r="E183" i="4"/>
  <c r="H183" i="4"/>
  <c r="I183" i="4"/>
  <c r="K183" i="4" s="1"/>
  <c r="E538" i="1" s="1"/>
  <c r="J538" i="1"/>
  <c r="Q538" i="1" s="1"/>
  <c r="L182" i="4"/>
  <c r="N182" i="4" s="1"/>
  <c r="F537" i="1" s="1"/>
  <c r="E182" i="4"/>
  <c r="H182" i="4"/>
  <c r="I182" i="4"/>
  <c r="K182" i="4" s="1"/>
  <c r="E537" i="1" s="1"/>
  <c r="B537" i="1"/>
  <c r="J537" i="1"/>
  <c r="Q537" i="1" s="1"/>
  <c r="L181" i="4"/>
  <c r="N181" i="4" s="1"/>
  <c r="F536" i="1" s="1"/>
  <c r="B536" i="1"/>
  <c r="E181" i="4"/>
  <c r="H181" i="4"/>
  <c r="I181" i="4"/>
  <c r="K181" i="4"/>
  <c r="E536" i="1" s="1"/>
  <c r="J536" i="1"/>
  <c r="Q536" i="1" s="1"/>
  <c r="L180" i="4"/>
  <c r="N180" i="4" s="1"/>
  <c r="F535" i="1" s="1"/>
  <c r="E180" i="4"/>
  <c r="H180" i="4"/>
  <c r="I180" i="4"/>
  <c r="K180" i="4" s="1"/>
  <c r="E535" i="1" s="1"/>
  <c r="B535" i="1"/>
  <c r="J535" i="1"/>
  <c r="Q535" i="1" s="1"/>
  <c r="L179" i="4"/>
  <c r="N179" i="4" s="1"/>
  <c r="F534" i="1" s="1"/>
  <c r="B534" i="1"/>
  <c r="E179" i="4"/>
  <c r="H179" i="4"/>
  <c r="I179" i="4"/>
  <c r="K179" i="4"/>
  <c r="E534" i="1" s="1"/>
  <c r="J534" i="1"/>
  <c r="Q534" i="1" s="1"/>
  <c r="J533" i="1"/>
  <c r="Q533" i="1" s="1"/>
  <c r="L178" i="4"/>
  <c r="N178" i="4" s="1"/>
  <c r="F533" i="1" s="1"/>
  <c r="E178" i="4"/>
  <c r="H178" i="4"/>
  <c r="I178" i="4"/>
  <c r="K178" i="4" s="1"/>
  <c r="B533" i="1"/>
  <c r="E177" i="4"/>
  <c r="H177" i="4"/>
  <c r="I177" i="4"/>
  <c r="K177" i="4" s="1"/>
  <c r="E532" i="1" s="1"/>
  <c r="L177" i="4"/>
  <c r="N177" i="4" s="1"/>
  <c r="F532" i="1" s="1"/>
  <c r="L175" i="4"/>
  <c r="L174" i="4"/>
  <c r="B532" i="1"/>
  <c r="J532" i="1"/>
  <c r="Q532" i="1" s="1"/>
  <c r="L176" i="4"/>
  <c r="N176" i="4" s="1"/>
  <c r="F531" i="1" s="1"/>
  <c r="B531" i="1"/>
  <c r="E176" i="4"/>
  <c r="H176" i="4"/>
  <c r="I176" i="4"/>
  <c r="K176" i="4" s="1"/>
  <c r="E531" i="1" s="1"/>
  <c r="J531" i="1"/>
  <c r="Q531" i="1" s="1"/>
  <c r="I539" i="1" l="1"/>
  <c r="O199" i="4"/>
  <c r="E554" i="1"/>
  <c r="I554" i="1" s="1"/>
  <c r="O198" i="4"/>
  <c r="I553" i="1"/>
  <c r="O197" i="4"/>
  <c r="E552" i="1"/>
  <c r="I552" i="1" s="1"/>
  <c r="O196" i="4"/>
  <c r="I551" i="1"/>
  <c r="O181" i="4"/>
  <c r="O194" i="4"/>
  <c r="O190" i="4"/>
  <c r="O192" i="4"/>
  <c r="O195" i="4"/>
  <c r="I550" i="1"/>
  <c r="I549" i="1"/>
  <c r="O193" i="4"/>
  <c r="I548" i="1"/>
  <c r="I547" i="1"/>
  <c r="I546" i="1"/>
  <c r="O191" i="4"/>
  <c r="I545" i="1"/>
  <c r="O189" i="4"/>
  <c r="I544" i="1"/>
  <c r="E543" i="1"/>
  <c r="I543" i="1" s="1"/>
  <c r="O188" i="4"/>
  <c r="I536" i="1"/>
  <c r="O187" i="4"/>
  <c r="I542" i="1"/>
  <c r="I541" i="1"/>
  <c r="O186" i="4"/>
  <c r="O185" i="4"/>
  <c r="I540" i="1"/>
  <c r="O184" i="4"/>
  <c r="I538" i="1"/>
  <c r="O183" i="4"/>
  <c r="I537" i="1"/>
  <c r="O182" i="4"/>
  <c r="O180" i="4"/>
  <c r="I535" i="1"/>
  <c r="O179" i="4"/>
  <c r="I534" i="1"/>
  <c r="E533" i="1"/>
  <c r="I533" i="1" s="1"/>
  <c r="O178" i="4"/>
  <c r="I532" i="1"/>
  <c r="O177" i="4"/>
  <c r="O176" i="4"/>
  <c r="I531" i="1"/>
  <c r="E175" i="4" l="1"/>
  <c r="H175" i="4"/>
  <c r="I175" i="4"/>
  <c r="K175" i="4"/>
  <c r="E530" i="1" s="1"/>
  <c r="N175" i="4"/>
  <c r="F530" i="1" s="1"/>
  <c r="B530" i="1"/>
  <c r="J530" i="1"/>
  <c r="Q530" i="1" s="1"/>
  <c r="O175" i="4" l="1"/>
  <c r="I530" i="1"/>
  <c r="E174" i="4"/>
  <c r="H174" i="4"/>
  <c r="I174" i="4"/>
  <c r="K174" i="4"/>
  <c r="E529" i="1" s="1"/>
  <c r="N174" i="4"/>
  <c r="F529" i="1" s="1"/>
  <c r="B529" i="1"/>
  <c r="J529" i="1"/>
  <c r="Q529" i="1" s="1"/>
  <c r="I529" i="1" l="1"/>
  <c r="O174" i="4"/>
  <c r="L173" i="4"/>
  <c r="B528" i="1"/>
  <c r="E173" i="4"/>
  <c r="H173" i="4"/>
  <c r="I173" i="4"/>
  <c r="K173" i="4" s="1"/>
  <c r="E528" i="1" s="1"/>
  <c r="N173" i="4"/>
  <c r="F528" i="1" s="1"/>
  <c r="J528" i="1"/>
  <c r="Q528" i="1" s="1"/>
  <c r="L172" i="4"/>
  <c r="N172" i="4" s="1"/>
  <c r="F527" i="1" s="1"/>
  <c r="B527" i="1"/>
  <c r="E172" i="4"/>
  <c r="H172" i="4"/>
  <c r="I172" i="4"/>
  <c r="K172" i="4" s="1"/>
  <c r="J527" i="1"/>
  <c r="Q527" i="1" s="1"/>
  <c r="B526" i="1"/>
  <c r="E171" i="4"/>
  <c r="H171" i="4"/>
  <c r="I171" i="4"/>
  <c r="K171" i="4" s="1"/>
  <c r="E526" i="1" s="1"/>
  <c r="J526" i="1"/>
  <c r="Q526" i="1" s="1"/>
  <c r="E170" i="4"/>
  <c r="H170" i="4"/>
  <c r="I170" i="4"/>
  <c r="K170" i="4" s="1"/>
  <c r="E525" i="1" s="1"/>
  <c r="B525" i="1"/>
  <c r="J525" i="1"/>
  <c r="Q525" i="1" s="1"/>
  <c r="E169" i="4"/>
  <c r="H169" i="4"/>
  <c r="I169" i="4"/>
  <c r="K169" i="4"/>
  <c r="E524" i="1" s="1"/>
  <c r="B524" i="1"/>
  <c r="J524" i="1"/>
  <c r="Q524" i="1"/>
  <c r="B523" i="1"/>
  <c r="E168" i="4"/>
  <c r="H168" i="4"/>
  <c r="I168" i="4"/>
  <c r="K168" i="4"/>
  <c r="E523" i="1" s="1"/>
  <c r="J523" i="1"/>
  <c r="Q523" i="1" s="1"/>
  <c r="I525" i="1" l="1"/>
  <c r="O172" i="4"/>
  <c r="E527" i="1"/>
  <c r="I527" i="1" s="1"/>
  <c r="I524" i="1"/>
  <c r="I528" i="1"/>
  <c r="O173" i="4"/>
  <c r="I526" i="1"/>
  <c r="O169" i="4"/>
  <c r="O171" i="4"/>
  <c r="O170" i="4"/>
  <c r="O168" i="4"/>
  <c r="I523" i="1"/>
  <c r="E167" i="4"/>
  <c r="H167" i="4"/>
  <c r="I167" i="4"/>
  <c r="K167" i="4" s="1"/>
  <c r="E522" i="1" s="1"/>
  <c r="B522" i="1"/>
  <c r="J522" i="1"/>
  <c r="Q522" i="1"/>
  <c r="E166" i="4"/>
  <c r="H166" i="4"/>
  <c r="I166" i="4"/>
  <c r="K166" i="4" s="1"/>
  <c r="E521" i="1" s="1"/>
  <c r="B521" i="1"/>
  <c r="J521" i="1"/>
  <c r="Q521" i="1"/>
  <c r="B520" i="1"/>
  <c r="E165" i="4"/>
  <c r="H165" i="4"/>
  <c r="I165" i="4"/>
  <c r="K165" i="4" s="1"/>
  <c r="J520" i="1"/>
  <c r="Q520" i="1" s="1"/>
  <c r="E164" i="4"/>
  <c r="H164" i="4"/>
  <c r="I164" i="4"/>
  <c r="K164" i="4" s="1"/>
  <c r="E519" i="1" s="1"/>
  <c r="B519" i="1"/>
  <c r="J519" i="1"/>
  <c r="Q519" i="1" s="1"/>
  <c r="B518" i="1"/>
  <c r="J518" i="1"/>
  <c r="Q518" i="1" s="1"/>
  <c r="E163" i="4"/>
  <c r="H163" i="4"/>
  <c r="I163" i="4"/>
  <c r="K163" i="4" s="1"/>
  <c r="E518" i="1" s="1"/>
  <c r="I522" i="1" l="1"/>
  <c r="I521" i="1"/>
  <c r="O164" i="4"/>
  <c r="O167" i="4"/>
  <c r="O166" i="4"/>
  <c r="O165" i="4"/>
  <c r="E520" i="1"/>
  <c r="I520" i="1" s="1"/>
  <c r="I519" i="1"/>
  <c r="O163" i="4"/>
  <c r="I518" i="1"/>
  <c r="B517" i="1"/>
  <c r="E162" i="4"/>
  <c r="H162" i="4"/>
  <c r="I162" i="4"/>
  <c r="K162" i="4" s="1"/>
  <c r="E517" i="1" s="1"/>
  <c r="J517" i="1"/>
  <c r="Q517" i="1" s="1"/>
  <c r="E161" i="4"/>
  <c r="H161" i="4"/>
  <c r="I161" i="4"/>
  <c r="K161" i="4" s="1"/>
  <c r="E516" i="1" s="1"/>
  <c r="B516" i="1"/>
  <c r="J516" i="1"/>
  <c r="Q516" i="1" s="1"/>
  <c r="I516" i="1" l="1"/>
  <c r="O162" i="4"/>
  <c r="I517" i="1"/>
  <c r="O161" i="4"/>
  <c r="B515" i="1"/>
  <c r="E160" i="4"/>
  <c r="H160" i="4"/>
  <c r="I160" i="4"/>
  <c r="K160" i="4" s="1"/>
  <c r="E515" i="1" s="1"/>
  <c r="J515" i="1"/>
  <c r="Q515" i="1" s="1"/>
  <c r="B514" i="1"/>
  <c r="E159" i="4"/>
  <c r="H159" i="4"/>
  <c r="I159" i="4"/>
  <c r="K159" i="4" s="1"/>
  <c r="E514" i="1" s="1"/>
  <c r="J514" i="1"/>
  <c r="Q514" i="1"/>
  <c r="B513" i="1"/>
  <c r="J513" i="1"/>
  <c r="Q513" i="1" s="1"/>
  <c r="E158" i="4"/>
  <c r="H158" i="4"/>
  <c r="I158" i="4"/>
  <c r="K158" i="4" s="1"/>
  <c r="E513" i="1" s="1"/>
  <c r="B512" i="1"/>
  <c r="E157" i="4"/>
  <c r="H157" i="4"/>
  <c r="I157" i="4"/>
  <c r="K157" i="4" s="1"/>
  <c r="J512" i="1"/>
  <c r="Q512" i="1"/>
  <c r="B511" i="1"/>
  <c r="E156" i="4"/>
  <c r="H156" i="4"/>
  <c r="I156" i="4"/>
  <c r="K156" i="4" s="1"/>
  <c r="E511" i="1" s="1"/>
  <c r="J511" i="1"/>
  <c r="Q511" i="1" s="1"/>
  <c r="E155" i="4"/>
  <c r="H155" i="4"/>
  <c r="I155" i="4"/>
  <c r="K155" i="4" s="1"/>
  <c r="E510" i="1" s="1"/>
  <c r="B510" i="1"/>
  <c r="J510" i="1"/>
  <c r="Q510" i="1"/>
  <c r="B509" i="1"/>
  <c r="E154" i="4"/>
  <c r="H154" i="4"/>
  <c r="I154" i="4"/>
  <c r="K154" i="4" s="1"/>
  <c r="E509" i="1" s="1"/>
  <c r="J509" i="1"/>
  <c r="Q509" i="1"/>
  <c r="G20" i="5"/>
  <c r="E153" i="4"/>
  <c r="H153" i="4"/>
  <c r="I153" i="4"/>
  <c r="K153" i="4" s="1"/>
  <c r="B508" i="1"/>
  <c r="J508" i="1"/>
  <c r="O153" i="4" l="1"/>
  <c r="I513" i="1"/>
  <c r="O160" i="4"/>
  <c r="I509" i="1"/>
  <c r="I510" i="1"/>
  <c r="I515" i="1"/>
  <c r="O159" i="4"/>
  <c r="I514" i="1"/>
  <c r="O158" i="4"/>
  <c r="E512" i="1"/>
  <c r="I512" i="1" s="1"/>
  <c r="O157" i="4"/>
  <c r="O156" i="4"/>
  <c r="I511" i="1"/>
  <c r="O155" i="4"/>
  <c r="O154" i="4"/>
  <c r="E508" i="1"/>
  <c r="Q508" i="1"/>
  <c r="I508" i="1" l="1"/>
  <c r="E152" i="4"/>
  <c r="H152" i="4"/>
  <c r="I152" i="4"/>
  <c r="K152" i="4" s="1"/>
  <c r="E507" i="1" s="1"/>
  <c r="B507" i="1"/>
  <c r="J507" i="1"/>
  <c r="Q507" i="1" s="1"/>
  <c r="E151" i="4"/>
  <c r="H151" i="4"/>
  <c r="I151" i="4"/>
  <c r="K151" i="4" s="1"/>
  <c r="E506" i="1" s="1"/>
  <c r="B506" i="1"/>
  <c r="J506" i="1"/>
  <c r="Q506" i="1"/>
  <c r="B505" i="1"/>
  <c r="E150" i="4"/>
  <c r="H150" i="4"/>
  <c r="I150" i="4"/>
  <c r="K150" i="4" s="1"/>
  <c r="E505" i="1" s="1"/>
  <c r="J505" i="1"/>
  <c r="Q505" i="1" s="1"/>
  <c r="B504" i="1"/>
  <c r="E149" i="4"/>
  <c r="H149" i="4"/>
  <c r="I149" i="4"/>
  <c r="K149" i="4" s="1"/>
  <c r="E504" i="1" s="1"/>
  <c r="J504" i="1"/>
  <c r="Q504" i="1" s="1"/>
  <c r="I504" i="1" l="1"/>
  <c r="I505" i="1"/>
  <c r="I506" i="1"/>
  <c r="O152" i="4"/>
  <c r="I507" i="1"/>
  <c r="O151" i="4"/>
  <c r="O150" i="4"/>
  <c r="O149" i="4"/>
  <c r="E148" i="4"/>
  <c r="H148" i="4"/>
  <c r="I148" i="4"/>
  <c r="K148" i="4" s="1"/>
  <c r="E503" i="1" s="1"/>
  <c r="B503" i="1"/>
  <c r="J503" i="1"/>
  <c r="Q503" i="1" s="1"/>
  <c r="B502" i="1"/>
  <c r="E147" i="4"/>
  <c r="H147" i="4"/>
  <c r="I147" i="4"/>
  <c r="K147" i="4" s="1"/>
  <c r="E502" i="1" s="1"/>
  <c r="J502" i="1"/>
  <c r="Q502" i="1" s="1"/>
  <c r="O148" i="4" l="1"/>
  <c r="I503" i="1"/>
  <c r="O147" i="4"/>
  <c r="I502" i="1"/>
  <c r="B501" i="1"/>
  <c r="E146" i="4" l="1"/>
  <c r="H146" i="4"/>
  <c r="I146" i="4"/>
  <c r="K146" i="4" s="1"/>
  <c r="E501" i="1" s="1"/>
  <c r="J501" i="1"/>
  <c r="Q501" i="1" s="1"/>
  <c r="I501" i="1" l="1"/>
  <c r="O146" i="4"/>
  <c r="E145" i="4"/>
  <c r="H145" i="4"/>
  <c r="I145" i="4"/>
  <c r="K145" i="4" s="1"/>
  <c r="E500" i="1" s="1"/>
  <c r="B500" i="1"/>
  <c r="J500" i="1"/>
  <c r="Q500" i="1"/>
  <c r="O145" i="4" l="1"/>
  <c r="I500" i="1"/>
  <c r="B499" i="1" l="1"/>
  <c r="E144" i="4"/>
  <c r="H144" i="4"/>
  <c r="I144" i="4"/>
  <c r="K144" i="4" s="1"/>
  <c r="J499" i="1"/>
  <c r="Q499" i="1" s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79" i="1"/>
  <c r="J478" i="1"/>
  <c r="J476" i="1"/>
  <c r="O144" i="4" l="1"/>
  <c r="E499" i="1"/>
  <c r="I499" i="1" s="1"/>
  <c r="B498" i="1"/>
  <c r="E143" i="4"/>
  <c r="H143" i="4"/>
  <c r="I143" i="4"/>
  <c r="K143" i="4" s="1"/>
  <c r="E498" i="1" s="1"/>
  <c r="I142" i="4"/>
  <c r="K142" i="4" s="1"/>
  <c r="E497" i="1" s="1"/>
  <c r="E142" i="4"/>
  <c r="H142" i="4"/>
  <c r="B497" i="1"/>
  <c r="B496" i="1"/>
  <c r="B495" i="1"/>
  <c r="B494" i="1"/>
  <c r="I497" i="1" l="1"/>
  <c r="I494" i="1"/>
  <c r="I495" i="1"/>
  <c r="I496" i="1"/>
  <c r="O143" i="4"/>
  <c r="I498" i="1"/>
  <c r="O142" i="4"/>
  <c r="B493" i="1"/>
  <c r="I493" i="1" l="1"/>
  <c r="B492" i="1"/>
  <c r="I492" i="1" s="1"/>
  <c r="B491" i="1"/>
  <c r="I491" i="1" s="1"/>
  <c r="B490" i="1"/>
  <c r="I490" i="1"/>
  <c r="B489" i="1"/>
  <c r="I489" i="1" l="1"/>
  <c r="B488" i="1"/>
  <c r="E141" i="4"/>
  <c r="H141" i="4"/>
  <c r="K141" i="4"/>
  <c r="E488" i="1" s="1"/>
  <c r="E140" i="4"/>
  <c r="H140" i="4"/>
  <c r="I140" i="4"/>
  <c r="K140" i="4" s="1"/>
  <c r="E487" i="1" s="1"/>
  <c r="B487" i="1"/>
  <c r="B486" i="1"/>
  <c r="E139" i="4"/>
  <c r="H139" i="4"/>
  <c r="I139" i="4"/>
  <c r="K139" i="4"/>
  <c r="E486" i="1" s="1"/>
  <c r="B485" i="1"/>
  <c r="E138" i="4"/>
  <c r="H138" i="4"/>
  <c r="I138" i="4"/>
  <c r="K138" i="4" s="1"/>
  <c r="E485" i="1" s="1"/>
  <c r="B484" i="1"/>
  <c r="E137" i="4"/>
  <c r="H137" i="4"/>
  <c r="I137" i="4"/>
  <c r="K137" i="4" s="1"/>
  <c r="E484" i="1" s="1"/>
  <c r="E136" i="4"/>
  <c r="H136" i="4"/>
  <c r="I136" i="4"/>
  <c r="K136" i="4" s="1"/>
  <c r="E483" i="1" s="1"/>
  <c r="B483" i="1"/>
  <c r="B482" i="1"/>
  <c r="E135" i="4"/>
  <c r="H135" i="4"/>
  <c r="I135" i="4"/>
  <c r="K135" i="4" s="1"/>
  <c r="E482" i="1" s="1"/>
  <c r="I134" i="4"/>
  <c r="K134" i="4" s="1"/>
  <c r="E481" i="1" s="1"/>
  <c r="B481" i="1"/>
  <c r="E134" i="4"/>
  <c r="H134" i="4"/>
  <c r="B480" i="1"/>
  <c r="B479" i="1"/>
  <c r="B478" i="1"/>
  <c r="I479" i="1" l="1"/>
  <c r="O136" i="4"/>
  <c r="I480" i="1"/>
  <c r="O139" i="4"/>
  <c r="I478" i="1"/>
  <c r="I487" i="1"/>
  <c r="I485" i="1"/>
  <c r="I488" i="1"/>
  <c r="O141" i="4"/>
  <c r="O140" i="4"/>
  <c r="I486" i="1"/>
  <c r="O138" i="4"/>
  <c r="O137" i="4"/>
  <c r="I484" i="1"/>
  <c r="I483" i="1"/>
  <c r="O135" i="4"/>
  <c r="I482" i="1"/>
  <c r="I481" i="1"/>
  <c r="O134" i="4"/>
  <c r="B477" i="1"/>
  <c r="J477" i="1"/>
  <c r="Q477" i="1" s="1"/>
  <c r="B476" i="1"/>
  <c r="Q476" i="1"/>
  <c r="B475" i="1"/>
  <c r="I475" i="1" s="1"/>
  <c r="J475" i="1"/>
  <c r="Q475" i="1" s="1"/>
  <c r="B474" i="1"/>
  <c r="J474" i="1"/>
  <c r="Q474" i="1" s="1"/>
  <c r="B473" i="1"/>
  <c r="I473" i="1"/>
  <c r="J473" i="1"/>
  <c r="Q473" i="1" s="1"/>
  <c r="B472" i="1"/>
  <c r="I472" i="1" s="1"/>
  <c r="J472" i="1"/>
  <c r="Q472" i="1" s="1"/>
  <c r="B471" i="1"/>
  <c r="J471" i="1"/>
  <c r="Q471" i="1" s="1"/>
  <c r="B470" i="1"/>
  <c r="E133" i="4"/>
  <c r="H133" i="4"/>
  <c r="K133" i="4"/>
  <c r="E470" i="1" s="1"/>
  <c r="J470" i="1"/>
  <c r="Q470" i="1" s="1"/>
  <c r="I477" i="1" l="1"/>
  <c r="I476" i="1"/>
  <c r="I474" i="1"/>
  <c r="I471" i="1"/>
  <c r="O133" i="4"/>
  <c r="I470" i="1"/>
  <c r="B469" i="1"/>
  <c r="J469" i="1"/>
  <c r="Q469" i="1" s="1"/>
  <c r="I132" i="4"/>
  <c r="K132" i="4" s="1"/>
  <c r="E469" i="1" s="1"/>
  <c r="B468" i="1"/>
  <c r="E132" i="4"/>
  <c r="H132" i="4"/>
  <c r="I469" i="1" l="1"/>
  <c r="O132" i="4"/>
  <c r="I131" i="4"/>
  <c r="E131" i="4" l="1"/>
  <c r="H131" i="4"/>
  <c r="K131" i="4"/>
  <c r="J468" i="1"/>
  <c r="Q468" i="1" s="1"/>
  <c r="O131" i="4" l="1"/>
  <c r="E468" i="1"/>
  <c r="I468" i="1" s="1"/>
  <c r="J467" i="1"/>
  <c r="Q467" i="1" s="1"/>
  <c r="J466" i="1"/>
  <c r="Q466" i="1" s="1"/>
  <c r="B467" i="1"/>
  <c r="E130" i="4"/>
  <c r="H130" i="4"/>
  <c r="I130" i="4"/>
  <c r="K130" i="4" s="1"/>
  <c r="E467" i="1" s="1"/>
  <c r="B466" i="1"/>
  <c r="I129" i="4"/>
  <c r="K129" i="4" s="1"/>
  <c r="O130" i="4" l="1"/>
  <c r="I467" i="1"/>
  <c r="B465" i="1"/>
  <c r="J465" i="1"/>
  <c r="Q465" i="1" s="1"/>
  <c r="I465" i="1" l="1"/>
  <c r="B464" i="1"/>
  <c r="J464" i="1"/>
  <c r="Q464" i="1"/>
  <c r="B463" i="1"/>
  <c r="I463" i="1"/>
  <c r="J463" i="1"/>
  <c r="Q463" i="1" s="1"/>
  <c r="B462" i="1"/>
  <c r="J462" i="1"/>
  <c r="Q462" i="1" s="1"/>
  <c r="B461" i="1"/>
  <c r="I461" i="1"/>
  <c r="J461" i="1"/>
  <c r="Q461" i="1" s="1"/>
  <c r="B460" i="1"/>
  <c r="J460" i="1"/>
  <c r="Q460" i="1" s="1"/>
  <c r="B459" i="1"/>
  <c r="I462" i="1" l="1"/>
  <c r="I460" i="1"/>
  <c r="I464" i="1"/>
  <c r="I459" i="1"/>
  <c r="J459" i="1"/>
  <c r="Q459" i="1" s="1"/>
  <c r="B458" i="1"/>
  <c r="J458" i="1"/>
  <c r="Q458" i="1" s="1"/>
  <c r="B457" i="1"/>
  <c r="J457" i="1"/>
  <c r="Q457" i="1" s="1"/>
  <c r="B456" i="1"/>
  <c r="I456" i="1"/>
  <c r="J456" i="1"/>
  <c r="Q456" i="1" s="1"/>
  <c r="B455" i="1"/>
  <c r="J455" i="1"/>
  <c r="Q455" i="1" s="1"/>
  <c r="B454" i="1"/>
  <c r="J454" i="1"/>
  <c r="Q454" i="1" s="1"/>
  <c r="B453" i="1"/>
  <c r="J453" i="1"/>
  <c r="Q453" i="1" s="1"/>
  <c r="B452" i="1"/>
  <c r="I452" i="1" s="1"/>
  <c r="J452" i="1"/>
  <c r="Q452" i="1" s="1"/>
  <c r="B451" i="1"/>
  <c r="J451" i="1"/>
  <c r="Q451" i="1" s="1"/>
  <c r="B450" i="1"/>
  <c r="J450" i="1"/>
  <c r="Q450" i="1"/>
  <c r="B449" i="1"/>
  <c r="I449" i="1" s="1"/>
  <c r="J449" i="1"/>
  <c r="Q449" i="1"/>
  <c r="B448" i="1"/>
  <c r="J448" i="1"/>
  <c r="Q448" i="1"/>
  <c r="B447" i="1"/>
  <c r="J447" i="1"/>
  <c r="Q447" i="1"/>
  <c r="B446" i="1"/>
  <c r="I446" i="1" s="1"/>
  <c r="J446" i="1"/>
  <c r="Q446" i="1" s="1"/>
  <c r="J445" i="1"/>
  <c r="I450" i="1" l="1"/>
  <c r="I451" i="1"/>
  <c r="I448" i="1"/>
  <c r="I457" i="1"/>
  <c r="I458" i="1"/>
  <c r="I454" i="1"/>
  <c r="I447" i="1"/>
  <c r="I453" i="1"/>
  <c r="I455" i="1"/>
  <c r="B445" i="1"/>
  <c r="I445" i="1"/>
  <c r="Q445" i="1"/>
  <c r="B444" i="1"/>
  <c r="J444" i="1"/>
  <c r="Q444" i="1"/>
  <c r="I444" i="1" l="1"/>
  <c r="B443" i="1"/>
  <c r="J443" i="1"/>
  <c r="Q443" i="1" s="1"/>
  <c r="B442" i="1"/>
  <c r="J442" i="1"/>
  <c r="Q442" i="1" s="1"/>
  <c r="B441" i="1"/>
  <c r="I441" i="1"/>
  <c r="J441" i="1"/>
  <c r="Q441" i="1" s="1"/>
  <c r="B440" i="1"/>
  <c r="J440" i="1"/>
  <c r="Q440" i="1" s="1"/>
  <c r="B439" i="1"/>
  <c r="J439" i="1"/>
  <c r="Q439" i="1" s="1"/>
  <c r="B438" i="1"/>
  <c r="J438" i="1"/>
  <c r="Q438" i="1" s="1"/>
  <c r="I442" i="1" l="1"/>
  <c r="I443" i="1"/>
  <c r="I439" i="1"/>
  <c r="I440" i="1"/>
  <c r="I438" i="1"/>
  <c r="B437" i="1"/>
  <c r="I437" i="1"/>
  <c r="J437" i="1"/>
  <c r="Q437" i="1" s="1"/>
  <c r="B436" i="1"/>
  <c r="J436" i="1"/>
  <c r="Q436" i="1" s="1"/>
  <c r="B435" i="1"/>
  <c r="J435" i="1"/>
  <c r="Q435" i="1" s="1"/>
  <c r="B434" i="1"/>
  <c r="J434" i="1"/>
  <c r="I435" i="1" l="1"/>
  <c r="I436" i="1"/>
  <c r="I434" i="1"/>
  <c r="Q434" i="1"/>
  <c r="B432" i="1" l="1"/>
  <c r="I432" i="1" s="1"/>
  <c r="B433" i="1"/>
  <c r="I433" i="1"/>
  <c r="J433" i="1"/>
  <c r="Q433" i="1" s="1"/>
  <c r="J432" i="1"/>
  <c r="Q432" i="1" s="1"/>
  <c r="B431" i="1"/>
  <c r="I431" i="1" l="1"/>
  <c r="J431" i="1"/>
  <c r="Q431" i="1" s="1"/>
  <c r="B430" i="1" l="1"/>
  <c r="I430" i="1"/>
  <c r="J430" i="1"/>
  <c r="Q430" i="1" s="1"/>
  <c r="B429" i="1" l="1"/>
  <c r="I429" i="1"/>
  <c r="J429" i="1"/>
  <c r="Q429" i="1" s="1"/>
  <c r="B428" i="1"/>
  <c r="J428" i="1"/>
  <c r="Q428" i="1" s="1"/>
  <c r="B427" i="1"/>
  <c r="J427" i="1"/>
  <c r="Q427" i="1" s="1"/>
  <c r="B426" i="1"/>
  <c r="J426" i="1"/>
  <c r="Q426" i="1" s="1"/>
  <c r="B425" i="1"/>
  <c r="I425" i="1" s="1"/>
  <c r="J425" i="1"/>
  <c r="Q425" i="1" s="1"/>
  <c r="B424" i="1"/>
  <c r="J424" i="1"/>
  <c r="Q424" i="1" s="1"/>
  <c r="B423" i="1"/>
  <c r="J423" i="1"/>
  <c r="Q423" i="1" s="1"/>
  <c r="J422" i="1"/>
  <c r="Q422" i="1" s="1"/>
  <c r="B422" i="1"/>
  <c r="B421" i="1"/>
  <c r="J421" i="1"/>
  <c r="Q421" i="1" s="1"/>
  <c r="B420" i="1"/>
  <c r="I420" i="1" s="1"/>
  <c r="J420" i="1"/>
  <c r="Q420" i="1" s="1"/>
  <c r="J419" i="1"/>
  <c r="Q419" i="1" s="1"/>
  <c r="B419" i="1"/>
  <c r="I421" i="1" l="1"/>
  <c r="I427" i="1"/>
  <c r="I423" i="1"/>
  <c r="I419" i="1"/>
  <c r="I424" i="1"/>
  <c r="I422" i="1"/>
  <c r="I428" i="1"/>
  <c r="I426" i="1"/>
  <c r="B418" i="1"/>
  <c r="J418" i="1"/>
  <c r="Q418" i="1" s="1"/>
  <c r="B417" i="1"/>
  <c r="J417" i="1"/>
  <c r="Q417" i="1" s="1"/>
  <c r="B416" i="1"/>
  <c r="J416" i="1"/>
  <c r="Q416" i="1" s="1"/>
  <c r="I417" i="1" l="1"/>
  <c r="I418" i="1"/>
  <c r="I416" i="1"/>
  <c r="B415" i="1"/>
  <c r="I415" i="1"/>
  <c r="J415" i="1"/>
  <c r="Q415" i="1" s="1"/>
  <c r="B414" i="1"/>
  <c r="J414" i="1"/>
  <c r="Q414" i="1" s="1"/>
  <c r="B413" i="1"/>
  <c r="J413" i="1"/>
  <c r="Q413" i="1" s="1"/>
  <c r="B412" i="1"/>
  <c r="I412" i="1"/>
  <c r="J412" i="1"/>
  <c r="Q412" i="1" s="1"/>
  <c r="B411" i="1"/>
  <c r="I411" i="1"/>
  <c r="J411" i="1"/>
  <c r="Q411" i="1" s="1"/>
  <c r="B410" i="1"/>
  <c r="J410" i="1"/>
  <c r="Q410" i="1" s="1"/>
  <c r="B409" i="1"/>
  <c r="J409" i="1"/>
  <c r="Q409" i="1" s="1"/>
  <c r="B408" i="1"/>
  <c r="J408" i="1"/>
  <c r="Q408" i="1" s="1"/>
  <c r="B407" i="1"/>
  <c r="J407" i="1"/>
  <c r="Q407" i="1" s="1"/>
  <c r="B406" i="1"/>
  <c r="I406" i="1"/>
  <c r="J406" i="1"/>
  <c r="Q406" i="1"/>
  <c r="B405" i="1"/>
  <c r="J405" i="1"/>
  <c r="Q405" i="1" s="1"/>
  <c r="I408" i="1" l="1"/>
  <c r="I410" i="1"/>
  <c r="I414" i="1"/>
  <c r="I413" i="1"/>
  <c r="I409" i="1"/>
  <c r="I407" i="1"/>
  <c r="I405" i="1"/>
  <c r="B404" i="1"/>
  <c r="I404" i="1" s="1"/>
  <c r="J404" i="1"/>
  <c r="Q404" i="1" s="1"/>
  <c r="B403" i="1" l="1"/>
  <c r="J403" i="1"/>
  <c r="Q403" i="1"/>
  <c r="I403" i="1" l="1"/>
  <c r="B402" i="1"/>
  <c r="I402" i="1" s="1"/>
  <c r="J402" i="1"/>
  <c r="Q402" i="1" s="1"/>
  <c r="B401" i="1" l="1"/>
  <c r="J401" i="1"/>
  <c r="Q401" i="1" s="1"/>
  <c r="I401" i="1" l="1"/>
  <c r="B400" i="1"/>
  <c r="J400" i="1" l="1"/>
  <c r="Q400" i="1" s="1"/>
  <c r="I400" i="1"/>
  <c r="B399" i="1" l="1"/>
  <c r="J399" i="1"/>
  <c r="Q399" i="1" s="1"/>
  <c r="B398" i="1"/>
  <c r="I398" i="1" s="1"/>
  <c r="J398" i="1"/>
  <c r="Q398" i="1" s="1"/>
  <c r="B397" i="1"/>
  <c r="J397" i="1"/>
  <c r="Q397" i="1" s="1"/>
  <c r="E11" i="2"/>
  <c r="Q497" i="1" l="1"/>
  <c r="Q495" i="1"/>
  <c r="Q496" i="1"/>
  <c r="Q498" i="1"/>
  <c r="Q494" i="1"/>
  <c r="Q493" i="1"/>
  <c r="Q492" i="1"/>
  <c r="Q491" i="1"/>
  <c r="Q490" i="1"/>
  <c r="Q478" i="1"/>
  <c r="Q489" i="1"/>
  <c r="Q479" i="1"/>
  <c r="Q485" i="1"/>
  <c r="Q487" i="1"/>
  <c r="Q480" i="1"/>
  <c r="Q488" i="1"/>
  <c r="Q486" i="1"/>
  <c r="Q484" i="1"/>
  <c r="Q483" i="1"/>
  <c r="Q482" i="1"/>
  <c r="Q481" i="1"/>
  <c r="I399" i="1"/>
  <c r="I397" i="1"/>
  <c r="B396" i="1"/>
  <c r="J396" i="1"/>
  <c r="Q396" i="1" s="1"/>
  <c r="B395" i="1"/>
  <c r="I395" i="1"/>
  <c r="J395" i="1"/>
  <c r="Q395" i="1" s="1"/>
  <c r="B394" i="1"/>
  <c r="J394" i="1"/>
  <c r="Q394" i="1" s="1"/>
  <c r="J393" i="1"/>
  <c r="Q393" i="1" s="1"/>
  <c r="B393" i="1"/>
  <c r="I396" i="1" l="1"/>
  <c r="I393" i="1"/>
  <c r="I394" i="1"/>
  <c r="B392" i="1"/>
  <c r="I392" i="1" l="1"/>
  <c r="J392" i="1"/>
  <c r="Q392" i="1" s="1"/>
  <c r="B391" i="1" l="1"/>
  <c r="J391" i="1"/>
  <c r="Q391" i="1"/>
  <c r="B390" i="1"/>
  <c r="I390" i="1"/>
  <c r="J390" i="1"/>
  <c r="Q390" i="1" s="1"/>
  <c r="J389" i="1"/>
  <c r="Q389" i="1" s="1"/>
  <c r="B389" i="1"/>
  <c r="B388" i="1"/>
  <c r="J388" i="1"/>
  <c r="Q388" i="1" s="1"/>
  <c r="I391" i="1" l="1"/>
  <c r="I388" i="1"/>
  <c r="I389" i="1"/>
  <c r="B387" i="1"/>
  <c r="I387" i="1"/>
  <c r="J387" i="1"/>
  <c r="Q387" i="1"/>
  <c r="B386" i="1"/>
  <c r="J386" i="1"/>
  <c r="Q386" i="1" s="1"/>
  <c r="B385" i="1"/>
  <c r="J385" i="1"/>
  <c r="Q385" i="1" s="1"/>
  <c r="B384" i="1"/>
  <c r="I384" i="1"/>
  <c r="J384" i="1"/>
  <c r="Q384" i="1" s="1"/>
  <c r="B383" i="1"/>
  <c r="J383" i="1"/>
  <c r="Q383" i="1" s="1"/>
  <c r="B382" i="1"/>
  <c r="J382" i="1"/>
  <c r="Q382" i="1" s="1"/>
  <c r="I386" i="1" l="1"/>
  <c r="I382" i="1"/>
  <c r="I385" i="1"/>
  <c r="I383" i="1"/>
  <c r="B381" i="1"/>
  <c r="J381" i="1"/>
  <c r="Q381" i="1" s="1"/>
  <c r="B380" i="1"/>
  <c r="J380" i="1"/>
  <c r="Q380" i="1" s="1"/>
  <c r="B379" i="1"/>
  <c r="J379" i="1"/>
  <c r="Q379" i="1" s="1"/>
  <c r="B378" i="1"/>
  <c r="I378" i="1" s="1"/>
  <c r="J378" i="1"/>
  <c r="Q378" i="1" s="1"/>
  <c r="B377" i="1"/>
  <c r="J377" i="1"/>
  <c r="Q377" i="1" s="1"/>
  <c r="B376" i="1"/>
  <c r="J376" i="1"/>
  <c r="Q376" i="1" s="1"/>
  <c r="J375" i="1"/>
  <c r="Q375" i="1" s="1"/>
  <c r="B375" i="1"/>
  <c r="I376" i="1" l="1"/>
  <c r="I379" i="1"/>
  <c r="I377" i="1"/>
  <c r="I380" i="1"/>
  <c r="I381" i="1"/>
  <c r="I375" i="1"/>
  <c r="J374" i="1"/>
  <c r="B374" i="1"/>
  <c r="I374" i="1" l="1"/>
  <c r="Q374" i="1"/>
  <c r="B373" i="1" l="1"/>
  <c r="I373" i="1"/>
  <c r="J373" i="1"/>
  <c r="Q373" i="1" s="1"/>
  <c r="B372" i="1"/>
  <c r="I372" i="1" s="1"/>
  <c r="J372" i="1"/>
  <c r="Q372" i="1" s="1"/>
  <c r="J371" i="1"/>
  <c r="Q371" i="1" s="1"/>
  <c r="B371" i="1"/>
  <c r="B370" i="1"/>
  <c r="B346" i="1"/>
  <c r="J370" i="1"/>
  <c r="Q370" i="1" s="1"/>
  <c r="B369" i="1"/>
  <c r="J369" i="1"/>
  <c r="Q369" i="1" s="1"/>
  <c r="B368" i="1"/>
  <c r="J368" i="1"/>
  <c r="Q368" i="1" s="1"/>
  <c r="B367" i="1"/>
  <c r="J367" i="1"/>
  <c r="Q367" i="1"/>
  <c r="I367" i="1" l="1"/>
  <c r="I369" i="1"/>
  <c r="I371" i="1"/>
  <c r="I370" i="1"/>
  <c r="I368" i="1"/>
  <c r="B366" i="1"/>
  <c r="I366" i="1" s="1"/>
  <c r="J366" i="1"/>
  <c r="Q366" i="1" s="1"/>
  <c r="B365" i="1" l="1"/>
  <c r="J365" i="1"/>
  <c r="Q365" i="1" s="1"/>
  <c r="I365" i="1" l="1"/>
  <c r="B364" i="1"/>
  <c r="J364" i="1"/>
  <c r="Q364" i="1" s="1"/>
  <c r="B363" i="1"/>
  <c r="I363" i="1" s="1"/>
  <c r="J363" i="1"/>
  <c r="Q363" i="1" s="1"/>
  <c r="B362" i="1"/>
  <c r="I362" i="1"/>
  <c r="J362" i="1"/>
  <c r="Q362" i="1" s="1"/>
  <c r="I364" i="1" l="1"/>
  <c r="B361" i="1"/>
  <c r="J361" i="1"/>
  <c r="Q361" i="1" s="1"/>
  <c r="I361" i="1" l="1"/>
  <c r="B360" i="1"/>
  <c r="I360" i="1" l="1"/>
  <c r="J360" i="1"/>
  <c r="Q360" i="1" s="1"/>
  <c r="B359" i="1" l="1"/>
  <c r="J359" i="1"/>
  <c r="Q359" i="1" s="1"/>
  <c r="I359" i="1" l="1"/>
  <c r="B358" i="1"/>
  <c r="I358" i="1" s="1"/>
  <c r="J358" i="1"/>
  <c r="Q358" i="1" s="1"/>
  <c r="B357" i="1" l="1"/>
  <c r="I357" i="1" s="1"/>
  <c r="J357" i="1"/>
  <c r="Q357" i="1" s="1"/>
  <c r="B356" i="1" l="1"/>
  <c r="I356" i="1" s="1"/>
  <c r="J356" i="1"/>
  <c r="Q356" i="1" s="1"/>
  <c r="J355" i="1" l="1"/>
  <c r="Q355" i="1" s="1"/>
  <c r="B355" i="1"/>
  <c r="I355" i="1" l="1"/>
  <c r="B354" i="1"/>
  <c r="I354" i="1" l="1"/>
  <c r="J354" i="1"/>
  <c r="Q354" i="1" s="1"/>
  <c r="B353" i="1" l="1"/>
  <c r="J353" i="1"/>
  <c r="Q353" i="1" s="1"/>
  <c r="I353" i="1" l="1"/>
  <c r="B352" i="1"/>
  <c r="J352" i="1"/>
  <c r="Q352" i="1" s="1"/>
  <c r="B351" i="1"/>
  <c r="J351" i="1"/>
  <c r="Q351" i="1" s="1"/>
  <c r="B350" i="1"/>
  <c r="J350" i="1"/>
  <c r="Q350" i="1" s="1"/>
  <c r="B349" i="1"/>
  <c r="J349" i="1"/>
  <c r="Q349" i="1" s="1"/>
  <c r="I351" i="1" l="1"/>
  <c r="I350" i="1"/>
  <c r="I352" i="1"/>
  <c r="I349" i="1"/>
  <c r="B348" i="1"/>
  <c r="J348" i="1"/>
  <c r="Q348" i="1" s="1"/>
  <c r="B347" i="1"/>
  <c r="J347" i="1"/>
  <c r="Q347" i="1" s="1"/>
  <c r="I346" i="1"/>
  <c r="J346" i="1"/>
  <c r="Q346" i="1" s="1"/>
  <c r="B345" i="1"/>
  <c r="J345" i="1"/>
  <c r="Q345" i="1" s="1"/>
  <c r="B344" i="1"/>
  <c r="J344" i="1"/>
  <c r="Q344" i="1" s="1"/>
  <c r="B343" i="1"/>
  <c r="J343" i="1"/>
  <c r="Q343" i="1" s="1"/>
  <c r="B342" i="1"/>
  <c r="J342" i="1"/>
  <c r="Q342" i="1"/>
  <c r="B341" i="1"/>
  <c r="J341" i="1"/>
  <c r="Q341" i="1" s="1"/>
  <c r="B340" i="1"/>
  <c r="J340" i="1"/>
  <c r="Q340" i="1" s="1"/>
  <c r="B339" i="1"/>
  <c r="J339" i="1"/>
  <c r="Q339" i="1" s="1"/>
  <c r="B338" i="1"/>
  <c r="J338" i="1"/>
  <c r="Q338" i="1" s="1"/>
  <c r="B337" i="1"/>
  <c r="J337" i="1"/>
  <c r="Q337" i="1" s="1"/>
  <c r="B336" i="1"/>
  <c r="J336" i="1"/>
  <c r="Q336" i="1" s="1"/>
  <c r="B335" i="1"/>
  <c r="J335" i="1"/>
  <c r="Q335" i="1" s="1"/>
  <c r="B334" i="1"/>
  <c r="J334" i="1"/>
  <c r="Q334" i="1" s="1"/>
  <c r="B333" i="1"/>
  <c r="J333" i="1"/>
  <c r="Q333" i="1" s="1"/>
  <c r="I345" i="1" l="1"/>
  <c r="I347" i="1"/>
  <c r="I343" i="1"/>
  <c r="I338" i="1"/>
  <c r="I341" i="1"/>
  <c r="I344" i="1"/>
  <c r="I342" i="1"/>
  <c r="I340" i="1"/>
  <c r="I334" i="1"/>
  <c r="I335" i="1"/>
  <c r="I336" i="1"/>
  <c r="I337" i="1"/>
  <c r="I333" i="1"/>
  <c r="I339" i="1"/>
  <c r="I348" i="1"/>
  <c r="B332" i="1"/>
  <c r="I332" i="1" s="1"/>
  <c r="J332" i="1"/>
  <c r="Q332" i="1" s="1"/>
  <c r="B331" i="1"/>
  <c r="J331" i="1"/>
  <c r="Q331" i="1" s="1"/>
  <c r="J330" i="1"/>
  <c r="Q330" i="1" s="1"/>
  <c r="J328" i="1"/>
  <c r="B330" i="1"/>
  <c r="B329" i="1"/>
  <c r="J329" i="1"/>
  <c r="I331" i="1" l="1"/>
  <c r="I330" i="1"/>
  <c r="I329" i="1"/>
  <c r="Q329" i="1"/>
  <c r="B328" i="1" l="1"/>
  <c r="I328" i="1" s="1"/>
  <c r="Q328" i="1"/>
  <c r="B327" i="1"/>
  <c r="J327" i="1"/>
  <c r="Q327" i="1" s="1"/>
  <c r="B326" i="1"/>
  <c r="J326" i="1"/>
  <c r="Q326" i="1"/>
  <c r="B325" i="1"/>
  <c r="J325" i="1"/>
  <c r="Q325" i="1" s="1"/>
  <c r="B324" i="1"/>
  <c r="J324" i="1"/>
  <c r="Q324" i="1" s="1"/>
  <c r="B323" i="1"/>
  <c r="J323" i="1"/>
  <c r="Q323" i="1" s="1"/>
  <c r="B322" i="1"/>
  <c r="J322" i="1"/>
  <c r="Q322" i="1" s="1"/>
  <c r="B321" i="1"/>
  <c r="J321" i="1"/>
  <c r="Q321" i="1" s="1"/>
  <c r="J320" i="1"/>
  <c r="Q320" i="1" s="1"/>
  <c r="B320" i="1"/>
  <c r="I325" i="1" l="1"/>
  <c r="I326" i="1"/>
  <c r="I327" i="1"/>
  <c r="I322" i="1"/>
  <c r="I323" i="1"/>
  <c r="I324" i="1"/>
  <c r="I320" i="1"/>
  <c r="I321" i="1"/>
  <c r="B319" i="1"/>
  <c r="I319" i="1"/>
  <c r="J319" i="1"/>
  <c r="Q319" i="1" s="1"/>
  <c r="B318" i="1"/>
  <c r="J318" i="1"/>
  <c r="Q318" i="1" s="1"/>
  <c r="B317" i="1"/>
  <c r="I317" i="1"/>
  <c r="J317" i="1"/>
  <c r="Q317" i="1" s="1"/>
  <c r="I318" i="1" l="1"/>
  <c r="B316" i="1"/>
  <c r="J316" i="1"/>
  <c r="Q316" i="1" s="1"/>
  <c r="I316" i="1" l="1"/>
  <c r="B315" i="1"/>
  <c r="I315" i="1"/>
  <c r="J315" i="1"/>
  <c r="Q315" i="1" s="1"/>
  <c r="B314" i="1" l="1"/>
  <c r="J314" i="1"/>
  <c r="Q314" i="1" s="1"/>
  <c r="I314" i="1" l="1"/>
  <c r="B313" i="1"/>
  <c r="I313" i="1"/>
  <c r="J313" i="1"/>
  <c r="Q313" i="1" s="1"/>
  <c r="B312" i="1" l="1"/>
  <c r="J312" i="1"/>
  <c r="Q312" i="1" s="1"/>
  <c r="I312" i="1" l="1"/>
  <c r="B311" i="1"/>
  <c r="I311" i="1" l="1"/>
  <c r="J311" i="1"/>
  <c r="Q311" i="1" s="1"/>
  <c r="B310" i="1" l="1"/>
  <c r="J310" i="1"/>
  <c r="Q310" i="1" s="1"/>
  <c r="I310" i="1" l="1"/>
  <c r="B309" i="1"/>
  <c r="J309" i="1" l="1"/>
  <c r="Q309" i="1" s="1"/>
  <c r="I309" i="1"/>
  <c r="B308" i="1" l="1"/>
  <c r="J308" i="1"/>
  <c r="Q308" i="1" s="1"/>
  <c r="I308" i="1" l="1"/>
  <c r="B307" i="1"/>
  <c r="J307" i="1"/>
  <c r="Q307" i="1" s="1"/>
  <c r="B306" i="1"/>
  <c r="J306" i="1"/>
  <c r="Q306" i="1" s="1"/>
  <c r="B305" i="1"/>
  <c r="I305" i="1" s="1"/>
  <c r="J305" i="1"/>
  <c r="Q305" i="1" s="1"/>
  <c r="B304" i="1"/>
  <c r="I304" i="1" s="1"/>
  <c r="J304" i="1"/>
  <c r="Q304" i="1" s="1"/>
  <c r="J303" i="1"/>
  <c r="Q303" i="1" s="1"/>
  <c r="B303" i="1"/>
  <c r="B302" i="1"/>
  <c r="I307" i="1" l="1"/>
  <c r="I303" i="1"/>
  <c r="I306" i="1"/>
  <c r="I302" i="1"/>
  <c r="J302" i="1"/>
  <c r="Q302" i="1" s="1"/>
  <c r="B301" i="1" l="1"/>
  <c r="I301" i="1" l="1"/>
  <c r="J301" i="1"/>
  <c r="Q301" i="1" s="1"/>
  <c r="B300" i="1" l="1"/>
  <c r="J300" i="1"/>
  <c r="Q300" i="1" s="1"/>
  <c r="I300" i="1" l="1"/>
  <c r="B299" i="1"/>
  <c r="I299" i="1" s="1"/>
  <c r="J299" i="1"/>
  <c r="Q299" i="1" s="1"/>
  <c r="B298" i="1"/>
  <c r="J298" i="1"/>
  <c r="Q298" i="1" s="1"/>
  <c r="B297" i="1"/>
  <c r="J297" i="1"/>
  <c r="Q297" i="1" s="1"/>
  <c r="B296" i="1"/>
  <c r="J296" i="1"/>
  <c r="Q296" i="1"/>
  <c r="B295" i="1"/>
  <c r="J295" i="1"/>
  <c r="Q295" i="1" s="1"/>
  <c r="B294" i="1"/>
  <c r="J294" i="1"/>
  <c r="Q294" i="1" s="1"/>
  <c r="B293" i="1"/>
  <c r="I293" i="1" s="1"/>
  <c r="J293" i="1"/>
  <c r="Q293" i="1" s="1"/>
  <c r="B292" i="1"/>
  <c r="J292" i="1"/>
  <c r="Q292" i="1" s="1"/>
  <c r="B291" i="1"/>
  <c r="J291" i="1"/>
  <c r="Q291" i="1" s="1"/>
  <c r="B290" i="1"/>
  <c r="J290" i="1"/>
  <c r="Q290" i="1" s="1"/>
  <c r="B289" i="1"/>
  <c r="J289" i="1"/>
  <c r="Q289" i="1" s="1"/>
  <c r="J288" i="1"/>
  <c r="B288" i="1"/>
  <c r="J287" i="1"/>
  <c r="B287" i="1"/>
  <c r="I292" i="1" l="1"/>
  <c r="I298" i="1"/>
  <c r="I296" i="1"/>
  <c r="I294" i="1"/>
  <c r="I289" i="1"/>
  <c r="I297" i="1"/>
  <c r="I290" i="1"/>
  <c r="I295" i="1"/>
  <c r="I291" i="1"/>
  <c r="I287" i="1"/>
  <c r="Q287" i="1"/>
  <c r="I288" i="1"/>
  <c r="Q288" i="1"/>
  <c r="B286" i="1"/>
  <c r="J286" i="1"/>
  <c r="Q286" i="1" s="1"/>
  <c r="B285" i="1"/>
  <c r="I285" i="1" s="1"/>
  <c r="J285" i="1"/>
  <c r="Q285" i="1" s="1"/>
  <c r="B284" i="1"/>
  <c r="J284" i="1"/>
  <c r="Q284" i="1" s="1"/>
  <c r="B283" i="1"/>
  <c r="J283" i="1"/>
  <c r="Q283" i="1" s="1"/>
  <c r="B282" i="1"/>
  <c r="J282" i="1"/>
  <c r="Q282" i="1" s="1"/>
  <c r="B281" i="1"/>
  <c r="J281" i="1"/>
  <c r="Q281" i="1" s="1"/>
  <c r="I284" i="1" l="1"/>
  <c r="I281" i="1"/>
  <c r="I286" i="1"/>
  <c r="I283" i="1"/>
  <c r="I282" i="1"/>
  <c r="B280" i="1"/>
  <c r="I280" i="1"/>
  <c r="J280" i="1"/>
  <c r="Q280" i="1" s="1"/>
  <c r="B279" i="1"/>
  <c r="J279" i="1"/>
  <c r="Q279" i="1" s="1"/>
  <c r="B278" i="1"/>
  <c r="J278" i="1"/>
  <c r="Q278" i="1"/>
  <c r="B277" i="1"/>
  <c r="J277" i="1"/>
  <c r="Q277" i="1" s="1"/>
  <c r="B276" i="1"/>
  <c r="I276" i="1" s="1"/>
  <c r="J276" i="1"/>
  <c r="Q276" i="1" s="1"/>
  <c r="J275" i="1"/>
  <c r="Q275" i="1" s="1"/>
  <c r="B275" i="1"/>
  <c r="B274" i="1"/>
  <c r="I274" i="1" s="1"/>
  <c r="J274" i="1"/>
  <c r="Q274" i="1" s="1"/>
  <c r="B273" i="1"/>
  <c r="J273" i="1"/>
  <c r="Q273" i="1" s="1"/>
  <c r="B272" i="1"/>
  <c r="J272" i="1"/>
  <c r="Q272" i="1" s="1"/>
  <c r="B271" i="1"/>
  <c r="I271" i="1"/>
  <c r="J271" i="1"/>
  <c r="Q271" i="1" s="1"/>
  <c r="B270" i="1"/>
  <c r="J270" i="1"/>
  <c r="Q270" i="1" s="1"/>
  <c r="B269" i="1"/>
  <c r="J269" i="1"/>
  <c r="Q269" i="1" s="1"/>
  <c r="J268" i="1"/>
  <c r="Q268" i="1" s="1"/>
  <c r="B268" i="1"/>
  <c r="I268" i="1"/>
  <c r="I273" i="1" l="1"/>
  <c r="I279" i="1"/>
  <c r="I275" i="1"/>
  <c r="I272" i="1"/>
  <c r="I270" i="1"/>
  <c r="I278" i="1"/>
  <c r="I269" i="1"/>
  <c r="I277" i="1"/>
  <c r="B267" i="1"/>
  <c r="J267" i="1"/>
  <c r="Q267" i="1" s="1"/>
  <c r="B266" i="1"/>
  <c r="J266" i="1"/>
  <c r="Q266" i="1" s="1"/>
  <c r="B265" i="1"/>
  <c r="J265" i="1"/>
  <c r="Q265" i="1" s="1"/>
  <c r="B264" i="1"/>
  <c r="I264" i="1"/>
  <c r="J264" i="1"/>
  <c r="Q264" i="1" s="1"/>
  <c r="B263" i="1"/>
  <c r="J263" i="1"/>
  <c r="Q263" i="1" s="1"/>
  <c r="B262" i="1"/>
  <c r="J262" i="1"/>
  <c r="Q262" i="1" s="1"/>
  <c r="B261" i="1"/>
  <c r="J261" i="1"/>
  <c r="Q261" i="1" s="1"/>
  <c r="B260" i="1"/>
  <c r="J260" i="1"/>
  <c r="Q260" i="1" s="1"/>
  <c r="B259" i="1"/>
  <c r="J259" i="1"/>
  <c r="Q259" i="1" s="1"/>
  <c r="B258" i="1"/>
  <c r="I258" i="1"/>
  <c r="J258" i="1"/>
  <c r="Q258" i="1" s="1"/>
  <c r="B257" i="1"/>
  <c r="J257" i="1"/>
  <c r="Q257" i="1" s="1"/>
  <c r="B256" i="1"/>
  <c r="J256" i="1"/>
  <c r="Q256" i="1" s="1"/>
  <c r="B255" i="1"/>
  <c r="J255" i="1"/>
  <c r="Q255" i="1" s="1"/>
  <c r="B254" i="1"/>
  <c r="J254" i="1"/>
  <c r="Q254" i="1" s="1"/>
  <c r="B253" i="1"/>
  <c r="J253" i="1"/>
  <c r="Q253" i="1" s="1"/>
  <c r="B252" i="1"/>
  <c r="J252" i="1"/>
  <c r="Q252" i="1"/>
  <c r="B251" i="1"/>
  <c r="J251" i="1"/>
  <c r="Q251" i="1" s="1"/>
  <c r="B250" i="1"/>
  <c r="J250" i="1"/>
  <c r="Q250" i="1" s="1"/>
  <c r="B249" i="1"/>
  <c r="J249" i="1"/>
  <c r="Q249" i="1" s="1"/>
  <c r="J248" i="1"/>
  <c r="Q248" i="1" s="1"/>
  <c r="B248" i="1"/>
  <c r="I248" i="1" s="1"/>
  <c r="B247" i="1"/>
  <c r="J247" i="1"/>
  <c r="Q247" i="1" s="1"/>
  <c r="B246" i="1"/>
  <c r="J246" i="1"/>
  <c r="Q246" i="1" s="1"/>
  <c r="B245" i="1"/>
  <c r="J245" i="1"/>
  <c r="Q245" i="1" s="1"/>
  <c r="B244" i="1"/>
  <c r="J244" i="1"/>
  <c r="Q244" i="1" s="1"/>
  <c r="B243" i="1"/>
  <c r="J243" i="1"/>
  <c r="Q243" i="1" s="1"/>
  <c r="B242" i="1"/>
  <c r="J242" i="1"/>
  <c r="Q242" i="1" s="1"/>
  <c r="B241" i="1"/>
  <c r="J241" i="1"/>
  <c r="Q241" i="1" s="1"/>
  <c r="J240" i="1"/>
  <c r="B240" i="1"/>
  <c r="I252" i="1" l="1"/>
  <c r="I265" i="1"/>
  <c r="I254" i="1"/>
  <c r="I262" i="1"/>
  <c r="I251" i="1"/>
  <c r="I243" i="1"/>
  <c r="I246" i="1"/>
  <c r="I263" i="1"/>
  <c r="I241" i="1"/>
  <c r="I253" i="1"/>
  <c r="I260" i="1"/>
  <c r="I250" i="1"/>
  <c r="I261" i="1"/>
  <c r="I266" i="1"/>
  <c r="I256" i="1"/>
  <c r="I267" i="1"/>
  <c r="I257" i="1"/>
  <c r="I244" i="1"/>
  <c r="I259" i="1"/>
  <c r="I242" i="1"/>
  <c r="I255" i="1"/>
  <c r="I245" i="1"/>
  <c r="I247" i="1"/>
  <c r="I249" i="1"/>
  <c r="I240" i="1"/>
  <c r="Q240" i="1"/>
  <c r="B239" i="1"/>
  <c r="J239" i="1"/>
  <c r="Q239" i="1" s="1"/>
  <c r="B238" i="1"/>
  <c r="J238" i="1"/>
  <c r="Q238" i="1" s="1"/>
  <c r="B237" i="1"/>
  <c r="J237" i="1"/>
  <c r="Q237" i="1" s="1"/>
  <c r="B236" i="1"/>
  <c r="J236" i="1"/>
  <c r="Q236" i="1" s="1"/>
  <c r="B235" i="1"/>
  <c r="J235" i="1"/>
  <c r="Q235" i="1" s="1"/>
  <c r="B234" i="1"/>
  <c r="J234" i="1"/>
  <c r="Q234" i="1" s="1"/>
  <c r="B233" i="1"/>
  <c r="J233" i="1"/>
  <c r="Q233" i="1" s="1"/>
  <c r="B232" i="1"/>
  <c r="J232" i="1"/>
  <c r="Q232" i="1" s="1"/>
  <c r="B231" i="1"/>
  <c r="J231" i="1"/>
  <c r="Q231" i="1" s="1"/>
  <c r="B230" i="1"/>
  <c r="J230" i="1"/>
  <c r="Q230" i="1"/>
  <c r="B229" i="1"/>
  <c r="J229" i="1"/>
  <c r="Q229" i="1" s="1"/>
  <c r="B228" i="1"/>
  <c r="J228" i="1"/>
  <c r="Q228" i="1" s="1"/>
  <c r="B227" i="1"/>
  <c r="I227" i="1"/>
  <c r="J227" i="1"/>
  <c r="Q227" i="1" s="1"/>
  <c r="B226" i="1"/>
  <c r="J226" i="1"/>
  <c r="Q226" i="1" s="1"/>
  <c r="B225" i="1"/>
  <c r="J225" i="1"/>
  <c r="Q225" i="1" s="1"/>
  <c r="B224" i="1"/>
  <c r="I224" i="1"/>
  <c r="J224" i="1"/>
  <c r="Q224" i="1" s="1"/>
  <c r="B223" i="1"/>
  <c r="J223" i="1"/>
  <c r="Q223" i="1" s="1"/>
  <c r="B222" i="1"/>
  <c r="J222" i="1"/>
  <c r="Q222" i="1" s="1"/>
  <c r="B221" i="1"/>
  <c r="J221" i="1"/>
  <c r="Q221" i="1" s="1"/>
  <c r="B220" i="1"/>
  <c r="J220" i="1"/>
  <c r="Q220" i="1" s="1"/>
  <c r="J219" i="1"/>
  <c r="Q219" i="1" s="1"/>
  <c r="B219" i="1"/>
  <c r="I219" i="1" l="1"/>
  <c r="I222" i="1"/>
  <c r="I238" i="1"/>
  <c r="I237" i="1"/>
  <c r="I223" i="1"/>
  <c r="I228" i="1"/>
  <c r="I239" i="1"/>
  <c r="I231" i="1"/>
  <c r="I221" i="1"/>
  <c r="I236" i="1"/>
  <c r="I225" i="1"/>
  <c r="I226" i="1"/>
  <c r="I234" i="1"/>
  <c r="I235" i="1"/>
  <c r="I229" i="1"/>
  <c r="I233" i="1"/>
  <c r="I232" i="1"/>
  <c r="I220" i="1"/>
  <c r="I230" i="1"/>
  <c r="B218" i="1"/>
  <c r="J218" i="1"/>
  <c r="Q218" i="1" s="1"/>
  <c r="I218" i="1" l="1"/>
  <c r="B217" i="1"/>
  <c r="J217" i="1"/>
  <c r="Q217" i="1" s="1"/>
  <c r="I217" i="1" l="1"/>
  <c r="B216" i="1"/>
  <c r="J216" i="1"/>
  <c r="Q216" i="1" s="1"/>
  <c r="B215" i="1"/>
  <c r="J215" i="1"/>
  <c r="Q215" i="1" s="1"/>
  <c r="B214" i="1"/>
  <c r="J214" i="1"/>
  <c r="Q214" i="1" s="1"/>
  <c r="B213" i="1"/>
  <c r="I213" i="1" s="1"/>
  <c r="J213" i="1"/>
  <c r="Q213" i="1" s="1"/>
  <c r="B212" i="1"/>
  <c r="J212" i="1"/>
  <c r="Q212" i="1" s="1"/>
  <c r="B211" i="1"/>
  <c r="J211" i="1"/>
  <c r="Q211" i="1" s="1"/>
  <c r="B210" i="1"/>
  <c r="J210" i="1"/>
  <c r="Q210" i="1" s="1"/>
  <c r="B209" i="1"/>
  <c r="J209" i="1"/>
  <c r="Q209" i="1"/>
  <c r="B208" i="1"/>
  <c r="J208" i="1"/>
  <c r="Q208" i="1" s="1"/>
  <c r="B207" i="1"/>
  <c r="J207" i="1"/>
  <c r="Q207" i="1" s="1"/>
  <c r="B206" i="1"/>
  <c r="J206" i="1"/>
  <c r="Q206" i="1" s="1"/>
  <c r="I206" i="1"/>
  <c r="I214" i="1" l="1"/>
  <c r="I207" i="1"/>
  <c r="I215" i="1"/>
  <c r="I210" i="1"/>
  <c r="I211" i="1"/>
  <c r="I216" i="1"/>
  <c r="I212" i="1"/>
  <c r="I209" i="1"/>
  <c r="I208" i="1"/>
  <c r="B205" i="1"/>
  <c r="J205" i="1"/>
  <c r="Q205" i="1" s="1"/>
  <c r="B204" i="1"/>
  <c r="J204" i="1"/>
  <c r="Q204" i="1" s="1"/>
  <c r="B203" i="1"/>
  <c r="I203" i="1"/>
  <c r="J203" i="1"/>
  <c r="Q203" i="1" s="1"/>
  <c r="B202" i="1"/>
  <c r="J202" i="1"/>
  <c r="Q202" i="1" s="1"/>
  <c r="B201" i="1"/>
  <c r="J201" i="1"/>
  <c r="Q201" i="1" s="1"/>
  <c r="B200" i="1"/>
  <c r="J200" i="1"/>
  <c r="Q200" i="1"/>
  <c r="B199" i="1"/>
  <c r="J199" i="1"/>
  <c r="Q199" i="1" s="1"/>
  <c r="I205" i="1" l="1"/>
  <c r="I199" i="1"/>
  <c r="I201" i="1"/>
  <c r="I202" i="1"/>
  <c r="I200" i="1"/>
  <c r="I204" i="1"/>
  <c r="B198" i="1"/>
  <c r="I198" i="1"/>
  <c r="J198" i="1"/>
  <c r="Q198" i="1" s="1"/>
  <c r="B197" i="1" l="1"/>
  <c r="J197" i="1"/>
  <c r="Q197" i="1" s="1"/>
  <c r="I197" i="1" l="1"/>
  <c r="B196" i="1"/>
  <c r="I196" i="1" l="1"/>
  <c r="J196" i="1"/>
  <c r="Q196" i="1" s="1"/>
  <c r="B195" i="1" l="1"/>
  <c r="J195" i="1"/>
  <c r="Q195" i="1" s="1"/>
  <c r="I195" i="1" l="1"/>
  <c r="B194" i="1"/>
  <c r="I194" i="1" s="1"/>
  <c r="J194" i="1"/>
  <c r="Q194" i="1" s="1"/>
  <c r="B193" i="1" l="1"/>
  <c r="J193" i="1"/>
  <c r="Q193" i="1" s="1"/>
  <c r="I193" i="1" l="1"/>
  <c r="B192" i="1"/>
  <c r="J192" i="1"/>
  <c r="Q192" i="1" s="1"/>
  <c r="I192" i="1" l="1"/>
  <c r="B191" i="1"/>
  <c r="J191" i="1"/>
  <c r="Q191" i="1" s="1"/>
  <c r="I191" i="1" l="1"/>
  <c r="B190" i="1"/>
  <c r="J190" i="1"/>
  <c r="Q190" i="1" s="1"/>
  <c r="I190" i="1" l="1"/>
  <c r="J189" i="1"/>
  <c r="B189" i="1"/>
  <c r="I189" i="1" l="1"/>
  <c r="Q189" i="1"/>
  <c r="B188" i="1" l="1"/>
  <c r="J188" i="1"/>
  <c r="Q188" i="1" s="1"/>
  <c r="I188" i="1" l="1"/>
  <c r="J187" i="1"/>
  <c r="Q187" i="1" s="1"/>
  <c r="B187" i="1"/>
  <c r="I187" i="1"/>
  <c r="B186" i="1" l="1"/>
  <c r="J186" i="1"/>
  <c r="Q186" i="1" s="1"/>
  <c r="I186" i="1" l="1"/>
  <c r="B185" i="1"/>
  <c r="J185" i="1"/>
  <c r="Q185" i="1" s="1"/>
  <c r="I185" i="1" l="1"/>
  <c r="B184" i="1"/>
  <c r="J184" i="1"/>
  <c r="Q184" i="1" s="1"/>
  <c r="I184" i="1" l="1"/>
  <c r="B183" i="1"/>
  <c r="J183" i="1"/>
  <c r="Q183" i="1" s="1"/>
  <c r="I183" i="1" l="1"/>
  <c r="B182" i="1"/>
  <c r="J182" i="1"/>
  <c r="Q182" i="1" s="1"/>
  <c r="I182" i="1" l="1"/>
  <c r="B181" i="1"/>
  <c r="I181" i="1" l="1"/>
  <c r="J181" i="1"/>
  <c r="Q181" i="1" s="1"/>
  <c r="B180" i="1" l="1"/>
  <c r="J180" i="1"/>
  <c r="Q180" i="1" s="1"/>
  <c r="I180" i="1" l="1"/>
  <c r="B179" i="1"/>
  <c r="I179" i="1"/>
  <c r="J179" i="1"/>
  <c r="Q179" i="1" s="1"/>
  <c r="B178" i="1" l="1"/>
  <c r="J178" i="1"/>
  <c r="Q178" i="1" s="1"/>
  <c r="I178" i="1" l="1"/>
  <c r="B177" i="1"/>
  <c r="J177" i="1" l="1"/>
  <c r="Q177" i="1" s="1"/>
  <c r="I177" i="1"/>
  <c r="B176" i="1" l="1"/>
  <c r="J176" i="1"/>
  <c r="Q176" i="1"/>
  <c r="I176" i="1" l="1"/>
  <c r="B175" i="1"/>
  <c r="J175" i="1"/>
  <c r="Q175" i="1" s="1"/>
  <c r="I175" i="1" l="1"/>
  <c r="B174" i="1"/>
  <c r="J174" i="1"/>
  <c r="Q174" i="1" s="1"/>
  <c r="I174" i="1" l="1"/>
  <c r="B173" i="1"/>
  <c r="J173" i="1" l="1"/>
  <c r="Q173" i="1" s="1"/>
  <c r="E129" i="4"/>
  <c r="H129" i="4"/>
  <c r="E466" i="1"/>
  <c r="C173" i="1"/>
  <c r="I173" i="1" s="1"/>
  <c r="I466" i="1" l="1"/>
  <c r="O129" i="4"/>
  <c r="B172" i="1"/>
  <c r="E128" i="4"/>
  <c r="H128" i="4"/>
  <c r="K128" i="4"/>
  <c r="C172" i="1"/>
  <c r="J172" i="1"/>
  <c r="Q172" i="1" s="1"/>
  <c r="O128" i="4" l="1"/>
  <c r="I172" i="1"/>
  <c r="B171" i="1"/>
  <c r="E127" i="4"/>
  <c r="H127" i="4"/>
  <c r="K127" i="4"/>
  <c r="C171" i="1"/>
  <c r="J171" i="1"/>
  <c r="Q171" i="1" s="1"/>
  <c r="O127" i="4" l="1"/>
  <c r="I171" i="1"/>
  <c r="B170" i="1"/>
  <c r="E126" i="4"/>
  <c r="H126" i="4"/>
  <c r="K126" i="4"/>
  <c r="C170" i="1"/>
  <c r="J170" i="1"/>
  <c r="Q170" i="1" s="1"/>
  <c r="O126" i="4" l="1"/>
  <c r="I170" i="1"/>
  <c r="E125" i="4"/>
  <c r="H125" i="4"/>
  <c r="K125" i="4"/>
  <c r="B169" i="1"/>
  <c r="C169" i="1"/>
  <c r="J169" i="1"/>
  <c r="Q169" i="1" s="1"/>
  <c r="I169" i="1" l="1"/>
  <c r="O125" i="4"/>
  <c r="B168" i="1"/>
  <c r="E124" i="4"/>
  <c r="H124" i="4"/>
  <c r="K124" i="4"/>
  <c r="C168" i="1"/>
  <c r="J168" i="1"/>
  <c r="Q168" i="1" s="1"/>
  <c r="O124" i="4" l="1"/>
  <c r="I168" i="1"/>
  <c r="B167" i="1"/>
  <c r="E123" i="4"/>
  <c r="H123" i="4"/>
  <c r="K123" i="4"/>
  <c r="C167" i="1"/>
  <c r="J167" i="1"/>
  <c r="Q167" i="1" s="1"/>
  <c r="O123" i="4" l="1"/>
  <c r="I167" i="1"/>
  <c r="B166" i="1"/>
  <c r="E122" i="4"/>
  <c r="H122" i="4"/>
  <c r="K122" i="4"/>
  <c r="C166" i="1"/>
  <c r="J166" i="1"/>
  <c r="Q166" i="1" s="1"/>
  <c r="O122" i="4" l="1"/>
  <c r="I166" i="1"/>
  <c r="E121" i="4"/>
  <c r="H121" i="4"/>
  <c r="K121" i="4"/>
  <c r="B165" i="1"/>
  <c r="C165" i="1"/>
  <c r="J165" i="1"/>
  <c r="Q165" i="1" s="1"/>
  <c r="O121" i="4" l="1"/>
  <c r="I165" i="1"/>
  <c r="E120" i="4"/>
  <c r="H120" i="4"/>
  <c r="K120" i="4"/>
  <c r="B164" i="1"/>
  <c r="C164" i="1"/>
  <c r="J164" i="1"/>
  <c r="Q164" i="1" s="1"/>
  <c r="I164" i="1" l="1"/>
  <c r="O120" i="4"/>
  <c r="E119" i="4"/>
  <c r="H119" i="4"/>
  <c r="K119" i="4"/>
  <c r="B163" i="1"/>
  <c r="C163" i="1"/>
  <c r="J163" i="1"/>
  <c r="Q163" i="1" s="1"/>
  <c r="I163" i="1" l="1"/>
  <c r="O119" i="4"/>
  <c r="B162" i="1"/>
  <c r="E118" i="4"/>
  <c r="H118" i="4"/>
  <c r="K118" i="4"/>
  <c r="C162" i="1"/>
  <c r="J162" i="1"/>
  <c r="Q162" i="1" s="1"/>
  <c r="I162" i="1" l="1"/>
  <c r="O118" i="4"/>
  <c r="B161" i="1"/>
  <c r="E117" i="4"/>
  <c r="H117" i="4"/>
  <c r="K117" i="4"/>
  <c r="C161" i="1"/>
  <c r="J161" i="1"/>
  <c r="Q161" i="1" s="1"/>
  <c r="O117" i="4" l="1"/>
  <c r="I161" i="1"/>
  <c r="B160" i="1"/>
  <c r="E116" i="4" l="1"/>
  <c r="H116" i="4"/>
  <c r="K116" i="4"/>
  <c r="C160" i="1"/>
  <c r="I160" i="1" s="1"/>
  <c r="J160" i="1"/>
  <c r="Q160" i="1" s="1"/>
  <c r="O116" i="4" l="1"/>
  <c r="B159" i="1"/>
  <c r="E115" i="4"/>
  <c r="H115" i="4"/>
  <c r="K115" i="4"/>
  <c r="C159" i="1"/>
  <c r="J159" i="1"/>
  <c r="Q159" i="1" s="1"/>
  <c r="O115" i="4" l="1"/>
  <c r="I159" i="1"/>
  <c r="B158" i="1"/>
  <c r="E114" i="4"/>
  <c r="H114" i="4"/>
  <c r="K114" i="4"/>
  <c r="C158" i="1"/>
  <c r="J158" i="1"/>
  <c r="Q158" i="1" s="1"/>
  <c r="I158" i="1" l="1"/>
  <c r="O114" i="4"/>
  <c r="B157" i="1"/>
  <c r="E113" i="4"/>
  <c r="H113" i="4"/>
  <c r="K113" i="4"/>
  <c r="C157" i="1"/>
  <c r="I157" i="1" s="1"/>
  <c r="J157" i="1"/>
  <c r="Q157" i="1" s="1"/>
  <c r="O113" i="4" l="1"/>
  <c r="B156" i="1"/>
  <c r="E112" i="4"/>
  <c r="H112" i="4"/>
  <c r="K112" i="4"/>
  <c r="C156" i="1"/>
  <c r="J156" i="1"/>
  <c r="Q156" i="1" s="1"/>
  <c r="O112" i="4" l="1"/>
  <c r="I156" i="1"/>
  <c r="J155" i="1"/>
  <c r="B155" i="1"/>
  <c r="E111" i="4" l="1"/>
  <c r="H111" i="4"/>
  <c r="K111" i="4"/>
  <c r="C155" i="1"/>
  <c r="I155" i="1" s="1"/>
  <c r="Q155" i="1"/>
  <c r="O111" i="4" l="1"/>
  <c r="B154" i="1"/>
  <c r="E110" i="4"/>
  <c r="H110" i="4"/>
  <c r="K110" i="4"/>
  <c r="C154" i="1"/>
  <c r="I154" i="1" s="1"/>
  <c r="J154" i="1"/>
  <c r="Q154" i="1" s="1"/>
  <c r="O110" i="4" l="1"/>
  <c r="B153" i="1"/>
  <c r="E109" i="4" l="1"/>
  <c r="H109" i="4"/>
  <c r="K109" i="4"/>
  <c r="C153" i="1"/>
  <c r="I153" i="1" s="1"/>
  <c r="J153" i="1"/>
  <c r="Q153" i="1" s="1"/>
  <c r="O109" i="4" l="1"/>
  <c r="B152" i="1"/>
  <c r="E108" i="4"/>
  <c r="H108" i="4"/>
  <c r="K108" i="4"/>
  <c r="C152" i="1"/>
  <c r="J152" i="1"/>
  <c r="Q152" i="1" s="1"/>
  <c r="I152" i="1" l="1"/>
  <c r="O108" i="4"/>
  <c r="B151" i="1"/>
  <c r="E107" i="4"/>
  <c r="H107" i="4"/>
  <c r="K107" i="4"/>
  <c r="C151" i="1"/>
  <c r="J151" i="1"/>
  <c r="Q151" i="1" s="1"/>
  <c r="O107" i="4" l="1"/>
  <c r="I151" i="1"/>
  <c r="B150" i="1"/>
  <c r="E106" i="4"/>
  <c r="H106" i="4"/>
  <c r="K106" i="4"/>
  <c r="C150" i="1"/>
  <c r="J150" i="1"/>
  <c r="Q150" i="1" s="1"/>
  <c r="O106" i="4" l="1"/>
  <c r="I150" i="1"/>
  <c r="B149" i="1"/>
  <c r="E105" i="4" l="1"/>
  <c r="H105" i="4"/>
  <c r="K105" i="4"/>
  <c r="C149" i="1"/>
  <c r="I149" i="1" s="1"/>
  <c r="J149" i="1"/>
  <c r="Q149" i="1" s="1"/>
  <c r="O105" i="4" l="1"/>
  <c r="B148" i="1"/>
  <c r="C148" i="1"/>
  <c r="I148" i="1" s="1"/>
  <c r="J148" i="1"/>
  <c r="Q148" i="1" s="1"/>
  <c r="E104" i="4"/>
  <c r="H104" i="4"/>
  <c r="K104" i="4"/>
  <c r="O104" i="4" l="1"/>
  <c r="B147" i="1"/>
  <c r="E103" i="4" l="1"/>
  <c r="H103" i="4"/>
  <c r="K103" i="4"/>
  <c r="C147" i="1"/>
  <c r="I147" i="1" s="1"/>
  <c r="J147" i="1"/>
  <c r="Q147" i="1" s="1"/>
  <c r="O103" i="4" l="1"/>
  <c r="E102" i="4"/>
  <c r="H102" i="4"/>
  <c r="K102" i="4"/>
  <c r="B146" i="1"/>
  <c r="C146" i="1"/>
  <c r="J146" i="1"/>
  <c r="Q146" i="1" s="1"/>
  <c r="I146" i="1" l="1"/>
  <c r="O102" i="4"/>
  <c r="E101" i="4"/>
  <c r="H101" i="4"/>
  <c r="K101" i="4"/>
  <c r="B145" i="1"/>
  <c r="C145" i="1"/>
  <c r="J145" i="1"/>
  <c r="Q145" i="1" s="1"/>
  <c r="I145" i="1" l="1"/>
  <c r="O101" i="4"/>
  <c r="E100" i="4"/>
  <c r="H100" i="4"/>
  <c r="K100" i="4"/>
  <c r="B144" i="1"/>
  <c r="C144" i="1"/>
  <c r="I144" i="1" s="1"/>
  <c r="J144" i="1"/>
  <c r="Q144" i="1" s="1"/>
  <c r="O100" i="4" l="1"/>
  <c r="E99" i="4"/>
  <c r="H99" i="4"/>
  <c r="K99" i="4"/>
  <c r="B143" i="1"/>
  <c r="C143" i="1"/>
  <c r="J143" i="1"/>
  <c r="Q143" i="1" s="1"/>
  <c r="I143" i="1" l="1"/>
  <c r="O99" i="4"/>
  <c r="B142" i="1"/>
  <c r="E98" i="4"/>
  <c r="H98" i="4"/>
  <c r="K98" i="4"/>
  <c r="C142" i="1"/>
  <c r="J142" i="1"/>
  <c r="Q142" i="1" s="1"/>
  <c r="O98" i="4" l="1"/>
  <c r="I142" i="1"/>
  <c r="E97" i="4"/>
  <c r="H97" i="4"/>
  <c r="K97" i="4"/>
  <c r="B141" i="1"/>
  <c r="C141" i="1"/>
  <c r="J141" i="1"/>
  <c r="Q141" i="1" s="1"/>
  <c r="I141" i="1" l="1"/>
  <c r="O97" i="4"/>
  <c r="E96" i="4"/>
  <c r="H96" i="4"/>
  <c r="K96" i="4"/>
  <c r="B140" i="1"/>
  <c r="C140" i="1"/>
  <c r="J140" i="1"/>
  <c r="Q140" i="1" s="1"/>
  <c r="I140" i="1" l="1"/>
  <c r="O96" i="4"/>
  <c r="E95" i="4"/>
  <c r="H95" i="4"/>
  <c r="K95" i="4"/>
  <c r="B139" i="1"/>
  <c r="C139" i="1"/>
  <c r="J139" i="1"/>
  <c r="Q139" i="1" s="1"/>
  <c r="O95" i="4" l="1"/>
  <c r="I139" i="1"/>
  <c r="B138" i="1"/>
  <c r="E94" i="4"/>
  <c r="H94" i="4"/>
  <c r="K94" i="4"/>
  <c r="C138" i="1"/>
  <c r="J138" i="1"/>
  <c r="Q138" i="1" s="1"/>
  <c r="O94" i="4" l="1"/>
  <c r="I138" i="1"/>
  <c r="B137" i="1"/>
  <c r="E93" i="4"/>
  <c r="H93" i="4"/>
  <c r="K93" i="4"/>
  <c r="C137" i="1"/>
  <c r="J137" i="1"/>
  <c r="Q137" i="1" s="1"/>
  <c r="O93" i="4" l="1"/>
  <c r="I137" i="1"/>
  <c r="E92" i="4"/>
  <c r="H92" i="4"/>
  <c r="K92" i="4"/>
  <c r="B136" i="1"/>
  <c r="C136" i="1"/>
  <c r="J136" i="1"/>
  <c r="Q136" i="1" s="1"/>
  <c r="I136" i="1" l="1"/>
  <c r="O92" i="4"/>
  <c r="E91" i="4"/>
  <c r="H91" i="4"/>
  <c r="K91" i="4"/>
  <c r="B135" i="1"/>
  <c r="C135" i="1"/>
  <c r="J135" i="1"/>
  <c r="Q135" i="1" s="1"/>
  <c r="O91" i="4" l="1"/>
  <c r="I135" i="1"/>
  <c r="B134" i="1"/>
  <c r="E90" i="4"/>
  <c r="H90" i="4"/>
  <c r="K90" i="4"/>
  <c r="C134" i="1"/>
  <c r="J134" i="1"/>
  <c r="Q134" i="1" s="1"/>
  <c r="O90" i="4" l="1"/>
  <c r="I134" i="1"/>
  <c r="B133" i="1"/>
  <c r="E89" i="4" l="1"/>
  <c r="H89" i="4"/>
  <c r="K89" i="4"/>
  <c r="C133" i="1"/>
  <c r="J133" i="1"/>
  <c r="Q133" i="1" s="1"/>
  <c r="O89" i="4" l="1"/>
  <c r="I133" i="1"/>
  <c r="B132" i="1"/>
  <c r="E88" i="4" l="1"/>
  <c r="H88" i="4"/>
  <c r="K88" i="4"/>
  <c r="C132" i="1"/>
  <c r="I132" i="1" s="1"/>
  <c r="J132" i="1"/>
  <c r="Q132" i="1" s="1"/>
  <c r="O88" i="4" l="1"/>
  <c r="B131" i="1"/>
  <c r="E87" i="4" l="1"/>
  <c r="H87" i="4"/>
  <c r="K87" i="4"/>
  <c r="J131" i="1"/>
  <c r="Q131" i="1" s="1"/>
  <c r="C131" i="1"/>
  <c r="O87" i="4" l="1"/>
  <c r="I131" i="1"/>
  <c r="E86" i="4"/>
  <c r="H86" i="4"/>
  <c r="K86" i="4"/>
  <c r="B130" i="1"/>
  <c r="C130" i="1"/>
  <c r="J130" i="1"/>
  <c r="Q130" i="1" s="1"/>
  <c r="O86" i="4" l="1"/>
  <c r="I130" i="1"/>
  <c r="B129" i="1"/>
  <c r="E85" i="4"/>
  <c r="H85" i="4"/>
  <c r="K85" i="4"/>
  <c r="C129" i="1"/>
  <c r="J129" i="1"/>
  <c r="Q129" i="1" s="1"/>
  <c r="I129" i="1" l="1"/>
  <c r="O85" i="4"/>
  <c r="E84" i="4"/>
  <c r="H84" i="4"/>
  <c r="K84" i="4"/>
  <c r="B128" i="1"/>
  <c r="C128" i="1"/>
  <c r="J128" i="1"/>
  <c r="Q128" i="1" s="1"/>
  <c r="I128" i="1" l="1"/>
  <c r="O84" i="4"/>
  <c r="B127" i="1"/>
  <c r="E83" i="4"/>
  <c r="H83" i="4"/>
  <c r="K83" i="4"/>
  <c r="C127" i="1"/>
  <c r="J127" i="1"/>
  <c r="Q127" i="1" s="1"/>
  <c r="O83" i="4" l="1"/>
  <c r="I127" i="1"/>
  <c r="B126" i="1"/>
  <c r="E82" i="4"/>
  <c r="H82" i="4"/>
  <c r="K82" i="4"/>
  <c r="C126" i="1"/>
  <c r="J126" i="1"/>
  <c r="Q126" i="1" s="1"/>
  <c r="O82" i="4" l="1"/>
  <c r="I126" i="1"/>
  <c r="B125" i="1"/>
  <c r="E81" i="4"/>
  <c r="H81" i="4"/>
  <c r="K81" i="4"/>
  <c r="C125" i="1"/>
  <c r="J125" i="1"/>
  <c r="Q125" i="1" s="1"/>
  <c r="O81" i="4" l="1"/>
  <c r="I125" i="1"/>
  <c r="E80" i="4"/>
  <c r="H80" i="4"/>
  <c r="K80" i="4"/>
  <c r="B124" i="1"/>
  <c r="C124" i="1"/>
  <c r="J124" i="1"/>
  <c r="Q124" i="1" s="1"/>
  <c r="O80" i="4" l="1"/>
  <c r="I124" i="1"/>
  <c r="B123" i="1"/>
  <c r="E79" i="4"/>
  <c r="H79" i="4"/>
  <c r="K79" i="4"/>
  <c r="C123" i="1"/>
  <c r="I123" i="1" s="1"/>
  <c r="J123" i="1"/>
  <c r="Q123" i="1" s="1"/>
  <c r="O79" i="4" l="1"/>
  <c r="B122" i="1"/>
  <c r="E78" i="4"/>
  <c r="H78" i="4"/>
  <c r="K78" i="4"/>
  <c r="C122" i="1"/>
  <c r="J122" i="1"/>
  <c r="Q122" i="1" s="1"/>
  <c r="O78" i="4" l="1"/>
  <c r="I122" i="1"/>
  <c r="E77" i="4"/>
  <c r="H77" i="4"/>
  <c r="K77" i="4"/>
  <c r="B121" i="1"/>
  <c r="C121" i="1"/>
  <c r="J121" i="1"/>
  <c r="Q121" i="1" s="1"/>
  <c r="O77" i="4" l="1"/>
  <c r="I121" i="1"/>
  <c r="E76" i="4"/>
  <c r="H76" i="4"/>
  <c r="K76" i="4"/>
  <c r="B120" i="1"/>
  <c r="C120" i="1"/>
  <c r="J120" i="1"/>
  <c r="Q120" i="1" s="1"/>
  <c r="I120" i="1" l="1"/>
  <c r="O76" i="4"/>
  <c r="E75" i="4"/>
  <c r="H75" i="4"/>
  <c r="K75" i="4"/>
  <c r="B119" i="1"/>
  <c r="C119" i="1"/>
  <c r="J119" i="1"/>
  <c r="Q119" i="1" s="1"/>
  <c r="O75" i="4" l="1"/>
  <c r="I119" i="1"/>
  <c r="B118" i="1"/>
  <c r="E74" i="4"/>
  <c r="H74" i="4"/>
  <c r="K74" i="4"/>
  <c r="C118" i="1"/>
  <c r="J118" i="1"/>
  <c r="Q118" i="1" s="1"/>
  <c r="O74" i="4" l="1"/>
  <c r="I118" i="1"/>
  <c r="E73" i="4"/>
  <c r="H73" i="4"/>
  <c r="K73" i="4"/>
  <c r="B117" i="1"/>
  <c r="C117" i="1"/>
  <c r="J117" i="1"/>
  <c r="Q117" i="1" s="1"/>
  <c r="I117" i="1" l="1"/>
  <c r="O73" i="4"/>
  <c r="E72" i="4"/>
  <c r="H72" i="4"/>
  <c r="K72" i="4"/>
  <c r="B116" i="1"/>
  <c r="C116" i="1"/>
  <c r="J116" i="1"/>
  <c r="Q116" i="1" s="1"/>
  <c r="I116" i="1" l="1"/>
  <c r="O72" i="4"/>
  <c r="B115" i="1"/>
  <c r="E71" i="4"/>
  <c r="H71" i="4"/>
  <c r="K71" i="4"/>
  <c r="C115" i="1"/>
  <c r="J115" i="1"/>
  <c r="Q115" i="1" s="1"/>
  <c r="O71" i="4" l="1"/>
  <c r="I115" i="1"/>
  <c r="E70" i="4"/>
  <c r="H70" i="4"/>
  <c r="K70" i="4"/>
  <c r="B114" i="1"/>
  <c r="C114" i="1"/>
  <c r="J114" i="1"/>
  <c r="Q114" i="1" s="1"/>
  <c r="I114" i="1" l="1"/>
  <c r="O70" i="4"/>
  <c r="B113" i="1"/>
  <c r="E69" i="4" l="1"/>
  <c r="H69" i="4"/>
  <c r="K69" i="4"/>
  <c r="C113" i="1"/>
  <c r="I113" i="1" s="1"/>
  <c r="J113" i="1"/>
  <c r="Q113" i="1" s="1"/>
  <c r="O69" i="4" l="1"/>
  <c r="B112" i="1"/>
  <c r="E68" i="4"/>
  <c r="H68" i="4"/>
  <c r="K68" i="4"/>
  <c r="C112" i="1"/>
  <c r="J112" i="1"/>
  <c r="Q112" i="1" s="1"/>
  <c r="O68" i="4" l="1"/>
  <c r="I112" i="1"/>
  <c r="B111" i="1"/>
  <c r="E67" i="4"/>
  <c r="H67" i="4"/>
  <c r="K67" i="4"/>
  <c r="C111" i="1"/>
  <c r="J111" i="1"/>
  <c r="Q111" i="1" s="1"/>
  <c r="I111" i="1" l="1"/>
  <c r="O67" i="4"/>
  <c r="B110" i="1"/>
  <c r="E66" i="4"/>
  <c r="H66" i="4"/>
  <c r="K66" i="4"/>
  <c r="C110" i="1"/>
  <c r="I110" i="1" s="1"/>
  <c r="J110" i="1"/>
  <c r="Q110" i="1" s="1"/>
  <c r="O66" i="4" l="1"/>
  <c r="E65" i="4"/>
  <c r="H65" i="4"/>
  <c r="K65" i="4"/>
  <c r="B109" i="1"/>
  <c r="C109" i="1"/>
  <c r="J109" i="1"/>
  <c r="Q109" i="1" s="1"/>
  <c r="I109" i="1" l="1"/>
  <c r="O65" i="4"/>
  <c r="J108" i="1"/>
  <c r="B108" i="1"/>
  <c r="E64" i="4" l="1"/>
  <c r="H64" i="4"/>
  <c r="K64" i="4"/>
  <c r="C108" i="1"/>
  <c r="Q108" i="1"/>
  <c r="O64" i="4" l="1"/>
  <c r="I108" i="1"/>
  <c r="E63" i="4"/>
  <c r="H63" i="4"/>
  <c r="K63" i="4"/>
  <c r="B107" i="1"/>
  <c r="C107" i="1"/>
  <c r="J107" i="1"/>
  <c r="Q107" i="1" s="1"/>
  <c r="I107" i="1" l="1"/>
  <c r="O63" i="4"/>
  <c r="E62" i="4"/>
  <c r="H62" i="4"/>
  <c r="K62" i="4"/>
  <c r="B106" i="1"/>
  <c r="C106" i="1"/>
  <c r="J106" i="1"/>
  <c r="Q106" i="1" s="1"/>
  <c r="I106" i="1" l="1"/>
  <c r="O62" i="4"/>
  <c r="E61" i="4"/>
  <c r="H61" i="4"/>
  <c r="K61" i="4"/>
  <c r="B105" i="1"/>
  <c r="C105" i="1"/>
  <c r="J105" i="1"/>
  <c r="Q105" i="1" s="1"/>
  <c r="I105" i="1" l="1"/>
  <c r="O61" i="4"/>
  <c r="E60" i="4"/>
  <c r="H60" i="4"/>
  <c r="K60" i="4"/>
  <c r="B104" i="1"/>
  <c r="C104" i="1"/>
  <c r="J104" i="1"/>
  <c r="Q104" i="1" s="1"/>
  <c r="O60" i="4" l="1"/>
  <c r="I104" i="1"/>
  <c r="E59" i="4"/>
  <c r="H59" i="4"/>
  <c r="K59" i="4"/>
  <c r="B103" i="1"/>
  <c r="C103" i="1"/>
  <c r="J103" i="1"/>
  <c r="Q103" i="1" s="1"/>
  <c r="O59" i="4" l="1"/>
  <c r="I103" i="1"/>
  <c r="E58" i="4"/>
  <c r="H58" i="4"/>
  <c r="K58" i="4"/>
  <c r="B102" i="1"/>
  <c r="C102" i="1"/>
  <c r="J102" i="1"/>
  <c r="Q102" i="1" s="1"/>
  <c r="I102" i="1" l="1"/>
  <c r="O58" i="4"/>
  <c r="B101" i="1"/>
  <c r="C101" i="1" l="1"/>
  <c r="I101" i="1" s="1"/>
  <c r="J101" i="1"/>
  <c r="Q101" i="1" s="1"/>
  <c r="E57" i="4"/>
  <c r="H57" i="4"/>
  <c r="K57" i="4"/>
  <c r="O57" i="4" l="1"/>
  <c r="E56" i="4"/>
  <c r="H56" i="4"/>
  <c r="K56" i="4"/>
  <c r="B100" i="1"/>
  <c r="C100" i="1"/>
  <c r="J100" i="1"/>
  <c r="Q100" i="1" s="1"/>
  <c r="I100" i="1" l="1"/>
  <c r="O56" i="4"/>
  <c r="E55" i="4"/>
  <c r="H55" i="4"/>
  <c r="K55" i="4"/>
  <c r="B99" i="1"/>
  <c r="C99" i="1"/>
  <c r="J99" i="1"/>
  <c r="Q99" i="1" s="1"/>
  <c r="I99" i="1" l="1"/>
  <c r="O55" i="4"/>
  <c r="E54" i="4"/>
  <c r="H54" i="4"/>
  <c r="K54" i="4"/>
  <c r="B98" i="1"/>
  <c r="C98" i="1"/>
  <c r="J98" i="1"/>
  <c r="Q98" i="1" s="1"/>
  <c r="I98" i="1" l="1"/>
  <c r="O54" i="4"/>
  <c r="B97" i="1"/>
  <c r="E53" i="4" l="1"/>
  <c r="H53" i="4"/>
  <c r="K53" i="4"/>
  <c r="C97" i="1"/>
  <c r="I97" i="1" s="1"/>
  <c r="J97" i="1"/>
  <c r="Q97" i="1" s="1"/>
  <c r="O53" i="4" l="1"/>
  <c r="B96" i="1"/>
  <c r="E52" i="4" l="1"/>
  <c r="H52" i="4"/>
  <c r="K52" i="4"/>
  <c r="C96" i="1"/>
  <c r="J96" i="1"/>
  <c r="Q96" i="1" s="1"/>
  <c r="O52" i="4" l="1"/>
  <c r="I96" i="1"/>
  <c r="B95" i="1"/>
  <c r="E51" i="4"/>
  <c r="H51" i="4"/>
  <c r="K51" i="4"/>
  <c r="C95" i="1"/>
  <c r="J95" i="1"/>
  <c r="Q95" i="1" s="1"/>
  <c r="I95" i="1" l="1"/>
  <c r="O51" i="4"/>
  <c r="J94" i="1"/>
  <c r="Q94" i="1" s="1"/>
  <c r="E50" i="4"/>
  <c r="H50" i="4"/>
  <c r="K50" i="4"/>
  <c r="B94" i="1"/>
  <c r="C94" i="1"/>
  <c r="I94" i="1" l="1"/>
  <c r="O50" i="4"/>
  <c r="B93" i="1"/>
  <c r="E49" i="4"/>
  <c r="H49" i="4"/>
  <c r="K49" i="4"/>
  <c r="C93" i="1"/>
  <c r="J93" i="1"/>
  <c r="Q93" i="1" s="1"/>
  <c r="O49" i="4" l="1"/>
  <c r="I93" i="1"/>
  <c r="B92" i="1"/>
  <c r="E48" i="4"/>
  <c r="H48" i="4"/>
  <c r="K48" i="4"/>
  <c r="C92" i="1"/>
  <c r="J92" i="1"/>
  <c r="Q92" i="1" s="1"/>
  <c r="O48" i="4" l="1"/>
  <c r="I92" i="1"/>
  <c r="B91" i="1"/>
  <c r="C91" i="1"/>
  <c r="J91" i="1"/>
  <c r="Q91" i="1" s="1"/>
  <c r="E47" i="4"/>
  <c r="H47" i="4"/>
  <c r="K47" i="4"/>
  <c r="I91" i="1" l="1"/>
  <c r="O47" i="4"/>
  <c r="B90" i="1"/>
  <c r="E46" i="4" l="1"/>
  <c r="H46" i="4"/>
  <c r="K46" i="4"/>
  <c r="C90" i="1"/>
  <c r="J90" i="1"/>
  <c r="Q90" i="1" s="1"/>
  <c r="O46" i="4" l="1"/>
  <c r="I90" i="1"/>
  <c r="B89" i="1"/>
  <c r="J89" i="1"/>
  <c r="Q89" i="1" s="1"/>
  <c r="C89" i="1"/>
  <c r="E45" i="4"/>
  <c r="H45" i="4"/>
  <c r="K45" i="4"/>
  <c r="I89" i="1" l="1"/>
  <c r="O45" i="4"/>
  <c r="B88" i="1"/>
  <c r="E44" i="4"/>
  <c r="H44" i="4"/>
  <c r="K44" i="4"/>
  <c r="C88" i="1"/>
  <c r="J88" i="1"/>
  <c r="Q88" i="1" s="1"/>
  <c r="O44" i="4" l="1"/>
  <c r="I88" i="1"/>
  <c r="E43" i="4"/>
  <c r="H43" i="4"/>
  <c r="K43" i="4"/>
  <c r="B87" i="1"/>
  <c r="C87" i="1"/>
  <c r="J87" i="1"/>
  <c r="Q87" i="1" s="1"/>
  <c r="I87" i="1" l="1"/>
  <c r="O43" i="4"/>
  <c r="E42" i="4"/>
  <c r="H42" i="4"/>
  <c r="K42" i="4"/>
  <c r="B86" i="1"/>
  <c r="C86" i="1"/>
  <c r="J86" i="1"/>
  <c r="Q86" i="1" s="1"/>
  <c r="O42" i="4" l="1"/>
  <c r="I86" i="1"/>
  <c r="B85" i="1"/>
  <c r="E41" i="4"/>
  <c r="H41" i="4"/>
  <c r="K41" i="4"/>
  <c r="C85" i="1"/>
  <c r="I85" i="1" s="1"/>
  <c r="J85" i="1"/>
  <c r="Q85" i="1" s="1"/>
  <c r="O41" i="4" l="1"/>
  <c r="B84" i="1"/>
  <c r="E40" i="4"/>
  <c r="H40" i="4"/>
  <c r="K40" i="4"/>
  <c r="C84" i="1"/>
  <c r="J84" i="1"/>
  <c r="Q84" i="1" s="1"/>
  <c r="O40" i="4" l="1"/>
  <c r="I84" i="1"/>
  <c r="E39" i="4"/>
  <c r="H39" i="4"/>
  <c r="K39" i="4"/>
  <c r="B83" i="1"/>
  <c r="C83" i="1"/>
  <c r="J83" i="1"/>
  <c r="Q83" i="1" s="1"/>
  <c r="O39" i="4" l="1"/>
  <c r="I83" i="1"/>
  <c r="B82" i="1"/>
  <c r="E38" i="4"/>
  <c r="H38" i="4"/>
  <c r="K38" i="4"/>
  <c r="C82" i="1"/>
  <c r="J82" i="1"/>
  <c r="Q82" i="1" s="1"/>
  <c r="O38" i="4" l="1"/>
  <c r="I82" i="1"/>
  <c r="B81" i="1"/>
  <c r="C81" i="1"/>
  <c r="J81" i="1"/>
  <c r="Q81" i="1" s="1"/>
  <c r="E37" i="4"/>
  <c r="H37" i="4"/>
  <c r="K37" i="4"/>
  <c r="I81" i="1" l="1"/>
  <c r="O37" i="4"/>
  <c r="B80" i="1"/>
  <c r="K36" i="4"/>
  <c r="H36" i="4"/>
  <c r="E36" i="4"/>
  <c r="C80" i="1"/>
  <c r="J80" i="1"/>
  <c r="Q80" i="1" s="1"/>
  <c r="O36" i="4" l="1"/>
  <c r="I80" i="1"/>
  <c r="E35" i="4"/>
  <c r="H35" i="4"/>
  <c r="K35" i="4"/>
  <c r="B79" i="1"/>
  <c r="C79" i="1"/>
  <c r="J79" i="1"/>
  <c r="Q79" i="1" s="1"/>
  <c r="I79" i="1" l="1"/>
  <c r="O35" i="4"/>
  <c r="B78" i="1"/>
  <c r="E34" i="4"/>
  <c r="H34" i="4"/>
  <c r="K34" i="4"/>
  <c r="C78" i="1"/>
  <c r="J78" i="1"/>
  <c r="Q78" i="1" s="1"/>
  <c r="O34" i="4" l="1"/>
  <c r="I78" i="1"/>
  <c r="E33" i="4"/>
  <c r="H33" i="4"/>
  <c r="K33" i="4"/>
  <c r="B77" i="1"/>
  <c r="C77" i="1"/>
  <c r="J77" i="1"/>
  <c r="Q77" i="1" s="1"/>
  <c r="I77" i="1" l="1"/>
  <c r="O33" i="4"/>
  <c r="B76" i="1"/>
  <c r="E32" i="4"/>
  <c r="H32" i="4"/>
  <c r="K32" i="4"/>
  <c r="C76" i="1"/>
  <c r="I76" i="1" s="1"/>
  <c r="J76" i="1"/>
  <c r="Q76" i="1" s="1"/>
  <c r="O32" i="4" l="1"/>
  <c r="B75" i="1"/>
  <c r="E20" i="5" l="1" a="1"/>
  <c r="E20" i="5" s="1"/>
  <c r="E31" i="4" l="1"/>
  <c r="H31" i="4"/>
  <c r="K31" i="4"/>
  <c r="C75" i="1"/>
  <c r="J75" i="1"/>
  <c r="Q75" i="1" s="1"/>
  <c r="O31" i="4" l="1"/>
  <c r="I75" i="1"/>
  <c r="B74" i="1"/>
  <c r="C74" i="1"/>
  <c r="J74" i="1"/>
  <c r="Q74" i="1" s="1"/>
  <c r="E30" i="4"/>
  <c r="H30" i="4"/>
  <c r="K30" i="4"/>
  <c r="O30" i="4" l="1"/>
  <c r="I74" i="1"/>
  <c r="E29" i="4"/>
  <c r="H29" i="4"/>
  <c r="K29" i="4"/>
  <c r="B73" i="1"/>
  <c r="C73" i="1"/>
  <c r="J73" i="1"/>
  <c r="Q73" i="1" s="1"/>
  <c r="O29" i="4" l="1"/>
  <c r="I73" i="1"/>
  <c r="E28" i="4"/>
  <c r="H28" i="4"/>
  <c r="K28" i="4"/>
  <c r="B72" i="1"/>
  <c r="C72" i="1"/>
  <c r="J72" i="1"/>
  <c r="Q72" i="1" s="1"/>
  <c r="I72" i="1" l="1"/>
  <c r="O28" i="4"/>
  <c r="B71" i="1"/>
  <c r="E27" i="4"/>
  <c r="C71" i="1"/>
  <c r="J71" i="1"/>
  <c r="Q71" i="1" s="1"/>
  <c r="I71" i="1" l="1"/>
  <c r="E26" i="4"/>
  <c r="B70" i="1"/>
  <c r="C70" i="1"/>
  <c r="J70" i="1"/>
  <c r="Q70" i="1" s="1"/>
  <c r="I70" i="1" l="1"/>
  <c r="B69" i="1"/>
  <c r="E25" i="4"/>
  <c r="C69" i="1"/>
  <c r="J69" i="1"/>
  <c r="Q69" i="1" s="1"/>
  <c r="I69" i="1" l="1"/>
  <c r="B68" i="1"/>
  <c r="E24" i="4"/>
  <c r="C68" i="1"/>
  <c r="J68" i="1"/>
  <c r="Q68" i="1" s="1"/>
  <c r="I68" i="1" l="1"/>
  <c r="E23" i="4"/>
  <c r="B67" i="1"/>
  <c r="J67" i="1"/>
  <c r="Q67" i="1" s="1"/>
  <c r="C67" i="1"/>
  <c r="I67" i="1" l="1"/>
  <c r="B66" i="1"/>
  <c r="E22" i="4"/>
  <c r="C66" i="1"/>
  <c r="J66" i="1"/>
  <c r="Q66" i="1" s="1"/>
  <c r="I66" i="1" l="1"/>
  <c r="E21" i="4"/>
  <c r="B65" i="1"/>
  <c r="C65" i="1"/>
  <c r="J65" i="1"/>
  <c r="Q65" i="1" s="1"/>
  <c r="I65" i="1" l="1"/>
  <c r="B64" i="1"/>
  <c r="E20" i="4"/>
  <c r="C64" i="1"/>
  <c r="J64" i="1"/>
  <c r="Q64" i="1" s="1"/>
  <c r="I64" i="1" l="1"/>
  <c r="E19" i="4"/>
  <c r="B63" i="1"/>
  <c r="C63" i="1"/>
  <c r="J63" i="1"/>
  <c r="Q63" i="1" s="1"/>
  <c r="I63" i="1" l="1"/>
  <c r="B62" i="1"/>
  <c r="E18" i="4"/>
  <c r="C62" i="1"/>
  <c r="I62" i="1" s="1"/>
  <c r="J62" i="1"/>
  <c r="Q62" i="1" s="1"/>
  <c r="E17" i="4" l="1"/>
  <c r="B61" i="1"/>
  <c r="C61" i="1"/>
  <c r="J61" i="1"/>
  <c r="Q61" i="1" s="1"/>
  <c r="I61" i="1" l="1"/>
  <c r="B60" i="1"/>
  <c r="E16" i="4"/>
  <c r="C60" i="1"/>
  <c r="J60" i="1"/>
  <c r="Q60" i="1" s="1"/>
  <c r="I60" i="1" l="1"/>
  <c r="E15" i="4"/>
  <c r="B59" i="1"/>
  <c r="C59" i="1"/>
  <c r="J59" i="1"/>
  <c r="Q59" i="1" s="1"/>
  <c r="I59" i="1" l="1"/>
  <c r="B58" i="1"/>
  <c r="E14" i="4"/>
  <c r="C58" i="1"/>
  <c r="I58" i="1" s="1"/>
  <c r="J58" i="1"/>
  <c r="Q58" i="1" s="1"/>
  <c r="B57" i="1" l="1"/>
  <c r="E13" i="4"/>
  <c r="J57" i="1"/>
  <c r="C57" i="1"/>
  <c r="Q57" i="1"/>
  <c r="I57" i="1" l="1"/>
  <c r="J56" i="1"/>
  <c r="Q56" i="1" s="1"/>
  <c r="B56" i="1"/>
  <c r="E12" i="4"/>
  <c r="C56" i="1"/>
  <c r="I56" i="1" l="1"/>
  <c r="J55" i="1"/>
  <c r="B55" i="1"/>
  <c r="E11" i="4" l="1"/>
  <c r="C55" i="1"/>
  <c r="Q55" i="1"/>
  <c r="I55" i="1" l="1"/>
  <c r="E10" i="4"/>
  <c r="B54" i="1"/>
  <c r="C54" i="1"/>
  <c r="J54" i="1"/>
  <c r="Q54" i="1" s="1"/>
  <c r="I54" i="1" l="1"/>
  <c r="E9" i="4"/>
  <c r="B53" i="1"/>
  <c r="C53" i="1"/>
  <c r="J53" i="1"/>
  <c r="Q53" i="1" s="1"/>
  <c r="I53" i="1" l="1"/>
  <c r="B52" i="1"/>
  <c r="E8" i="4"/>
  <c r="C52" i="1"/>
  <c r="J52" i="1"/>
  <c r="Q52" i="1" s="1"/>
  <c r="I52" i="1" l="1"/>
  <c r="B51" i="1"/>
  <c r="J51" i="1"/>
  <c r="Q51" i="1" s="1"/>
  <c r="E7" i="4"/>
  <c r="C51" i="1"/>
  <c r="I51" i="1" l="1"/>
  <c r="C50" i="1"/>
  <c r="E6" i="4"/>
  <c r="O6" i="4" s="1"/>
  <c r="B50" i="1"/>
  <c r="J50" i="1"/>
  <c r="Q50" i="1" s="1"/>
  <c r="I50" i="1" l="1"/>
  <c r="C49" i="1"/>
  <c r="E5" i="4"/>
  <c r="B49" i="1"/>
  <c r="J49" i="1"/>
  <c r="Q49" i="1" s="1"/>
  <c r="I49" i="1" l="1"/>
  <c r="B48" i="1"/>
  <c r="J48" i="1" l="1"/>
  <c r="Q48" i="1" s="1"/>
  <c r="E4" i="4"/>
  <c r="C48" i="1" l="1"/>
  <c r="I48" i="1" s="1"/>
  <c r="J47" i="1"/>
  <c r="Q47" i="1" s="1"/>
  <c r="B47" i="1"/>
  <c r="E3" i="4"/>
  <c r="C47" i="1" s="1"/>
  <c r="I47" i="1" l="1"/>
  <c r="B46" i="1"/>
  <c r="I46" i="1" s="1"/>
  <c r="J46" i="1"/>
  <c r="Q46" i="1" s="1"/>
  <c r="B45" i="1" l="1"/>
  <c r="I45" i="1" s="1"/>
  <c r="J45" i="1"/>
  <c r="Q45" i="1" s="1"/>
  <c r="B44" i="1" l="1"/>
  <c r="I44" i="1" s="1"/>
  <c r="J44" i="1"/>
  <c r="Q44" i="1" s="1"/>
  <c r="B43" i="1" l="1"/>
  <c r="I43" i="1" s="1"/>
  <c r="J43" i="1"/>
  <c r="Q43" i="1" s="1"/>
  <c r="J42" i="1" l="1"/>
  <c r="B42" i="1"/>
  <c r="I42" i="1" s="1"/>
  <c r="B41" i="1" l="1"/>
  <c r="J41" i="1"/>
  <c r="J40" i="1" l="1"/>
  <c r="B40" i="1"/>
  <c r="J39" i="1" l="1"/>
  <c r="J38" i="1"/>
  <c r="J37" i="1"/>
  <c r="J36" i="1"/>
  <c r="J35" i="1" l="1"/>
  <c r="Q35" i="1" s="1"/>
  <c r="J34" i="1"/>
  <c r="J31" i="1"/>
  <c r="J32" i="1"/>
  <c r="J33" i="1"/>
  <c r="Q33" i="1" s="1"/>
  <c r="J30" i="1"/>
  <c r="B35" i="1"/>
  <c r="I35" i="1" s="1"/>
  <c r="B34" i="1"/>
  <c r="I34" i="1" s="1"/>
  <c r="B32" i="1"/>
  <c r="B33" i="1"/>
  <c r="I33" i="1" s="1"/>
  <c r="B31" i="1"/>
  <c r="B39" i="1"/>
  <c r="I39" i="1" s="1"/>
  <c r="B38" i="1"/>
  <c r="I38" i="1" s="1"/>
  <c r="B37" i="1"/>
  <c r="I37" i="1" s="1"/>
  <c r="B36" i="1"/>
  <c r="I36" i="1" s="1"/>
  <c r="B30" i="1"/>
  <c r="Q38" i="1"/>
  <c r="Q39" i="1"/>
  <c r="I40" i="1"/>
  <c r="Q40" i="1"/>
  <c r="I41" i="1"/>
  <c r="Q41" i="1"/>
  <c r="Q42" i="1"/>
  <c r="Q36" i="1"/>
  <c r="Q37" i="1"/>
  <c r="Q34" i="1"/>
  <c r="K27" i="4" l="1"/>
  <c r="H27" i="4"/>
  <c r="K26" i="4"/>
  <c r="H26" i="4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O13" i="4"/>
  <c r="O12" i="4"/>
  <c r="O11" i="4"/>
  <c r="O10" i="4"/>
  <c r="O9" i="4"/>
  <c r="O8" i="4"/>
  <c r="O7" i="4"/>
  <c r="O5" i="4"/>
  <c r="O4" i="4"/>
  <c r="O3" i="4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D11" i="2"/>
  <c r="A6" i="1"/>
  <c r="A7" i="1" s="1"/>
  <c r="A8" i="1" s="1"/>
  <c r="A9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O21" i="4" l="1"/>
  <c r="O24" i="4"/>
  <c r="O15" i="4"/>
  <c r="O27" i="4"/>
  <c r="O20" i="4"/>
  <c r="O23" i="4"/>
  <c r="O16" i="4"/>
  <c r="O25" i="4"/>
  <c r="O17" i="4"/>
  <c r="O14" i="4"/>
  <c r="O18" i="4"/>
  <c r="O22" i="4"/>
  <c r="O26" i="4"/>
  <c r="O19" i="4"/>
</calcChain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https://www.cbr.ru/currency_base/daily"/>
  </connection>
</connections>
</file>

<file path=xl/sharedStrings.xml><?xml version="1.0" encoding="utf-8"?>
<sst xmlns="http://schemas.openxmlformats.org/spreadsheetml/2006/main" count="247" uniqueCount="193">
  <si>
    <t>Total</t>
  </si>
  <si>
    <t>RUB</t>
  </si>
  <si>
    <t>USD</t>
  </si>
  <si>
    <t>EUR</t>
  </si>
  <si>
    <t>CNY</t>
  </si>
  <si>
    <t>STESHA</t>
  </si>
  <si>
    <t>…</t>
  </si>
  <si>
    <t xml:space="preserve">Detail of Time Deposit </t>
  </si>
  <si>
    <t>Start</t>
  </si>
  <si>
    <t>Deposit Rate</t>
  </si>
  <si>
    <t>Amount 
(RUB million)</t>
  </si>
  <si>
    <t>Cash in bank report (Current account)</t>
  </si>
  <si>
    <t>Time deposit account</t>
  </si>
  <si>
    <t>Date</t>
  </si>
  <si>
    <t>Unit : Million</t>
  </si>
  <si>
    <t>Daily Hard currency exchange report.</t>
  </si>
  <si>
    <t>Mln</t>
  </si>
  <si>
    <t>Rate</t>
  </si>
  <si>
    <t>Amount</t>
  </si>
  <si>
    <r>
      <t>Rate</t>
    </r>
    <r>
      <rPr>
        <b/>
        <sz val="11"/>
        <color rgb="FFFF0000"/>
        <rFont val="Arial"/>
        <family val="2"/>
        <charset val="204"/>
      </rPr>
      <t>*</t>
    </r>
  </si>
  <si>
    <t>Total Amount</t>
  </si>
  <si>
    <t>Due date</t>
  </si>
  <si>
    <t>LLC CPFO</t>
  </si>
  <si>
    <t>LLC NNPP-2</t>
  </si>
  <si>
    <t>RUR</t>
  </si>
  <si>
    <t xml:space="preserve">Short-term Loan Receivable </t>
  </si>
  <si>
    <t>Total Loan Receivable Account</t>
  </si>
  <si>
    <t xml:space="preserve">% </t>
  </si>
  <si>
    <t>LLC Myaso-Soyuz T</t>
  </si>
  <si>
    <t>LLC Agro-Soyuz TSH</t>
  </si>
  <si>
    <t>Signed date</t>
  </si>
  <si>
    <t>LLC CPF Agro</t>
  </si>
  <si>
    <t>LLC CPF S.Prudi</t>
  </si>
  <si>
    <t>LLC CPF Ryazan</t>
  </si>
  <si>
    <t>LLC NNPP</t>
  </si>
  <si>
    <t>JSC PPP</t>
  </si>
  <si>
    <t>THB</t>
  </si>
  <si>
    <t>cbr</t>
  </si>
  <si>
    <t>107016, Москва, ул. Неглинная, д. 12, к. В, Банк России</t>
  </si>
  <si>
    <t>8 800 300-30-00</t>
  </si>
  <si>
    <t>www.cbr.ru</t>
  </si>
  <si>
    <t xml:space="preserve">Поиск по сайту </t>
  </si>
  <si>
    <t>Обратиться в Банк России</t>
  </si>
  <si>
    <t>RU</t>
  </si>
  <si>
    <t>EN</t>
  </si>
  <si>
    <t>Что вы хотите найти?</t>
  </si>
  <si>
    <t>Искать</t>
  </si>
  <si>
    <t>Деятельность Финансовые рынки Документы и данные О Банке России Сервисы</t>
  </si>
  <si>
    <t>Меры защиты финансового рынка</t>
  </si>
  <si>
    <t>+</t>
  </si>
  <si>
    <t>7 499 300-30-008 800 300-30-00300Бесплатно для звонков с мобильных телефонов</t>
  </si>
  <si>
    <t>Новости Решения Банка России Контактная информация Карта сайта О сайте</t>
  </si>
  <si>
    <t>Проверить участника финансового рынка</t>
  </si>
  <si>
    <t>Базы данных</t>
  </si>
  <si>
    <t>База данных по курсам валют</t>
  </si>
  <si>
    <t>Официальные курсы валют на заданную дату, устанавливаемые ежедневно</t>
  </si>
  <si>
    <t>Цифр. код</t>
  </si>
  <si>
    <t>Букв. код</t>
  </si>
  <si>
    <t>Единиц</t>
  </si>
  <si>
    <t>Валюта</t>
  </si>
  <si>
    <t>Курс</t>
  </si>
  <si>
    <t>AUD</t>
  </si>
  <si>
    <t>Австралийский доллар</t>
  </si>
  <si>
    <t>AZN</t>
  </si>
  <si>
    <t>Азербайджанский манат</t>
  </si>
  <si>
    <t>DZD</t>
  </si>
  <si>
    <t>Алжирских динаров</t>
  </si>
  <si>
    <t>AMD</t>
  </si>
  <si>
    <t>Армянских драмов</t>
  </si>
  <si>
    <t>Батов</t>
  </si>
  <si>
    <t>BHD</t>
  </si>
  <si>
    <t>Бахрейнский динар</t>
  </si>
  <si>
    <t>BYN</t>
  </si>
  <si>
    <t>Белорусский рубль</t>
  </si>
  <si>
    <t>BGN</t>
  </si>
  <si>
    <t>Болгарский лев</t>
  </si>
  <si>
    <t>BOB</t>
  </si>
  <si>
    <t>Боливиано</t>
  </si>
  <si>
    <t>BRL</t>
  </si>
  <si>
    <t>Бразильский реал</t>
  </si>
  <si>
    <t>KRW</t>
  </si>
  <si>
    <t>Вон</t>
  </si>
  <si>
    <t>HKD</t>
  </si>
  <si>
    <t>Гонконгский доллар</t>
  </si>
  <si>
    <t>UAH</t>
  </si>
  <si>
    <t>Гривен</t>
  </si>
  <si>
    <t>DKK</t>
  </si>
  <si>
    <t>Датская крона</t>
  </si>
  <si>
    <t>AED</t>
  </si>
  <si>
    <t>Дирхам ОАЭ</t>
  </si>
  <si>
    <t>Доллар США</t>
  </si>
  <si>
    <t>VND</t>
  </si>
  <si>
    <t>Донгов</t>
  </si>
  <si>
    <t>Евро</t>
  </si>
  <si>
    <t>EGP</t>
  </si>
  <si>
    <t>Египетских фунтов</t>
  </si>
  <si>
    <t>PLN</t>
  </si>
  <si>
    <t>Злотый</t>
  </si>
  <si>
    <t>JPY</t>
  </si>
  <si>
    <t>Иен</t>
  </si>
  <si>
    <t>INR</t>
  </si>
  <si>
    <t>Индийских рупий</t>
  </si>
  <si>
    <t>IRR</t>
  </si>
  <si>
    <t>Иранских риалов</t>
  </si>
  <si>
    <t>CAD</t>
  </si>
  <si>
    <t>Канадский доллар</t>
  </si>
  <si>
    <t>QAR</t>
  </si>
  <si>
    <t>Катарский риал</t>
  </si>
  <si>
    <t>CUP</t>
  </si>
  <si>
    <t>Кубинских песо</t>
  </si>
  <si>
    <t>MMK</t>
  </si>
  <si>
    <t>Кьятов</t>
  </si>
  <si>
    <t>GEL</t>
  </si>
  <si>
    <t>Лари</t>
  </si>
  <si>
    <t>MDL</t>
  </si>
  <si>
    <t>Молдавских леев</t>
  </si>
  <si>
    <t>NGN</t>
  </si>
  <si>
    <t>Найр</t>
  </si>
  <si>
    <t>NZD</t>
  </si>
  <si>
    <t>Новозеландский доллар</t>
  </si>
  <si>
    <t>TMT</t>
  </si>
  <si>
    <t>Новый туркменский манат</t>
  </si>
  <si>
    <t>NOK</t>
  </si>
  <si>
    <t>Норвежских крон</t>
  </si>
  <si>
    <t>OMR</t>
  </si>
  <si>
    <t>Оманский риал</t>
  </si>
  <si>
    <t>RON</t>
  </si>
  <si>
    <t>Румынский лей</t>
  </si>
  <si>
    <t>IDR</t>
  </si>
  <si>
    <t>Рупий</t>
  </si>
  <si>
    <t>ZAR</t>
  </si>
  <si>
    <t>Рэндов</t>
  </si>
  <si>
    <t>SAR</t>
  </si>
  <si>
    <t>Саудовский риял</t>
  </si>
  <si>
    <t>XDR</t>
  </si>
  <si>
    <t>СДР (специальные права заимствования)</t>
  </si>
  <si>
    <t>RSD</t>
  </si>
  <si>
    <t>Сербских динаров</t>
  </si>
  <si>
    <t>SGD</t>
  </si>
  <si>
    <t>Сингапурский доллар</t>
  </si>
  <si>
    <t>KGS</t>
  </si>
  <si>
    <t>Сомов</t>
  </si>
  <si>
    <t>TJS</t>
  </si>
  <si>
    <t>Сомони</t>
  </si>
  <si>
    <t>BDT</t>
  </si>
  <si>
    <t>Так</t>
  </si>
  <si>
    <t>KZT</t>
  </si>
  <si>
    <t>Тенге</t>
  </si>
  <si>
    <t>MNT</t>
  </si>
  <si>
    <t>Тугриков</t>
  </si>
  <si>
    <t>TRY</t>
  </si>
  <si>
    <t>Турецких лир</t>
  </si>
  <si>
    <t>UZS</t>
  </si>
  <si>
    <t>Узбекских сумов</t>
  </si>
  <si>
    <t>HUF</t>
  </si>
  <si>
    <t>Форинтов</t>
  </si>
  <si>
    <t>GBP</t>
  </si>
  <si>
    <t>Фунт стерлингов</t>
  </si>
  <si>
    <t>CZK</t>
  </si>
  <si>
    <t>Чешских крон</t>
  </si>
  <si>
    <t>SEK</t>
  </si>
  <si>
    <t>Шведских крон</t>
  </si>
  <si>
    <t>CHF</t>
  </si>
  <si>
    <t>Швейцарский франк</t>
  </si>
  <si>
    <t>ETB</t>
  </si>
  <si>
    <t>Эфиопских быров</t>
  </si>
  <si>
    <t>Юань</t>
  </si>
  <si>
    <t>Сохранить в PDF</t>
  </si>
  <si>
    <t>Копировать ссылку</t>
  </si>
  <si>
    <t>Страница была полезной?</t>
  </si>
  <si>
    <t>Да Нет</t>
  </si>
  <si>
    <t>Наверх</t>
  </si>
  <si>
    <t>300(круглосуточно, бесплатно для звонков с мобильных телефонов)</t>
  </si>
  <si>
    <t>8 800 300-30-00(круглосуточно, бесплатно для звонков из регионов России)</t>
  </si>
  <si>
    <t>+7 499 300-30-00(круглосуточно, в соответствии с тарифами вашего оператора)</t>
  </si>
  <si>
    <t>Личный кабинет участников рынка</t>
  </si>
  <si>
    <t>Отношения с инвесторами</t>
  </si>
  <si>
    <t>Перечень инсайдерской информации Банка России</t>
  </si>
  <si>
    <t>Официальное опубликование нормативных актов Банка России</t>
  </si>
  <si>
    <t>Проекты нормативных актов Банка России</t>
  </si>
  <si>
    <t>Перечень нерабочих праздничных дней и перенесенных выходных дней</t>
  </si>
  <si>
    <t>О сайте</t>
  </si>
  <si>
    <t>Контакты</t>
  </si>
  <si>
    <t>Противодействие коррупции</t>
  </si>
  <si>
    <t>Технические ресурсы</t>
  </si>
  <si>
    <t>Версия для слабовидящихОбычная версия</t>
  </si>
  <si>
    <t>© Банк России, 2000–2025.</t>
  </si>
  <si>
    <t xml:space="preserve">Дизайн сайта — </t>
  </si>
  <si>
    <t>На сайте Банка России используются файлы cookie</t>
  </si>
  <si>
    <t>Оставаясь на www.cbr.ru, вы принимаете пользовательское соглашение</t>
  </si>
  <si>
    <t>Подтвердить</t>
  </si>
  <si>
    <t>Центральный банк Российской Федерации установил с 12.08.2025 следующие курсы иностранных валют к рублю Российской Федерации без обязательств Банка России покупать или продавать указанные валюты по данному курсу</t>
  </si>
  <si>
    <t>Последнее обновление страницы: 11.08.2025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</si>
</sst>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р_._-;\-* #,##0.00\ _р_._-;_-* &quot;-&quot;??\ _р_._-;_-@_-"/>
    <numFmt numFmtId="166" formatCode="[$-409]dd\-mmm\-yy;@"/>
    <numFmt numFmtId="167" formatCode="[$-1010000]d/m/yyyy;@"/>
    <numFmt numFmtId="168" formatCode="_(* #,##0.00_);_(* \(#,##0.00\);_(* &quot;-&quot;??_);_(@_)"/>
    <numFmt numFmtId="169" formatCode="_(* #,##0_);_(* \(#,##0\);_(* &quot;-&quot;??_);_(@_)"/>
    <numFmt numFmtId="170" formatCode="#,##0.0"/>
    <numFmt numFmtId="171" formatCode="dd\/mm\/yy"/>
  </numFmts>
  <fonts count="3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u/>
      <sz val="14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CC"/>
      <name val="Arial"/>
      <family val="2"/>
    </font>
    <font>
      <sz val="10"/>
      <color rgb="FF0000C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CC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  <charset val="204"/>
    </font>
    <font>
      <sz val="11"/>
      <name val="Arial"/>
      <family val="2"/>
    </font>
    <font>
      <sz val="11"/>
      <color rgb="FF0000CC"/>
      <name val="Arial"/>
      <family val="2"/>
    </font>
    <font>
      <i/>
      <sz val="11"/>
      <color rgb="FF7F7F7F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2"/>
      <name val="Calibri"/>
      <family val="2"/>
      <charset val="204"/>
      <scheme val="minor"/>
    </font>
    <font>
      <b/>
      <sz val="18"/>
      <color theme="3"/>
      <name val="Calibri Light"/>
      <family val="2"/>
      <charset val="162"/>
      <scheme val="major"/>
    </font>
    <font>
      <b/>
      <sz val="12"/>
      <color rgb="FF0000FF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charset val="16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20" applyNumberFormat="0" applyFill="0" applyAlignment="0" applyProtection="0"/>
  </cellStyleXfs>
  <cellXfs count="76">
    <xf numFmtId="0" fontId="0" fillId="0" borderId="0" xfId="0"/>
    <xf numFmtId="166" fontId="5" fillId="0" borderId="5" xfId="1" applyNumberFormat="1" applyFont="1" applyFill="1" applyBorder="1" applyAlignment="1">
      <alignment horizontal="center"/>
    </xf>
    <xf numFmtId="167" fontId="2" fillId="0" borderId="4" xfId="0" applyNumberFormat="1" applyFont="1" applyBorder="1"/>
    <xf numFmtId="167" fontId="2" fillId="0" borderId="3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0" fontId="8" fillId="3" borderId="7" xfId="4" applyNumberFormat="1" applyFont="1" applyFill="1" applyBorder="1" applyAlignment="1">
      <alignment horizontal="center"/>
    </xf>
    <xf numFmtId="169" fontId="8" fillId="3" borderId="7" xfId="3" applyNumberFormat="1" applyFont="1" applyFill="1" applyBorder="1"/>
    <xf numFmtId="10" fontId="10" fillId="2" borderId="2" xfId="4" applyNumberFormat="1" applyFont="1" applyFill="1" applyBorder="1" applyAlignment="1">
      <alignment horizontal="center"/>
    </xf>
    <xf numFmtId="169" fontId="10" fillId="2" borderId="2" xfId="3" applyNumberFormat="1" applyFont="1" applyFill="1" applyBorder="1"/>
    <xf numFmtId="0" fontId="13" fillId="0" borderId="0" xfId="0" applyFont="1"/>
    <xf numFmtId="0" fontId="2" fillId="4" borderId="2" xfId="0" applyFont="1" applyFill="1" applyBorder="1" applyAlignment="1">
      <alignment horizontal="center"/>
    </xf>
    <xf numFmtId="170" fontId="0" fillId="0" borderId="4" xfId="0" applyNumberFormat="1" applyBorder="1"/>
    <xf numFmtId="170" fontId="0" fillId="0" borderId="7" xfId="0" applyNumberFormat="1" applyBorder="1"/>
    <xf numFmtId="170" fontId="2" fillId="0" borderId="6" xfId="0" applyNumberFormat="1" applyFont="1" applyBorder="1"/>
    <xf numFmtId="170" fontId="0" fillId="0" borderId="3" xfId="0" applyNumberFormat="1" applyBorder="1"/>
    <xf numFmtId="170" fontId="0" fillId="0" borderId="3" xfId="2" applyNumberFormat="1" applyFont="1" applyBorder="1"/>
    <xf numFmtId="170" fontId="2" fillId="0" borderId="3" xfId="0" applyNumberFormat="1" applyFont="1" applyBorder="1"/>
    <xf numFmtId="0" fontId="14" fillId="0" borderId="0" xfId="5" applyFont="1" applyAlignment="1">
      <alignment horizontal="center" vertical="center"/>
    </xf>
    <xf numFmtId="168" fontId="14" fillId="0" borderId="0" xfId="6" applyFont="1" applyAlignment="1">
      <alignment horizontal="left" vertical="center"/>
    </xf>
    <xf numFmtId="0" fontId="15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171" fontId="17" fillId="0" borderId="2" xfId="5" applyNumberFormat="1" applyFont="1" applyBorder="1" applyAlignment="1">
      <alignment horizontal="center" vertical="center"/>
    </xf>
    <xf numFmtId="0" fontId="17" fillId="0" borderId="8" xfId="5" applyFont="1" applyBorder="1" applyAlignment="1">
      <alignment horizontal="center" vertical="center"/>
    </xf>
    <xf numFmtId="0" fontId="17" fillId="0" borderId="10" xfId="5" applyFont="1" applyBorder="1" applyAlignment="1">
      <alignment horizontal="center" vertical="center"/>
    </xf>
    <xf numFmtId="0" fontId="17" fillId="0" borderId="9" xfId="5" applyFont="1" applyBorder="1" applyAlignment="1">
      <alignment horizontal="center" vertical="center"/>
    </xf>
    <xf numFmtId="0" fontId="17" fillId="0" borderId="2" xfId="5" applyFont="1" applyBorder="1" applyAlignment="1">
      <alignment horizontal="center" vertical="center"/>
    </xf>
    <xf numFmtId="4" fontId="16" fillId="0" borderId="0" xfId="5" applyNumberFormat="1" applyFont="1" applyAlignment="1">
      <alignment horizontal="center" vertical="center"/>
    </xf>
    <xf numFmtId="4" fontId="19" fillId="0" borderId="14" xfId="5" applyNumberFormat="1" applyFont="1" applyBorder="1" applyAlignment="1">
      <alignment horizontal="center" vertical="center"/>
    </xf>
    <xf numFmtId="4" fontId="19" fillId="0" borderId="15" xfId="5" applyNumberFormat="1" applyFont="1" applyBorder="1" applyAlignment="1">
      <alignment horizontal="center" vertical="center"/>
    </xf>
    <xf numFmtId="37" fontId="19" fillId="0" borderId="16" xfId="5" applyNumberFormat="1" applyFont="1" applyBorder="1" applyAlignment="1">
      <alignment horizontal="center" vertical="center"/>
    </xf>
    <xf numFmtId="39" fontId="19" fillId="0" borderId="16" xfId="5" applyNumberFormat="1" applyFont="1" applyBorder="1" applyAlignment="1">
      <alignment horizontal="center" vertical="center"/>
    </xf>
    <xf numFmtId="3" fontId="19" fillId="0" borderId="13" xfId="5" applyNumberFormat="1" applyFont="1" applyBorder="1" applyAlignment="1">
      <alignment horizontal="center" vertical="center"/>
    </xf>
    <xf numFmtId="171" fontId="16" fillId="0" borderId="3" xfId="5" applyNumberFormat="1" applyFont="1" applyBorder="1" applyAlignment="1">
      <alignment horizontal="center" vertical="center"/>
    </xf>
    <xf numFmtId="4" fontId="20" fillId="0" borderId="17" xfId="5" applyNumberFormat="1" applyFont="1" applyBorder="1" applyAlignment="1">
      <alignment horizontal="center" vertical="center"/>
    </xf>
    <xf numFmtId="4" fontId="20" fillId="0" borderId="18" xfId="5" applyNumberFormat="1" applyFont="1" applyBorder="1" applyAlignment="1">
      <alignment horizontal="center" vertical="center"/>
    </xf>
    <xf numFmtId="37" fontId="16" fillId="0" borderId="19" xfId="5" applyNumberFormat="1" applyFont="1" applyBorder="1" applyAlignment="1">
      <alignment horizontal="center" vertical="center"/>
    </xf>
    <xf numFmtId="3" fontId="16" fillId="0" borderId="3" xfId="5" applyNumberFormat="1" applyFont="1" applyBorder="1" applyAlignment="1">
      <alignment horizontal="center" vertical="center"/>
    </xf>
    <xf numFmtId="4" fontId="16" fillId="0" borderId="17" xfId="5" applyNumberFormat="1" applyFont="1" applyBorder="1" applyAlignment="1">
      <alignment horizontal="center" vertical="center"/>
    </xf>
    <xf numFmtId="4" fontId="16" fillId="0" borderId="18" xfId="5" applyNumberFormat="1" applyFont="1" applyBorder="1" applyAlignment="1">
      <alignment horizontal="center" vertical="center"/>
    </xf>
    <xf numFmtId="171" fontId="16" fillId="0" borderId="0" xfId="5" applyNumberFormat="1" applyFont="1" applyAlignment="1">
      <alignment horizontal="center" vertical="center"/>
    </xf>
    <xf numFmtId="0" fontId="23" fillId="5" borderId="21" xfId="8" applyFont="1" applyFill="1" applyBorder="1"/>
    <xf numFmtId="14" fontId="23" fillId="5" borderId="21" xfId="8" applyNumberFormat="1" applyFont="1" applyFill="1" applyBorder="1" applyAlignment="1">
      <alignment horizontal="center"/>
    </xf>
    <xf numFmtId="0" fontId="23" fillId="5" borderId="21" xfId="8" applyFont="1" applyFill="1" applyBorder="1" applyAlignment="1">
      <alignment horizontal="center"/>
    </xf>
    <xf numFmtId="0" fontId="25" fillId="0" borderId="0" xfId="7" applyFont="1" applyFill="1" applyBorder="1"/>
    <xf numFmtId="14" fontId="25" fillId="0" borderId="0" xfId="7" applyNumberFormat="1" applyFont="1" applyFill="1" applyBorder="1" applyAlignment="1">
      <alignment horizontal="center"/>
    </xf>
    <xf numFmtId="0" fontId="26" fillId="0" borderId="0" xfId="7" applyFont="1" applyFill="1" applyBorder="1"/>
    <xf numFmtId="0" fontId="26" fillId="0" borderId="0" xfId="7" applyFont="1" applyFill="1" applyBorder="1" applyAlignment="1">
      <alignment horizontal="center"/>
    </xf>
    <xf numFmtId="0" fontId="27" fillId="0" borderId="0" xfId="8" applyFont="1" applyFill="1" applyBorder="1"/>
    <xf numFmtId="14" fontId="27" fillId="0" borderId="0" xfId="8" applyNumberFormat="1" applyFont="1" applyFill="1" applyBorder="1" applyAlignment="1">
      <alignment horizontal="center"/>
    </xf>
    <xf numFmtId="0" fontId="28" fillId="0" borderId="0" xfId="8" applyFont="1" applyFill="1" applyBorder="1"/>
    <xf numFmtId="0" fontId="27" fillId="0" borderId="0" xfId="7" applyFont="1" applyFill="1" applyBorder="1" applyAlignment="1">
      <alignment horizontal="center"/>
    </xf>
    <xf numFmtId="0" fontId="29" fillId="5" borderId="10" xfId="10" applyFont="1" applyFill="1" applyBorder="1"/>
    <xf numFmtId="14" fontId="29" fillId="5" borderId="10" xfId="10" applyNumberFormat="1" applyFont="1" applyFill="1" applyBorder="1" applyAlignment="1">
      <alignment horizontal="center"/>
    </xf>
    <xf numFmtId="10" fontId="30" fillId="5" borderId="10" xfId="10" applyNumberFormat="1" applyFont="1" applyFill="1" applyBorder="1"/>
    <xf numFmtId="3" fontId="31" fillId="5" borderId="10" xfId="10" applyNumberFormat="1" applyFont="1" applyFill="1" applyBorder="1"/>
    <xf numFmtId="0" fontId="28" fillId="5" borderId="10" xfId="10" applyFont="1" applyFill="1" applyBorder="1" applyAlignment="1">
      <alignment horizontal="center"/>
    </xf>
    <xf numFmtId="3" fontId="23" fillId="5" borderId="21" xfId="8" applyNumberFormat="1" applyFont="1" applyFill="1" applyBorder="1" applyAlignment="1">
      <alignment horizontal="center"/>
    </xf>
    <xf numFmtId="10" fontId="26" fillId="0" borderId="0" xfId="7" applyNumberFormat="1" applyFont="1" applyFill="1" applyBorder="1" applyAlignment="1">
      <alignment horizontal="center"/>
    </xf>
    <xf numFmtId="0" fontId="28" fillId="0" borderId="0" xfId="8" applyFont="1" applyFill="1" applyBorder="1" applyAlignment="1">
      <alignment horizontal="center"/>
    </xf>
    <xf numFmtId="3" fontId="26" fillId="0" borderId="0" xfId="8" applyNumberFormat="1" applyFont="1" applyFill="1" applyBorder="1" applyAlignment="1">
      <alignment horizontal="center"/>
    </xf>
    <xf numFmtId="169" fontId="0" fillId="0" borderId="0" xfId="0" applyNumberFormat="1"/>
    <xf numFmtId="14" fontId="27" fillId="0" borderId="0" xfId="8" applyNumberFormat="1" applyFont="1" applyFill="1" applyBorder="1"/>
    <xf numFmtId="14" fontId="0" fillId="0" borderId="0" xfId="0" applyNumberFormat="1"/>
    <xf numFmtId="3" fontId="0" fillId="0" borderId="0" xfId="0" applyNumberFormat="1"/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</cellXfs>
  <cellStyles count="11">
    <cellStyle name="Comma 2" xfId="6"/>
    <cellStyle name="Explanatory Text 2" xfId="7"/>
    <cellStyle name="Heading 3 2" xfId="10"/>
    <cellStyle name="Heading 4 2" xfId="8"/>
    <cellStyle name="Normal 2" xfId="5"/>
    <cellStyle name="Title 2" xfId="9"/>
    <cellStyle name="Заголовок 1" xfId="1" builtinId="16"/>
    <cellStyle name="Обычный" xfId="0" builtinId="0"/>
    <cellStyle name="Процентный" xfId="4" builtinId="5"/>
    <cellStyle name="Финансовый" xfId="3" builtinId="3"/>
    <cellStyle name="Финансовый 4" xfId="2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i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6"/>
  <sheetViews>
    <sheetView showGridLines="0" tabSelected="1" workbookViewId="0">
      <pane xSplit="1" ySplit="3" topLeftCell="B577" activePane="bottomRight" state="frozen"/>
      <selection pane="topRight" activeCell="B1" sqref="B1"/>
      <selection pane="bottomLeft" activeCell="A4" sqref="A4"/>
      <selection pane="bottomRight" activeCell="B586" sqref="B586"/>
    </sheetView>
  </sheetViews>
  <sheetFormatPr defaultRowHeight="14.5" x14ac:dyDescent="0.35"/>
  <cols>
    <col min="1" max="1" width="17.81640625" customWidth="1"/>
    <col min="2" max="2" width="11.36328125" bestFit="1" customWidth="1"/>
    <col min="3" max="17" width="11" customWidth="1"/>
  </cols>
  <sheetData>
    <row r="1" spans="1:17" ht="18.5" x14ac:dyDescent="0.45">
      <c r="A1" s="1" t="s">
        <v>5</v>
      </c>
      <c r="Q1" s="14" t="s">
        <v>14</v>
      </c>
    </row>
    <row r="2" spans="1:17" ht="17.5" customHeight="1" x14ac:dyDescent="0.35">
      <c r="A2" s="72" t="s">
        <v>13</v>
      </c>
      <c r="B2" s="69" t="s">
        <v>11</v>
      </c>
      <c r="C2" s="70"/>
      <c r="D2" s="70"/>
      <c r="E2" s="70"/>
      <c r="F2" s="70"/>
      <c r="G2" s="70"/>
      <c r="H2" s="70"/>
      <c r="I2" s="71"/>
      <c r="J2" s="69" t="s">
        <v>12</v>
      </c>
      <c r="K2" s="70"/>
      <c r="L2" s="70"/>
      <c r="M2" s="70"/>
      <c r="N2" s="70"/>
      <c r="O2" s="70"/>
      <c r="P2" s="70"/>
      <c r="Q2" s="71"/>
    </row>
    <row r="3" spans="1:17" x14ac:dyDescent="0.35">
      <c r="A3" s="73"/>
      <c r="B3" s="15" t="s">
        <v>1</v>
      </c>
      <c r="C3" s="15" t="s">
        <v>2</v>
      </c>
      <c r="D3" s="15" t="s">
        <v>3</v>
      </c>
      <c r="E3" s="15" t="s">
        <v>4</v>
      </c>
      <c r="F3" s="15" t="s">
        <v>36</v>
      </c>
      <c r="G3" s="15" t="s">
        <v>6</v>
      </c>
      <c r="H3" s="15" t="s">
        <v>6</v>
      </c>
      <c r="I3" s="15" t="s">
        <v>0</v>
      </c>
      <c r="J3" s="15" t="s">
        <v>1</v>
      </c>
      <c r="K3" s="15" t="s">
        <v>2</v>
      </c>
      <c r="L3" s="15" t="s">
        <v>3</v>
      </c>
      <c r="M3" s="15" t="s">
        <v>4</v>
      </c>
      <c r="N3" s="15" t="s">
        <v>36</v>
      </c>
      <c r="O3" s="15" t="s">
        <v>6</v>
      </c>
      <c r="P3" s="15" t="s">
        <v>6</v>
      </c>
      <c r="Q3" s="15" t="s">
        <v>0</v>
      </c>
    </row>
    <row r="4" spans="1:17" x14ac:dyDescent="0.35">
      <c r="A4" s="2">
        <v>45036</v>
      </c>
      <c r="B4" s="16"/>
      <c r="C4" s="16"/>
      <c r="D4" s="16"/>
      <c r="E4" s="16"/>
      <c r="F4" s="16"/>
      <c r="G4" s="16"/>
      <c r="H4" s="17"/>
      <c r="I4" s="18">
        <f>SUM(B4:H4)</f>
        <v>0</v>
      </c>
      <c r="J4" s="16"/>
      <c r="K4" s="16"/>
      <c r="L4" s="16"/>
      <c r="M4" s="16"/>
      <c r="N4" s="16"/>
      <c r="O4" s="16"/>
      <c r="P4" s="17"/>
      <c r="Q4" s="18">
        <f>SUM(J4:P4)</f>
        <v>0</v>
      </c>
    </row>
    <row r="5" spans="1:17" x14ac:dyDescent="0.35">
      <c r="A5" s="3">
        <v>45039</v>
      </c>
      <c r="B5" s="19"/>
      <c r="C5" s="20"/>
      <c r="D5" s="20"/>
      <c r="E5" s="20"/>
      <c r="F5" s="20"/>
      <c r="G5" s="20"/>
      <c r="H5" s="20"/>
      <c r="I5" s="21">
        <f t="shared" ref="I5:I32" si="0">SUM(B5:H5)</f>
        <v>0</v>
      </c>
      <c r="J5" s="19"/>
      <c r="K5" s="20"/>
      <c r="L5" s="20"/>
      <c r="M5" s="20"/>
      <c r="N5" s="20"/>
      <c r="O5" s="20"/>
      <c r="P5" s="20"/>
      <c r="Q5" s="21">
        <f t="shared" ref="Q5:Q32" si="1">SUM(J5:P5)</f>
        <v>0</v>
      </c>
    </row>
    <row r="6" spans="1:17" x14ac:dyDescent="0.35">
      <c r="A6" s="3">
        <f t="shared" ref="A6:A43" si="2">+A5+1</f>
        <v>45040</v>
      </c>
      <c r="B6" s="19"/>
      <c r="C6" s="20"/>
      <c r="D6" s="20"/>
      <c r="E6" s="20"/>
      <c r="F6" s="20"/>
      <c r="G6" s="20"/>
      <c r="H6" s="20"/>
      <c r="I6" s="21">
        <f t="shared" si="0"/>
        <v>0</v>
      </c>
      <c r="J6" s="19"/>
      <c r="K6" s="20"/>
      <c r="L6" s="20"/>
      <c r="M6" s="20"/>
      <c r="N6" s="20"/>
      <c r="O6" s="20"/>
      <c r="P6" s="20"/>
      <c r="Q6" s="21">
        <f t="shared" si="1"/>
        <v>0</v>
      </c>
    </row>
    <row r="7" spans="1:17" x14ac:dyDescent="0.35">
      <c r="A7" s="3">
        <f t="shared" si="2"/>
        <v>45041</v>
      </c>
      <c r="B7" s="19"/>
      <c r="C7" s="20"/>
      <c r="D7" s="20"/>
      <c r="E7" s="20"/>
      <c r="F7" s="20"/>
      <c r="G7" s="20"/>
      <c r="H7" s="20"/>
      <c r="I7" s="21">
        <f t="shared" si="0"/>
        <v>0</v>
      </c>
      <c r="J7" s="19"/>
      <c r="K7" s="20"/>
      <c r="L7" s="20"/>
      <c r="M7" s="20"/>
      <c r="N7" s="20"/>
      <c r="O7" s="20"/>
      <c r="P7" s="20"/>
      <c r="Q7" s="21">
        <f t="shared" si="1"/>
        <v>0</v>
      </c>
    </row>
    <row r="8" spans="1:17" x14ac:dyDescent="0.35">
      <c r="A8" s="3">
        <f t="shared" si="2"/>
        <v>45042</v>
      </c>
      <c r="B8" s="19"/>
      <c r="C8" s="20"/>
      <c r="D8" s="20"/>
      <c r="E8" s="20"/>
      <c r="F8" s="20"/>
      <c r="G8" s="20"/>
      <c r="H8" s="20"/>
      <c r="I8" s="21">
        <f t="shared" si="0"/>
        <v>0</v>
      </c>
      <c r="J8" s="19"/>
      <c r="K8" s="20"/>
      <c r="L8" s="20"/>
      <c r="M8" s="20"/>
      <c r="N8" s="20"/>
      <c r="O8" s="20"/>
      <c r="P8" s="20"/>
      <c r="Q8" s="21">
        <f t="shared" si="1"/>
        <v>0</v>
      </c>
    </row>
    <row r="9" spans="1:17" x14ac:dyDescent="0.35">
      <c r="A9" s="3">
        <f t="shared" si="2"/>
        <v>45043</v>
      </c>
      <c r="B9" s="19"/>
      <c r="C9" s="20"/>
      <c r="D9" s="20"/>
      <c r="E9" s="20"/>
      <c r="F9" s="20"/>
      <c r="G9" s="20"/>
      <c r="H9" s="20"/>
      <c r="I9" s="21">
        <f t="shared" si="0"/>
        <v>0</v>
      </c>
      <c r="J9" s="19"/>
      <c r="K9" s="20"/>
      <c r="L9" s="20"/>
      <c r="M9" s="20"/>
      <c r="N9" s="20"/>
      <c r="O9" s="20"/>
      <c r="P9" s="20"/>
      <c r="Q9" s="21">
        <f t="shared" si="1"/>
        <v>0</v>
      </c>
    </row>
    <row r="10" spans="1:17" x14ac:dyDescent="0.35">
      <c r="A10" s="3">
        <v>45046</v>
      </c>
      <c r="B10" s="19"/>
      <c r="C10" s="20"/>
      <c r="D10" s="20"/>
      <c r="E10" s="20"/>
      <c r="F10" s="20"/>
      <c r="G10" s="20"/>
      <c r="H10" s="20"/>
      <c r="I10" s="21">
        <f t="shared" si="0"/>
        <v>0</v>
      </c>
      <c r="J10" s="19"/>
      <c r="K10" s="20"/>
      <c r="L10" s="20"/>
      <c r="M10" s="20"/>
      <c r="N10" s="20"/>
      <c r="O10" s="20"/>
      <c r="P10" s="20"/>
      <c r="Q10" s="21">
        <f t="shared" si="1"/>
        <v>0</v>
      </c>
    </row>
    <row r="11" spans="1:17" x14ac:dyDescent="0.35">
      <c r="A11" s="3">
        <f t="shared" si="2"/>
        <v>45047</v>
      </c>
      <c r="B11" s="19"/>
      <c r="C11" s="20"/>
      <c r="D11" s="20"/>
      <c r="E11" s="20"/>
      <c r="F11" s="20"/>
      <c r="G11" s="20"/>
      <c r="H11" s="20"/>
      <c r="I11" s="21">
        <f t="shared" si="0"/>
        <v>0</v>
      </c>
      <c r="J11" s="19"/>
      <c r="K11" s="20"/>
      <c r="L11" s="20"/>
      <c r="M11" s="20"/>
      <c r="N11" s="20"/>
      <c r="O11" s="20"/>
      <c r="P11" s="20"/>
      <c r="Q11" s="21">
        <f t="shared" si="1"/>
        <v>0</v>
      </c>
    </row>
    <row r="12" spans="1:17" x14ac:dyDescent="0.35">
      <c r="A12" s="3">
        <f t="shared" si="2"/>
        <v>45048</v>
      </c>
      <c r="B12" s="19"/>
      <c r="C12" s="20"/>
      <c r="D12" s="20"/>
      <c r="E12" s="20"/>
      <c r="F12" s="20"/>
      <c r="G12" s="20"/>
      <c r="H12" s="20"/>
      <c r="I12" s="21">
        <f t="shared" si="0"/>
        <v>0</v>
      </c>
      <c r="J12" s="19"/>
      <c r="K12" s="20"/>
      <c r="L12" s="20"/>
      <c r="M12" s="20"/>
      <c r="N12" s="20"/>
      <c r="O12" s="20"/>
      <c r="P12" s="20"/>
      <c r="Q12" s="21">
        <f t="shared" si="1"/>
        <v>0</v>
      </c>
    </row>
    <row r="13" spans="1:17" x14ac:dyDescent="0.35">
      <c r="A13" s="3">
        <f t="shared" si="2"/>
        <v>45049</v>
      </c>
      <c r="B13" s="19"/>
      <c r="C13" s="20"/>
      <c r="D13" s="20"/>
      <c r="E13" s="20"/>
      <c r="F13" s="20"/>
      <c r="G13" s="20"/>
      <c r="H13" s="20"/>
      <c r="I13" s="21">
        <f t="shared" si="0"/>
        <v>0</v>
      </c>
      <c r="J13" s="19"/>
      <c r="K13" s="20"/>
      <c r="L13" s="20"/>
      <c r="M13" s="20"/>
      <c r="N13" s="20"/>
      <c r="O13" s="20"/>
      <c r="P13" s="20"/>
      <c r="Q13" s="21">
        <f t="shared" si="1"/>
        <v>0</v>
      </c>
    </row>
    <row r="14" spans="1:17" x14ac:dyDescent="0.35">
      <c r="A14" s="3">
        <f t="shared" si="2"/>
        <v>45050</v>
      </c>
      <c r="B14" s="19"/>
      <c r="C14" s="20"/>
      <c r="D14" s="20"/>
      <c r="E14" s="20"/>
      <c r="F14" s="20"/>
      <c r="G14" s="20"/>
      <c r="H14" s="20"/>
      <c r="I14" s="21">
        <f t="shared" si="0"/>
        <v>0</v>
      </c>
      <c r="J14" s="19"/>
      <c r="K14" s="20"/>
      <c r="L14" s="20"/>
      <c r="M14" s="20"/>
      <c r="N14" s="20"/>
      <c r="O14" s="20"/>
      <c r="P14" s="20"/>
      <c r="Q14" s="21">
        <f t="shared" si="1"/>
        <v>0</v>
      </c>
    </row>
    <row r="15" spans="1:17" x14ac:dyDescent="0.35">
      <c r="A15" s="3">
        <f t="shared" si="2"/>
        <v>45051</v>
      </c>
      <c r="B15" s="19"/>
      <c r="C15" s="20"/>
      <c r="D15" s="20"/>
      <c r="E15" s="20"/>
      <c r="F15" s="20"/>
      <c r="G15" s="20"/>
      <c r="H15" s="20"/>
      <c r="I15" s="21">
        <f t="shared" si="0"/>
        <v>0</v>
      </c>
      <c r="J15" s="19"/>
      <c r="K15" s="20"/>
      <c r="L15" s="20"/>
      <c r="M15" s="20"/>
      <c r="N15" s="20"/>
      <c r="O15" s="20"/>
      <c r="P15" s="20"/>
      <c r="Q15" s="21">
        <f t="shared" si="1"/>
        <v>0</v>
      </c>
    </row>
    <row r="16" spans="1:17" x14ac:dyDescent="0.35">
      <c r="A16" s="3">
        <f t="shared" si="2"/>
        <v>45052</v>
      </c>
      <c r="B16" s="19"/>
      <c r="C16" s="20"/>
      <c r="D16" s="20"/>
      <c r="E16" s="20"/>
      <c r="F16" s="20"/>
      <c r="G16" s="20"/>
      <c r="H16" s="20"/>
      <c r="I16" s="21">
        <f t="shared" si="0"/>
        <v>0</v>
      </c>
      <c r="J16" s="19"/>
      <c r="K16" s="20"/>
      <c r="L16" s="20"/>
      <c r="M16" s="20"/>
      <c r="N16" s="20"/>
      <c r="O16" s="20"/>
      <c r="P16" s="20"/>
      <c r="Q16" s="21">
        <f t="shared" si="1"/>
        <v>0</v>
      </c>
    </row>
    <row r="17" spans="1:17" x14ac:dyDescent="0.35">
      <c r="A17" s="3">
        <f t="shared" si="2"/>
        <v>45053</v>
      </c>
      <c r="B17" s="19"/>
      <c r="C17" s="20"/>
      <c r="D17" s="20"/>
      <c r="E17" s="20"/>
      <c r="F17" s="20"/>
      <c r="G17" s="20"/>
      <c r="H17" s="20"/>
      <c r="I17" s="21">
        <f t="shared" si="0"/>
        <v>0</v>
      </c>
      <c r="J17" s="19"/>
      <c r="K17" s="20"/>
      <c r="L17" s="20"/>
      <c r="M17" s="20"/>
      <c r="N17" s="20"/>
      <c r="O17" s="20"/>
      <c r="P17" s="20"/>
      <c r="Q17" s="21">
        <f t="shared" si="1"/>
        <v>0</v>
      </c>
    </row>
    <row r="18" spans="1:17" x14ac:dyDescent="0.35">
      <c r="A18" s="3">
        <f t="shared" si="2"/>
        <v>45054</v>
      </c>
      <c r="B18" s="19"/>
      <c r="C18" s="20"/>
      <c r="D18" s="20"/>
      <c r="E18" s="20"/>
      <c r="F18" s="20"/>
      <c r="G18" s="20"/>
      <c r="H18" s="20"/>
      <c r="I18" s="21">
        <f t="shared" si="0"/>
        <v>0</v>
      </c>
      <c r="J18" s="19"/>
      <c r="K18" s="20"/>
      <c r="L18" s="20"/>
      <c r="M18" s="20"/>
      <c r="N18" s="20"/>
      <c r="O18" s="20"/>
      <c r="P18" s="20"/>
      <c r="Q18" s="21">
        <f t="shared" si="1"/>
        <v>0</v>
      </c>
    </row>
    <row r="19" spans="1:17" x14ac:dyDescent="0.35">
      <c r="A19" s="3">
        <f t="shared" si="2"/>
        <v>45055</v>
      </c>
      <c r="B19" s="19"/>
      <c r="C19" s="20"/>
      <c r="D19" s="20"/>
      <c r="E19" s="20"/>
      <c r="F19" s="20"/>
      <c r="G19" s="20"/>
      <c r="H19" s="20"/>
      <c r="I19" s="21">
        <f t="shared" si="0"/>
        <v>0</v>
      </c>
      <c r="J19" s="19"/>
      <c r="K19" s="20"/>
      <c r="L19" s="20"/>
      <c r="M19" s="20"/>
      <c r="N19" s="20"/>
      <c r="O19" s="20"/>
      <c r="P19" s="20"/>
      <c r="Q19" s="21">
        <f t="shared" si="1"/>
        <v>0</v>
      </c>
    </row>
    <row r="20" spans="1:17" x14ac:dyDescent="0.35">
      <c r="A20" s="3">
        <f t="shared" si="2"/>
        <v>45056</v>
      </c>
      <c r="B20" s="19"/>
      <c r="C20" s="20"/>
      <c r="D20" s="20"/>
      <c r="E20" s="20"/>
      <c r="F20" s="20"/>
      <c r="G20" s="20"/>
      <c r="H20" s="20"/>
      <c r="I20" s="21">
        <f t="shared" si="0"/>
        <v>0</v>
      </c>
      <c r="J20" s="19"/>
      <c r="K20" s="20"/>
      <c r="L20" s="20"/>
      <c r="M20" s="20"/>
      <c r="N20" s="20"/>
      <c r="O20" s="20"/>
      <c r="P20" s="20"/>
      <c r="Q20" s="21">
        <f t="shared" si="1"/>
        <v>0</v>
      </c>
    </row>
    <row r="21" spans="1:17" x14ac:dyDescent="0.35">
      <c r="A21" s="3">
        <f t="shared" si="2"/>
        <v>45057</v>
      </c>
      <c r="B21" s="19"/>
      <c r="C21" s="20"/>
      <c r="D21" s="20"/>
      <c r="E21" s="20"/>
      <c r="F21" s="20"/>
      <c r="G21" s="20"/>
      <c r="H21" s="20"/>
      <c r="I21" s="21">
        <f t="shared" si="0"/>
        <v>0</v>
      </c>
      <c r="J21" s="19"/>
      <c r="K21" s="20"/>
      <c r="L21" s="20"/>
      <c r="M21" s="20"/>
      <c r="N21" s="20"/>
      <c r="O21" s="20"/>
      <c r="P21" s="20"/>
      <c r="Q21" s="21">
        <f t="shared" si="1"/>
        <v>0</v>
      </c>
    </row>
    <row r="22" spans="1:17" x14ac:dyDescent="0.35">
      <c r="A22" s="3">
        <f t="shared" si="2"/>
        <v>45058</v>
      </c>
      <c r="B22" s="19"/>
      <c r="C22" s="20"/>
      <c r="D22" s="20"/>
      <c r="E22" s="20"/>
      <c r="F22" s="20"/>
      <c r="G22" s="20"/>
      <c r="H22" s="20"/>
      <c r="I22" s="21">
        <f t="shared" si="0"/>
        <v>0</v>
      </c>
      <c r="J22" s="19"/>
      <c r="K22" s="20"/>
      <c r="L22" s="20"/>
      <c r="M22" s="20"/>
      <c r="N22" s="20"/>
      <c r="O22" s="20"/>
      <c r="P22" s="20"/>
      <c r="Q22" s="21">
        <f t="shared" si="1"/>
        <v>0</v>
      </c>
    </row>
    <row r="23" spans="1:17" x14ac:dyDescent="0.35">
      <c r="A23" s="3">
        <f t="shared" si="2"/>
        <v>45059</v>
      </c>
      <c r="B23" s="19"/>
      <c r="C23" s="20"/>
      <c r="D23" s="20"/>
      <c r="E23" s="20"/>
      <c r="F23" s="20"/>
      <c r="G23" s="20"/>
      <c r="H23" s="20"/>
      <c r="I23" s="21">
        <f t="shared" si="0"/>
        <v>0</v>
      </c>
      <c r="J23" s="19"/>
      <c r="K23" s="20"/>
      <c r="L23" s="20"/>
      <c r="M23" s="20"/>
      <c r="N23" s="20"/>
      <c r="O23" s="20"/>
      <c r="P23" s="20"/>
      <c r="Q23" s="21">
        <f t="shared" si="1"/>
        <v>0</v>
      </c>
    </row>
    <row r="24" spans="1:17" x14ac:dyDescent="0.35">
      <c r="A24" s="3">
        <f t="shared" si="2"/>
        <v>45060</v>
      </c>
      <c r="B24" s="19"/>
      <c r="C24" s="20"/>
      <c r="D24" s="20"/>
      <c r="E24" s="20"/>
      <c r="F24" s="20"/>
      <c r="G24" s="20"/>
      <c r="H24" s="20"/>
      <c r="I24" s="21">
        <f t="shared" si="0"/>
        <v>0</v>
      </c>
      <c r="J24" s="19"/>
      <c r="K24" s="20"/>
      <c r="L24" s="20"/>
      <c r="M24" s="20"/>
      <c r="N24" s="20"/>
      <c r="O24" s="20"/>
      <c r="P24" s="20"/>
      <c r="Q24" s="21">
        <f t="shared" si="1"/>
        <v>0</v>
      </c>
    </row>
    <row r="25" spans="1:17" x14ac:dyDescent="0.35">
      <c r="A25" s="3">
        <f t="shared" si="2"/>
        <v>45061</v>
      </c>
      <c r="B25" s="19"/>
      <c r="C25" s="20"/>
      <c r="D25" s="20"/>
      <c r="E25" s="20"/>
      <c r="F25" s="20"/>
      <c r="G25" s="20"/>
      <c r="H25" s="20"/>
      <c r="I25" s="21">
        <f t="shared" si="0"/>
        <v>0</v>
      </c>
      <c r="J25" s="19"/>
      <c r="K25" s="20"/>
      <c r="L25" s="20"/>
      <c r="M25" s="20"/>
      <c r="N25" s="20"/>
      <c r="O25" s="20"/>
      <c r="P25" s="20"/>
      <c r="Q25" s="21">
        <f t="shared" si="1"/>
        <v>0</v>
      </c>
    </row>
    <row r="26" spans="1:17" x14ac:dyDescent="0.35">
      <c r="A26" s="3">
        <f t="shared" si="2"/>
        <v>45062</v>
      </c>
      <c r="B26" s="19"/>
      <c r="C26" s="20"/>
      <c r="D26" s="20"/>
      <c r="E26" s="20"/>
      <c r="F26" s="20"/>
      <c r="G26" s="20"/>
      <c r="H26" s="20"/>
      <c r="I26" s="21">
        <f t="shared" si="0"/>
        <v>0</v>
      </c>
      <c r="J26" s="19"/>
      <c r="K26" s="20"/>
      <c r="L26" s="20"/>
      <c r="M26" s="20"/>
      <c r="N26" s="20"/>
      <c r="O26" s="20"/>
      <c r="P26" s="20"/>
      <c r="Q26" s="21">
        <f t="shared" si="1"/>
        <v>0</v>
      </c>
    </row>
    <row r="27" spans="1:17" x14ac:dyDescent="0.35">
      <c r="A27" s="3">
        <f t="shared" si="2"/>
        <v>45063</v>
      </c>
      <c r="B27" s="19"/>
      <c r="C27" s="20"/>
      <c r="D27" s="20"/>
      <c r="E27" s="20"/>
      <c r="F27" s="20"/>
      <c r="G27" s="20"/>
      <c r="H27" s="20"/>
      <c r="I27" s="21">
        <f t="shared" si="0"/>
        <v>0</v>
      </c>
      <c r="J27" s="19"/>
      <c r="K27" s="20"/>
      <c r="L27" s="20"/>
      <c r="M27" s="20"/>
      <c r="N27" s="20"/>
      <c r="O27" s="20"/>
      <c r="P27" s="20"/>
      <c r="Q27" s="21">
        <f t="shared" si="1"/>
        <v>0</v>
      </c>
    </row>
    <row r="28" spans="1:17" x14ac:dyDescent="0.35">
      <c r="A28" s="3">
        <f t="shared" si="2"/>
        <v>45064</v>
      </c>
      <c r="B28" s="19"/>
      <c r="C28" s="20"/>
      <c r="D28" s="20"/>
      <c r="E28" s="20"/>
      <c r="F28" s="20"/>
      <c r="G28" s="20"/>
      <c r="H28" s="20"/>
      <c r="I28" s="21">
        <f t="shared" si="0"/>
        <v>0</v>
      </c>
      <c r="J28" s="19"/>
      <c r="K28" s="20"/>
      <c r="L28" s="20"/>
      <c r="M28" s="20"/>
      <c r="N28" s="20"/>
      <c r="O28" s="20"/>
      <c r="P28" s="20"/>
      <c r="Q28" s="21">
        <f t="shared" si="1"/>
        <v>0</v>
      </c>
    </row>
    <row r="29" spans="1:17" x14ac:dyDescent="0.35">
      <c r="A29" s="3">
        <f t="shared" si="2"/>
        <v>45065</v>
      </c>
      <c r="B29" s="19"/>
      <c r="C29" s="20"/>
      <c r="D29" s="20"/>
      <c r="E29" s="20"/>
      <c r="F29" s="20"/>
      <c r="G29" s="20"/>
      <c r="H29" s="20"/>
      <c r="I29" s="21">
        <f t="shared" si="0"/>
        <v>0</v>
      </c>
      <c r="J29" s="19"/>
      <c r="K29" s="20"/>
      <c r="L29" s="20"/>
      <c r="M29" s="20"/>
      <c r="N29" s="20"/>
      <c r="O29" s="20"/>
      <c r="P29" s="20"/>
      <c r="Q29" s="21">
        <f t="shared" si="1"/>
        <v>0</v>
      </c>
    </row>
    <row r="30" spans="1:17" x14ac:dyDescent="0.35">
      <c r="A30" s="3">
        <f t="shared" si="2"/>
        <v>45066</v>
      </c>
      <c r="B30" s="19">
        <f>(1990092.36+18104778.55)/1000000</f>
        <v>20.094870910000001</v>
      </c>
      <c r="C30" s="20"/>
      <c r="D30" s="20"/>
      <c r="E30" s="20"/>
      <c r="F30" s="20"/>
      <c r="G30" s="20"/>
      <c r="H30" s="20"/>
      <c r="I30" s="21">
        <f t="shared" si="0"/>
        <v>20.094870910000001</v>
      </c>
      <c r="J30" s="19">
        <f>307000000/1000000</f>
        <v>307</v>
      </c>
      <c r="K30" s="20"/>
      <c r="L30" s="20"/>
      <c r="M30" s="20"/>
      <c r="N30" s="20"/>
      <c r="O30" s="20"/>
      <c r="P30" s="20"/>
      <c r="Q30" s="21">
        <f t="shared" si="1"/>
        <v>307</v>
      </c>
    </row>
    <row r="31" spans="1:17" x14ac:dyDescent="0.35">
      <c r="A31" s="3">
        <f t="shared" si="2"/>
        <v>45067</v>
      </c>
      <c r="B31" s="19">
        <f>(1990092.36+18104778.55)/1000000</f>
        <v>20.094870910000001</v>
      </c>
      <c r="C31" s="20"/>
      <c r="D31" s="20"/>
      <c r="E31" s="20"/>
      <c r="F31" s="20"/>
      <c r="G31" s="20"/>
      <c r="H31" s="20"/>
      <c r="I31" s="21">
        <f t="shared" si="0"/>
        <v>20.094870910000001</v>
      </c>
      <c r="J31" s="19">
        <f t="shared" ref="J31:J33" si="3">307000000/1000000</f>
        <v>307</v>
      </c>
      <c r="K31" s="20"/>
      <c r="L31" s="20"/>
      <c r="M31" s="20"/>
      <c r="N31" s="20"/>
      <c r="O31" s="20"/>
      <c r="P31" s="20"/>
      <c r="Q31" s="21">
        <f t="shared" si="1"/>
        <v>307</v>
      </c>
    </row>
    <row r="32" spans="1:17" x14ac:dyDescent="0.35">
      <c r="A32" s="3">
        <f t="shared" si="2"/>
        <v>45068</v>
      </c>
      <c r="B32" s="19">
        <f t="shared" ref="B32:B33" si="4">(1990092.36+18104778.55)/1000000</f>
        <v>20.094870910000001</v>
      </c>
      <c r="C32" s="20"/>
      <c r="D32" s="20"/>
      <c r="E32" s="20"/>
      <c r="F32" s="20"/>
      <c r="G32" s="20"/>
      <c r="H32" s="20"/>
      <c r="I32" s="21">
        <f t="shared" si="0"/>
        <v>20.094870910000001</v>
      </c>
      <c r="J32" s="19">
        <f t="shared" si="3"/>
        <v>307</v>
      </c>
      <c r="K32" s="20"/>
      <c r="L32" s="20"/>
      <c r="M32" s="20"/>
      <c r="N32" s="20"/>
      <c r="O32" s="20"/>
      <c r="P32" s="20"/>
      <c r="Q32" s="21">
        <f t="shared" si="1"/>
        <v>307</v>
      </c>
    </row>
    <row r="33" spans="1:17" x14ac:dyDescent="0.35">
      <c r="A33" s="3">
        <f t="shared" si="2"/>
        <v>45069</v>
      </c>
      <c r="B33" s="19">
        <f t="shared" si="4"/>
        <v>20.094870910000001</v>
      </c>
      <c r="C33" s="20"/>
      <c r="D33" s="20"/>
      <c r="E33" s="20"/>
      <c r="F33" s="20"/>
      <c r="G33" s="20"/>
      <c r="H33" s="20"/>
      <c r="I33" s="21">
        <f t="shared" ref="I33:I35" si="5">SUM(B33:H33)</f>
        <v>20.094870910000001</v>
      </c>
      <c r="J33" s="19">
        <f t="shared" si="3"/>
        <v>307</v>
      </c>
      <c r="K33" s="20"/>
      <c r="L33" s="20"/>
      <c r="M33" s="20"/>
      <c r="N33" s="20"/>
      <c r="O33" s="20"/>
      <c r="P33" s="20"/>
      <c r="Q33" s="21">
        <f t="shared" ref="Q33:Q35" si="6">SUM(J33:P33)</f>
        <v>307</v>
      </c>
    </row>
    <row r="34" spans="1:17" x14ac:dyDescent="0.35">
      <c r="A34" s="3">
        <f t="shared" si="2"/>
        <v>45070</v>
      </c>
      <c r="B34" s="19">
        <f>(1990092.36+1246808070.71)/1000000</f>
        <v>1248.7981630699999</v>
      </c>
      <c r="C34" s="20"/>
      <c r="D34" s="20"/>
      <c r="E34" s="20"/>
      <c r="F34" s="20"/>
      <c r="G34" s="20"/>
      <c r="H34" s="20"/>
      <c r="I34" s="21">
        <f t="shared" si="5"/>
        <v>1248.7981630699999</v>
      </c>
      <c r="J34" s="19">
        <f>(307000000+1770000000)/1000000</f>
        <v>2077</v>
      </c>
      <c r="K34" s="20"/>
      <c r="L34" s="20"/>
      <c r="M34" s="20"/>
      <c r="N34" s="20"/>
      <c r="O34" s="20"/>
      <c r="P34" s="20"/>
      <c r="Q34" s="21">
        <f t="shared" si="6"/>
        <v>2077</v>
      </c>
    </row>
    <row r="35" spans="1:17" x14ac:dyDescent="0.35">
      <c r="A35" s="3">
        <f t="shared" si="2"/>
        <v>45071</v>
      </c>
      <c r="B35" s="19">
        <f>(1990092.36+29435488.5)/1000000</f>
        <v>31.42558086</v>
      </c>
      <c r="C35" s="20"/>
      <c r="D35" s="20"/>
      <c r="E35" s="20"/>
      <c r="F35" s="20"/>
      <c r="G35" s="20"/>
      <c r="H35" s="20"/>
      <c r="I35" s="21">
        <f t="shared" si="5"/>
        <v>31.42558086</v>
      </c>
      <c r="J35" s="19">
        <f>(307000000+2720000000)/1000000</f>
        <v>3027</v>
      </c>
      <c r="K35" s="20"/>
      <c r="L35" s="20"/>
      <c r="M35" s="20"/>
      <c r="N35" s="20"/>
      <c r="O35" s="20"/>
      <c r="P35" s="20"/>
      <c r="Q35" s="21">
        <f t="shared" si="6"/>
        <v>3027</v>
      </c>
    </row>
    <row r="36" spans="1:17" x14ac:dyDescent="0.35">
      <c r="A36" s="3">
        <f t="shared" si="2"/>
        <v>45072</v>
      </c>
      <c r="B36" s="19">
        <f t="shared" ref="B36:B38" si="7">(1990092.36+29435488.5)/1000000</f>
        <v>31.42558086</v>
      </c>
      <c r="C36" s="20"/>
      <c r="D36" s="20"/>
      <c r="E36" s="20"/>
      <c r="F36" s="20"/>
      <c r="G36" s="20"/>
      <c r="H36" s="20"/>
      <c r="I36" s="21">
        <f t="shared" ref="I36:I41" si="8">SUM(B36:H36)</f>
        <v>31.42558086</v>
      </c>
      <c r="J36" s="19">
        <f t="shared" ref="J36:J46" si="9">(307000000+2720000000)/1000000</f>
        <v>3027</v>
      </c>
      <c r="K36" s="20"/>
      <c r="L36" s="20"/>
      <c r="M36" s="20"/>
      <c r="N36" s="20"/>
      <c r="O36" s="20"/>
      <c r="P36" s="20"/>
      <c r="Q36" s="21">
        <f t="shared" ref="Q36:Q41" si="10">SUM(J36:P36)</f>
        <v>3027</v>
      </c>
    </row>
    <row r="37" spans="1:17" x14ac:dyDescent="0.35">
      <c r="A37" s="3">
        <f t="shared" si="2"/>
        <v>45073</v>
      </c>
      <c r="B37" s="19">
        <f t="shared" si="7"/>
        <v>31.42558086</v>
      </c>
      <c r="C37" s="20"/>
      <c r="D37" s="20"/>
      <c r="E37" s="20"/>
      <c r="F37" s="20"/>
      <c r="G37" s="20"/>
      <c r="H37" s="20"/>
      <c r="I37" s="21">
        <f t="shared" si="8"/>
        <v>31.42558086</v>
      </c>
      <c r="J37" s="19">
        <f t="shared" si="9"/>
        <v>3027</v>
      </c>
      <c r="K37" s="20"/>
      <c r="L37" s="20"/>
      <c r="M37" s="20"/>
      <c r="N37" s="20"/>
      <c r="O37" s="20"/>
      <c r="P37" s="20"/>
      <c r="Q37" s="21">
        <f t="shared" si="10"/>
        <v>3027</v>
      </c>
    </row>
    <row r="38" spans="1:17" x14ac:dyDescent="0.35">
      <c r="A38" s="3">
        <f t="shared" si="2"/>
        <v>45074</v>
      </c>
      <c r="B38" s="19">
        <f t="shared" si="7"/>
        <v>31.42558086</v>
      </c>
      <c r="C38" s="20"/>
      <c r="D38" s="20"/>
      <c r="E38" s="20"/>
      <c r="F38" s="20"/>
      <c r="G38" s="20"/>
      <c r="H38" s="20"/>
      <c r="I38" s="21">
        <f t="shared" si="8"/>
        <v>31.42558086</v>
      </c>
      <c r="J38" s="19">
        <f t="shared" si="9"/>
        <v>3027</v>
      </c>
      <c r="K38" s="20"/>
      <c r="L38" s="20"/>
      <c r="M38" s="20"/>
      <c r="N38" s="20"/>
      <c r="O38" s="20"/>
      <c r="P38" s="20"/>
      <c r="Q38" s="21">
        <f t="shared" si="10"/>
        <v>3027</v>
      </c>
    </row>
    <row r="39" spans="1:17" x14ac:dyDescent="0.35">
      <c r="A39" s="3">
        <f t="shared" si="2"/>
        <v>45075</v>
      </c>
      <c r="B39" s="19">
        <f>(1990092.36+28332073.87)/1000000</f>
        <v>30.322166230000001</v>
      </c>
      <c r="C39" s="20"/>
      <c r="D39" s="20"/>
      <c r="E39" s="20"/>
      <c r="F39" s="20"/>
      <c r="G39" s="20"/>
      <c r="H39" s="20"/>
      <c r="I39" s="21">
        <f t="shared" si="8"/>
        <v>30.322166230000001</v>
      </c>
      <c r="J39" s="19">
        <f t="shared" si="9"/>
        <v>3027</v>
      </c>
      <c r="K39" s="20"/>
      <c r="L39" s="20"/>
      <c r="M39" s="20"/>
      <c r="N39" s="20"/>
      <c r="O39" s="20"/>
      <c r="P39" s="20"/>
      <c r="Q39" s="21">
        <f t="shared" si="10"/>
        <v>3027</v>
      </c>
    </row>
    <row r="40" spans="1:17" x14ac:dyDescent="0.35">
      <c r="A40" s="3">
        <f t="shared" si="2"/>
        <v>45076</v>
      </c>
      <c r="B40" s="19">
        <f>(1990092.36+28332073.87)/1000000</f>
        <v>30.322166230000001</v>
      </c>
      <c r="C40" s="20"/>
      <c r="D40" s="20"/>
      <c r="E40" s="20"/>
      <c r="F40" s="20"/>
      <c r="G40" s="20"/>
      <c r="H40" s="20"/>
      <c r="I40" s="21">
        <f t="shared" si="8"/>
        <v>30.322166230000001</v>
      </c>
      <c r="J40" s="19">
        <f t="shared" si="9"/>
        <v>3027</v>
      </c>
      <c r="K40" s="20"/>
      <c r="L40" s="20"/>
      <c r="M40" s="20"/>
      <c r="N40" s="20"/>
      <c r="O40" s="20"/>
      <c r="P40" s="20"/>
      <c r="Q40" s="21">
        <f t="shared" si="10"/>
        <v>3027</v>
      </c>
    </row>
    <row r="41" spans="1:17" x14ac:dyDescent="0.35">
      <c r="A41" s="3">
        <f t="shared" si="2"/>
        <v>45077</v>
      </c>
      <c r="B41" s="19">
        <f>(1988292.36+28332073.87)/1000000</f>
        <v>30.320366230000001</v>
      </c>
      <c r="C41" s="20"/>
      <c r="D41" s="20"/>
      <c r="E41" s="20"/>
      <c r="F41" s="20"/>
      <c r="G41" s="20"/>
      <c r="H41" s="20"/>
      <c r="I41" s="21">
        <f t="shared" si="8"/>
        <v>30.320366230000001</v>
      </c>
      <c r="J41" s="19">
        <f t="shared" si="9"/>
        <v>3027</v>
      </c>
      <c r="K41" s="20"/>
      <c r="L41" s="20"/>
      <c r="M41" s="20"/>
      <c r="N41" s="20"/>
      <c r="O41" s="20"/>
      <c r="P41" s="20"/>
      <c r="Q41" s="21">
        <f t="shared" si="10"/>
        <v>3027</v>
      </c>
    </row>
    <row r="42" spans="1:17" x14ac:dyDescent="0.35">
      <c r="A42" s="3">
        <f t="shared" si="2"/>
        <v>45078</v>
      </c>
      <c r="B42" s="19">
        <f>(1988292.36+28332073.87)/1000000</f>
        <v>30.320366230000001</v>
      </c>
      <c r="C42" s="20"/>
      <c r="D42" s="20"/>
      <c r="E42" s="20"/>
      <c r="F42" s="20"/>
      <c r="G42" s="20"/>
      <c r="H42" s="20"/>
      <c r="I42" s="21">
        <f t="shared" ref="I42:I47" si="11">SUM(B42:H42)</f>
        <v>30.320366230000001</v>
      </c>
      <c r="J42" s="19">
        <f t="shared" si="9"/>
        <v>3027</v>
      </c>
      <c r="K42" s="20"/>
      <c r="L42" s="20"/>
      <c r="M42" s="20"/>
      <c r="N42" s="20"/>
      <c r="O42" s="20"/>
      <c r="P42" s="20"/>
      <c r="Q42" s="21">
        <f t="shared" ref="Q42" si="12">SUM(J42:P42)</f>
        <v>3027</v>
      </c>
    </row>
    <row r="43" spans="1:17" x14ac:dyDescent="0.35">
      <c r="A43" s="3">
        <f t="shared" si="2"/>
        <v>45079</v>
      </c>
      <c r="B43" s="19">
        <f>30320366.23/1000000</f>
        <v>30.320366230000001</v>
      </c>
      <c r="C43" s="20"/>
      <c r="D43" s="20"/>
      <c r="E43" s="20"/>
      <c r="F43" s="20"/>
      <c r="G43" s="20"/>
      <c r="H43" s="20"/>
      <c r="I43" s="21">
        <f t="shared" si="11"/>
        <v>30.320366230000001</v>
      </c>
      <c r="J43" s="19">
        <f t="shared" si="9"/>
        <v>3027</v>
      </c>
      <c r="K43" s="20"/>
      <c r="L43" s="20"/>
      <c r="M43" s="20"/>
      <c r="N43" s="20"/>
      <c r="O43" s="20"/>
      <c r="P43" s="20"/>
      <c r="Q43" s="21">
        <f t="shared" ref="Q43" si="13">SUM(J43:P43)</f>
        <v>3027</v>
      </c>
    </row>
    <row r="44" spans="1:17" x14ac:dyDescent="0.35">
      <c r="A44" s="3">
        <f>+A43+3</f>
        <v>45082</v>
      </c>
      <c r="B44" s="19">
        <f>30277980.5/1000000</f>
        <v>30.277980500000002</v>
      </c>
      <c r="C44" s="20"/>
      <c r="D44" s="20"/>
      <c r="E44" s="20"/>
      <c r="F44" s="20"/>
      <c r="G44" s="20"/>
      <c r="H44" s="20"/>
      <c r="I44" s="21">
        <f t="shared" si="11"/>
        <v>30.277980500000002</v>
      </c>
      <c r="J44" s="19">
        <f t="shared" si="9"/>
        <v>3027</v>
      </c>
      <c r="K44" s="20"/>
      <c r="L44" s="20"/>
      <c r="M44" s="20"/>
      <c r="N44" s="20"/>
      <c r="O44" s="20"/>
      <c r="P44" s="20"/>
      <c r="Q44" s="21">
        <f t="shared" ref="Q44:Q49" si="14">SUM(J44:P44)</f>
        <v>3027</v>
      </c>
    </row>
    <row r="45" spans="1:17" x14ac:dyDescent="0.35">
      <c r="A45" s="3">
        <f>+A44+1</f>
        <v>45083</v>
      </c>
      <c r="B45" s="19">
        <f>30277980.5/1000000</f>
        <v>30.277980500000002</v>
      </c>
      <c r="C45" s="20"/>
      <c r="D45" s="20"/>
      <c r="E45" s="20"/>
      <c r="F45" s="20"/>
      <c r="G45" s="20"/>
      <c r="H45" s="20"/>
      <c r="I45" s="21">
        <f t="shared" si="11"/>
        <v>30.277980500000002</v>
      </c>
      <c r="J45" s="19">
        <f t="shared" si="9"/>
        <v>3027</v>
      </c>
      <c r="K45" s="20"/>
      <c r="L45" s="20"/>
      <c r="M45" s="20"/>
      <c r="N45" s="20"/>
      <c r="O45" s="20"/>
      <c r="P45" s="20"/>
      <c r="Q45" s="21">
        <f t="shared" si="14"/>
        <v>3027</v>
      </c>
    </row>
    <row r="46" spans="1:17" x14ac:dyDescent="0.35">
      <c r="A46" s="3">
        <f>+A45+1</f>
        <v>45084</v>
      </c>
      <c r="B46" s="19">
        <f>30307980.5/1000000</f>
        <v>30.307980499999999</v>
      </c>
      <c r="C46" s="20"/>
      <c r="D46" s="20"/>
      <c r="E46" s="20"/>
      <c r="F46" s="20"/>
      <c r="G46" s="20"/>
      <c r="H46" s="20"/>
      <c r="I46" s="21">
        <f t="shared" si="11"/>
        <v>30.307980499999999</v>
      </c>
      <c r="J46" s="19">
        <f t="shared" si="9"/>
        <v>3027</v>
      </c>
      <c r="K46" s="20"/>
      <c r="L46" s="20"/>
      <c r="M46" s="20"/>
      <c r="N46" s="20"/>
      <c r="O46" s="20"/>
      <c r="P46" s="20"/>
      <c r="Q46" s="21">
        <f t="shared" si="14"/>
        <v>3027</v>
      </c>
    </row>
    <row r="47" spans="1:17" x14ac:dyDescent="0.35">
      <c r="A47" s="3">
        <f>+A46+1</f>
        <v>45085</v>
      </c>
      <c r="B47" s="19">
        <f>682080087.56/1000000</f>
        <v>682.08008755999992</v>
      </c>
      <c r="C47" s="20">
        <f>'Daily exchange'!E3</f>
        <v>82.7</v>
      </c>
      <c r="D47" s="20"/>
      <c r="E47" s="20"/>
      <c r="F47" s="20"/>
      <c r="G47" s="20"/>
      <c r="H47" s="20"/>
      <c r="I47" s="21">
        <f t="shared" si="11"/>
        <v>764.78008755999997</v>
      </c>
      <c r="J47" s="19">
        <f>(307000000+1988000000)/1000000</f>
        <v>2295</v>
      </c>
      <c r="K47" s="20"/>
      <c r="L47" s="20"/>
      <c r="M47" s="20"/>
      <c r="N47" s="20"/>
      <c r="O47" s="20"/>
      <c r="P47" s="20"/>
      <c r="Q47" s="21">
        <f t="shared" si="14"/>
        <v>2295</v>
      </c>
    </row>
    <row r="48" spans="1:17" x14ac:dyDescent="0.35">
      <c r="A48" s="3">
        <f>+A47+1</f>
        <v>45086</v>
      </c>
      <c r="B48" s="19">
        <f>30306271.17/1000000</f>
        <v>30.306271170000002</v>
      </c>
      <c r="C48" s="20">
        <f>'Daily exchange'!E4</f>
        <v>82.7</v>
      </c>
      <c r="D48" s="20"/>
      <c r="E48" s="20"/>
      <c r="F48" s="20"/>
      <c r="G48" s="20"/>
      <c r="H48" s="20"/>
      <c r="I48" s="21">
        <f t="shared" ref="I48" si="15">SUM(B48:H48)</f>
        <v>113.00627117000001</v>
      </c>
      <c r="J48" s="19">
        <f>(307000000+1988000000)/1000000</f>
        <v>2295</v>
      </c>
      <c r="K48" s="20"/>
      <c r="L48" s="20"/>
      <c r="M48" s="20"/>
      <c r="N48" s="20"/>
      <c r="O48" s="20"/>
      <c r="P48" s="20"/>
      <c r="Q48" s="21">
        <f t="shared" si="14"/>
        <v>2295</v>
      </c>
    </row>
    <row r="49" spans="1:17" x14ac:dyDescent="0.35">
      <c r="A49" s="3">
        <f>+A48+4</f>
        <v>45090</v>
      </c>
      <c r="B49" s="19">
        <f>30306271.17/1000000</f>
        <v>30.306271170000002</v>
      </c>
      <c r="C49" s="20">
        <f>'Daily exchange'!D5</f>
        <v>82.7</v>
      </c>
      <c r="D49" s="20"/>
      <c r="E49" s="20"/>
      <c r="F49" s="20"/>
      <c r="G49" s="20"/>
      <c r="H49" s="20"/>
      <c r="I49" s="21">
        <f t="shared" ref="I49" si="16">SUM(B49:H49)</f>
        <v>113.00627117000001</v>
      </c>
      <c r="J49" s="19">
        <f>(307000000+1988000000)/1000000</f>
        <v>2295</v>
      </c>
      <c r="K49" s="20"/>
      <c r="L49" s="20"/>
      <c r="M49" s="20"/>
      <c r="N49" s="20"/>
      <c r="O49" s="20"/>
      <c r="P49" s="20"/>
      <c r="Q49" s="21">
        <f t="shared" si="14"/>
        <v>2295</v>
      </c>
    </row>
    <row r="50" spans="1:17" x14ac:dyDescent="0.35">
      <c r="A50" s="3">
        <f>+A49+1</f>
        <v>45091</v>
      </c>
      <c r="B50" s="19">
        <f>30306271.17/1000000</f>
        <v>30.306271170000002</v>
      </c>
      <c r="C50" s="20">
        <f>'Daily exchange'!D6</f>
        <v>82.7</v>
      </c>
      <c r="D50" s="20"/>
      <c r="E50" s="20"/>
      <c r="F50" s="20"/>
      <c r="G50" s="20"/>
      <c r="H50" s="20"/>
      <c r="I50" s="21">
        <f t="shared" ref="I50" si="17">SUM(B50:H50)</f>
        <v>113.00627117000001</v>
      </c>
      <c r="J50" s="19">
        <f>(307000000+1988000000)/1000000</f>
        <v>2295</v>
      </c>
      <c r="K50" s="20"/>
      <c r="L50" s="20"/>
      <c r="M50" s="20"/>
      <c r="N50" s="20"/>
      <c r="O50" s="20"/>
      <c r="P50" s="20"/>
      <c r="Q50" s="21">
        <f t="shared" ref="Q50" si="18">SUM(J50:P50)</f>
        <v>2295</v>
      </c>
    </row>
    <row r="51" spans="1:17" x14ac:dyDescent="0.35">
      <c r="A51" s="3">
        <f>+A50+1</f>
        <v>45092</v>
      </c>
      <c r="B51" s="19">
        <f>632660311.55/1000000</f>
        <v>632.66031154999996</v>
      </c>
      <c r="C51" s="20">
        <f>'Daily exchange'!D7</f>
        <v>82.7</v>
      </c>
      <c r="D51" s="20"/>
      <c r="E51" s="20"/>
      <c r="F51" s="20"/>
      <c r="G51" s="20"/>
      <c r="H51" s="20"/>
      <c r="I51" s="21">
        <f t="shared" ref="I51" si="19">SUM(B51:H51)</f>
        <v>715.36031155000001</v>
      </c>
      <c r="J51" s="19">
        <f>(307000000+1388000000)/1000000</f>
        <v>1695</v>
      </c>
      <c r="K51" s="20"/>
      <c r="L51" s="20"/>
      <c r="M51" s="20"/>
      <c r="N51" s="20"/>
      <c r="O51" s="20"/>
      <c r="P51" s="20"/>
      <c r="Q51" s="21">
        <f t="shared" ref="Q51" si="20">SUM(J51:P51)</f>
        <v>1695</v>
      </c>
    </row>
    <row r="52" spans="1:17" x14ac:dyDescent="0.35">
      <c r="A52" s="3">
        <f>+A51+1</f>
        <v>45093</v>
      </c>
      <c r="B52" s="19">
        <f>32660311.55/1000000</f>
        <v>32.660311550000003</v>
      </c>
      <c r="C52" s="20">
        <f>'Daily exchange'!D8</f>
        <v>82.7</v>
      </c>
      <c r="D52" s="20"/>
      <c r="E52" s="20"/>
      <c r="F52" s="20"/>
      <c r="G52" s="20"/>
      <c r="H52" s="20"/>
      <c r="I52" s="21">
        <f t="shared" ref="I52" si="21">SUM(B52:H52)</f>
        <v>115.36031155000001</v>
      </c>
      <c r="J52" s="19">
        <f>(307000000+1388000000)/1000000</f>
        <v>1695</v>
      </c>
      <c r="K52" s="20"/>
      <c r="L52" s="20"/>
      <c r="M52" s="20"/>
      <c r="N52" s="20"/>
      <c r="O52" s="20"/>
      <c r="P52" s="20"/>
      <c r="Q52" s="21">
        <f t="shared" ref="Q52" si="22">SUM(J52:P52)</f>
        <v>1695</v>
      </c>
    </row>
    <row r="53" spans="1:17" x14ac:dyDescent="0.35">
      <c r="A53" s="3">
        <f>+A52+3</f>
        <v>45096</v>
      </c>
      <c r="B53" s="19">
        <f>32660311.55/1000000</f>
        <v>32.660311550000003</v>
      </c>
      <c r="C53" s="20">
        <f>'Daily exchange'!D9</f>
        <v>82.7</v>
      </c>
      <c r="D53" s="20"/>
      <c r="E53" s="20"/>
      <c r="F53" s="20"/>
      <c r="G53" s="20"/>
      <c r="H53" s="20"/>
      <c r="I53" s="21">
        <f t="shared" ref="I53" si="23">SUM(B53:H53)</f>
        <v>115.36031155000001</v>
      </c>
      <c r="J53" s="19">
        <f>(307000000+1388000000)/1000000</f>
        <v>1695</v>
      </c>
      <c r="K53" s="20"/>
      <c r="L53" s="20"/>
      <c r="M53" s="20"/>
      <c r="N53" s="20"/>
      <c r="O53" s="20"/>
      <c r="P53" s="20"/>
      <c r="Q53" s="21">
        <f t="shared" ref="Q53" si="24">SUM(J53:P53)</f>
        <v>1695</v>
      </c>
    </row>
    <row r="54" spans="1:17" x14ac:dyDescent="0.35">
      <c r="A54" s="3">
        <f>+A53+1</f>
        <v>45097</v>
      </c>
      <c r="B54" s="19">
        <f>32660311.55/1000000</f>
        <v>32.660311550000003</v>
      </c>
      <c r="C54" s="20">
        <f>'Daily exchange'!D10</f>
        <v>82.7</v>
      </c>
      <c r="D54" s="20"/>
      <c r="E54" s="20"/>
      <c r="F54" s="20"/>
      <c r="G54" s="20"/>
      <c r="H54" s="20"/>
      <c r="I54" s="21">
        <f t="shared" ref="I54" si="25">SUM(B54:H54)</f>
        <v>115.36031155000001</v>
      </c>
      <c r="J54" s="19">
        <f>(307000000+1388000000)/1000000</f>
        <v>1695</v>
      </c>
      <c r="K54" s="20"/>
      <c r="L54" s="20"/>
      <c r="M54" s="20"/>
      <c r="N54" s="20"/>
      <c r="O54" s="20"/>
      <c r="P54" s="20"/>
      <c r="Q54" s="21">
        <f t="shared" ref="Q54" si="26">SUM(J54:P54)</f>
        <v>1695</v>
      </c>
    </row>
    <row r="55" spans="1:17" x14ac:dyDescent="0.35">
      <c r="A55" s="3">
        <f>+A54+1</f>
        <v>45098</v>
      </c>
      <c r="B55" s="19">
        <f>33909971.55/1000000</f>
        <v>33.909971549999995</v>
      </c>
      <c r="C55" s="20">
        <f>'Daily exchange'!D11</f>
        <v>82.7</v>
      </c>
      <c r="D55" s="20"/>
      <c r="E55" s="20"/>
      <c r="F55" s="20"/>
      <c r="G55" s="20"/>
      <c r="H55" s="20"/>
      <c r="I55" s="21">
        <f t="shared" ref="I55" si="27">SUM(B55:H55)</f>
        <v>116.60997155</v>
      </c>
      <c r="J55" s="19">
        <f>(307000000+1388000000)/1000000</f>
        <v>1695</v>
      </c>
      <c r="K55" s="20"/>
      <c r="L55" s="20"/>
      <c r="M55" s="20"/>
      <c r="N55" s="20"/>
      <c r="O55" s="20"/>
      <c r="P55" s="20"/>
      <c r="Q55" s="21">
        <f t="shared" ref="Q55" si="28">SUM(J55:P55)</f>
        <v>1695</v>
      </c>
    </row>
    <row r="56" spans="1:17" x14ac:dyDescent="0.35">
      <c r="A56" s="3">
        <f>+A55+1</f>
        <v>45099</v>
      </c>
      <c r="B56" s="19">
        <f>1204002930.45/1000000</f>
        <v>1204.0029304500001</v>
      </c>
      <c r="C56" s="20">
        <f>'Daily exchange'!D12</f>
        <v>82.7</v>
      </c>
      <c r="D56" s="20"/>
      <c r="E56" s="20"/>
      <c r="F56" s="20"/>
      <c r="G56" s="20"/>
      <c r="H56" s="20"/>
      <c r="I56" s="21">
        <f t="shared" ref="I56" si="29">SUM(B56:H56)</f>
        <v>1286.7029304500002</v>
      </c>
      <c r="J56" s="19">
        <f>(307000000+218000000)/1000000</f>
        <v>525</v>
      </c>
      <c r="K56" s="20"/>
      <c r="L56" s="20"/>
      <c r="M56" s="20"/>
      <c r="N56" s="20"/>
      <c r="O56" s="20"/>
      <c r="P56" s="20"/>
      <c r="Q56" s="21">
        <f t="shared" ref="Q56" si="30">SUM(J56:P56)</f>
        <v>525</v>
      </c>
    </row>
    <row r="57" spans="1:17" x14ac:dyDescent="0.35">
      <c r="A57" s="3">
        <f>+A56+1</f>
        <v>45100</v>
      </c>
      <c r="B57" s="19">
        <f>32891682.06/1000000</f>
        <v>32.891682060000001</v>
      </c>
      <c r="C57" s="20">
        <f>'Daily exchange'!D13</f>
        <v>82.7</v>
      </c>
      <c r="D57" s="20"/>
      <c r="E57" s="20"/>
      <c r="F57" s="20"/>
      <c r="G57" s="20"/>
      <c r="H57" s="20"/>
      <c r="I57" s="21">
        <f t="shared" ref="I57" si="31">SUM(B57:H57)</f>
        <v>115.59168206000001</v>
      </c>
      <c r="J57" s="19">
        <f t="shared" ref="J57:J88" si="32">(307000000+1088000000)/1000000</f>
        <v>1395</v>
      </c>
      <c r="K57" s="20"/>
      <c r="L57" s="20"/>
      <c r="M57" s="20"/>
      <c r="N57" s="20"/>
      <c r="O57" s="20"/>
      <c r="P57" s="20"/>
      <c r="Q57" s="21">
        <f t="shared" ref="Q57" si="33">SUM(J57:P57)</f>
        <v>1395</v>
      </c>
    </row>
    <row r="58" spans="1:17" x14ac:dyDescent="0.35">
      <c r="A58" s="3">
        <f>+A57+3</f>
        <v>45103</v>
      </c>
      <c r="B58" s="19">
        <f>31669968.86/1000000</f>
        <v>31.669968860000001</v>
      </c>
      <c r="C58" s="20">
        <f>'Daily exchange'!D14</f>
        <v>82.7</v>
      </c>
      <c r="D58" s="20"/>
      <c r="E58" s="20"/>
      <c r="F58" s="20"/>
      <c r="G58" s="20"/>
      <c r="H58" s="20"/>
      <c r="I58" s="21">
        <f t="shared" ref="I58" si="34">SUM(B58:H58)</f>
        <v>114.36996886</v>
      </c>
      <c r="J58" s="19">
        <f t="shared" si="32"/>
        <v>1395</v>
      </c>
      <c r="K58" s="20"/>
      <c r="L58" s="20"/>
      <c r="M58" s="20"/>
      <c r="N58" s="20"/>
      <c r="O58" s="20"/>
      <c r="P58" s="20"/>
      <c r="Q58" s="21">
        <f t="shared" ref="Q58" si="35">SUM(J58:P58)</f>
        <v>1395</v>
      </c>
    </row>
    <row r="59" spans="1:17" x14ac:dyDescent="0.35">
      <c r="A59" s="3">
        <f>+A58+1</f>
        <v>45104</v>
      </c>
      <c r="B59" s="19">
        <f>31669968.86/1000000</f>
        <v>31.669968860000001</v>
      </c>
      <c r="C59" s="20">
        <f>'Daily exchange'!D15</f>
        <v>82.7</v>
      </c>
      <c r="D59" s="20"/>
      <c r="E59" s="20"/>
      <c r="F59" s="20"/>
      <c r="G59" s="20"/>
      <c r="H59" s="20"/>
      <c r="I59" s="21">
        <f t="shared" ref="I59" si="36">SUM(B59:H59)</f>
        <v>114.36996886</v>
      </c>
      <c r="J59" s="19">
        <f t="shared" si="32"/>
        <v>1395</v>
      </c>
      <c r="K59" s="20"/>
      <c r="L59" s="20"/>
      <c r="M59" s="20"/>
      <c r="N59" s="20"/>
      <c r="O59" s="20"/>
      <c r="P59" s="20"/>
      <c r="Q59" s="21">
        <f t="shared" ref="Q59" si="37">SUM(J59:P59)</f>
        <v>1395</v>
      </c>
    </row>
    <row r="60" spans="1:17" x14ac:dyDescent="0.35">
      <c r="A60" s="3">
        <f>+A59+1</f>
        <v>45105</v>
      </c>
      <c r="B60" s="19">
        <f>32193962.26/1000000</f>
        <v>32.193962259999999</v>
      </c>
      <c r="C60" s="20">
        <f>'Daily exchange'!D16</f>
        <v>82.7</v>
      </c>
      <c r="D60" s="20"/>
      <c r="E60" s="20"/>
      <c r="F60" s="20"/>
      <c r="G60" s="20"/>
      <c r="H60" s="20"/>
      <c r="I60" s="21">
        <f t="shared" ref="I60" si="38">SUM(B60:H60)</f>
        <v>114.89396226</v>
      </c>
      <c r="J60" s="19">
        <f t="shared" si="32"/>
        <v>1395</v>
      </c>
      <c r="K60" s="20"/>
      <c r="L60" s="20"/>
      <c r="M60" s="20"/>
      <c r="N60" s="20"/>
      <c r="O60" s="20"/>
      <c r="P60" s="20"/>
      <c r="Q60" s="21">
        <f t="shared" ref="Q60" si="39">SUM(J60:P60)</f>
        <v>1395</v>
      </c>
    </row>
    <row r="61" spans="1:17" x14ac:dyDescent="0.35">
      <c r="A61" s="3">
        <f>+A60+1</f>
        <v>45106</v>
      </c>
      <c r="B61" s="19">
        <f>32193962.26/1000000</f>
        <v>32.193962259999999</v>
      </c>
      <c r="C61" s="20">
        <f>'Daily exchange'!D17</f>
        <v>82.7</v>
      </c>
      <c r="D61" s="20"/>
      <c r="E61" s="20"/>
      <c r="F61" s="20"/>
      <c r="G61" s="20"/>
      <c r="H61" s="20"/>
      <c r="I61" s="21">
        <f t="shared" ref="I61" si="40">SUM(B61:H61)</f>
        <v>114.89396226</v>
      </c>
      <c r="J61" s="19">
        <f t="shared" si="32"/>
        <v>1395</v>
      </c>
      <c r="K61" s="20"/>
      <c r="L61" s="20"/>
      <c r="M61" s="20"/>
      <c r="N61" s="20"/>
      <c r="O61" s="20"/>
      <c r="P61" s="20"/>
      <c r="Q61" s="21">
        <f t="shared" ref="Q61" si="41">SUM(J61:P61)</f>
        <v>1395</v>
      </c>
    </row>
    <row r="62" spans="1:17" x14ac:dyDescent="0.35">
      <c r="A62" s="3">
        <f>+A61+1</f>
        <v>45107</v>
      </c>
      <c r="B62" s="19">
        <f>43751293.77/1000000</f>
        <v>43.751293770000004</v>
      </c>
      <c r="C62" s="20">
        <f>'Daily exchange'!D18</f>
        <v>82.7</v>
      </c>
      <c r="D62" s="20"/>
      <c r="E62" s="20"/>
      <c r="F62" s="20"/>
      <c r="G62" s="20"/>
      <c r="H62" s="20"/>
      <c r="I62" s="21">
        <f t="shared" ref="I62" si="42">SUM(B62:H62)</f>
        <v>126.45129377000001</v>
      </c>
      <c r="J62" s="19">
        <f t="shared" si="32"/>
        <v>1395</v>
      </c>
      <c r="K62" s="20"/>
      <c r="L62" s="20"/>
      <c r="M62" s="20"/>
      <c r="N62" s="20"/>
      <c r="O62" s="20"/>
      <c r="P62" s="20"/>
      <c r="Q62" s="21">
        <f t="shared" ref="Q62" si="43">SUM(J62:P62)</f>
        <v>1395</v>
      </c>
    </row>
    <row r="63" spans="1:17" x14ac:dyDescent="0.35">
      <c r="A63" s="3">
        <f>+A62+3</f>
        <v>45110</v>
      </c>
      <c r="B63" s="19">
        <f>43751293.77/1000000</f>
        <v>43.751293770000004</v>
      </c>
      <c r="C63" s="20">
        <f>'Daily exchange'!D19</f>
        <v>82.7</v>
      </c>
      <c r="D63" s="20"/>
      <c r="E63" s="20"/>
      <c r="F63" s="20"/>
      <c r="G63" s="20"/>
      <c r="H63" s="20"/>
      <c r="I63" s="21">
        <f t="shared" ref="I63" si="44">SUM(B63:H63)</f>
        <v>126.45129377000001</v>
      </c>
      <c r="J63" s="19">
        <f t="shared" si="32"/>
        <v>1395</v>
      </c>
      <c r="K63" s="20"/>
      <c r="L63" s="20"/>
      <c r="M63" s="20"/>
      <c r="N63" s="20"/>
      <c r="O63" s="20"/>
      <c r="P63" s="20"/>
      <c r="Q63" s="21">
        <f t="shared" ref="Q63" si="45">SUM(J63:P63)</f>
        <v>1395</v>
      </c>
    </row>
    <row r="64" spans="1:17" x14ac:dyDescent="0.35">
      <c r="A64" s="3">
        <f>+A63+1</f>
        <v>45111</v>
      </c>
      <c r="B64" s="19">
        <f>43708583.65/1000000</f>
        <v>43.708583650000001</v>
      </c>
      <c r="C64" s="20">
        <f>'Daily exchange'!D20</f>
        <v>82.7</v>
      </c>
      <c r="D64" s="20"/>
      <c r="E64" s="20"/>
      <c r="F64" s="20"/>
      <c r="G64" s="20"/>
      <c r="H64" s="20"/>
      <c r="I64" s="21">
        <f t="shared" ref="I64" si="46">SUM(B64:H64)</f>
        <v>126.40858365</v>
      </c>
      <c r="J64" s="19">
        <f t="shared" si="32"/>
        <v>1395</v>
      </c>
      <c r="K64" s="20"/>
      <c r="L64" s="20"/>
      <c r="M64" s="20"/>
      <c r="N64" s="20"/>
      <c r="O64" s="20"/>
      <c r="P64" s="20"/>
      <c r="Q64" s="21">
        <f t="shared" ref="Q64" si="47">SUM(J64:P64)</f>
        <v>1395</v>
      </c>
    </row>
    <row r="65" spans="1:17" x14ac:dyDescent="0.35">
      <c r="A65" s="3">
        <f>+A64+1</f>
        <v>45112</v>
      </c>
      <c r="B65" s="19">
        <f>43708583.65/1000000</f>
        <v>43.708583650000001</v>
      </c>
      <c r="C65" s="20">
        <f>'Daily exchange'!D21</f>
        <v>82.7</v>
      </c>
      <c r="D65" s="20"/>
      <c r="E65" s="20"/>
      <c r="F65" s="20"/>
      <c r="G65" s="20"/>
      <c r="H65" s="20"/>
      <c r="I65" s="21">
        <f t="shared" ref="I65" si="48">SUM(B65:H65)</f>
        <v>126.40858365</v>
      </c>
      <c r="J65" s="19">
        <f t="shared" si="32"/>
        <v>1395</v>
      </c>
      <c r="K65" s="20"/>
      <c r="L65" s="20"/>
      <c r="M65" s="20"/>
      <c r="N65" s="20"/>
      <c r="O65" s="20"/>
      <c r="P65" s="20"/>
      <c r="Q65" s="21">
        <f t="shared" ref="Q65" si="49">SUM(J65:P65)</f>
        <v>1395</v>
      </c>
    </row>
    <row r="66" spans="1:17" x14ac:dyDescent="0.35">
      <c r="A66" s="3">
        <f>+A65+1</f>
        <v>45113</v>
      </c>
      <c r="B66" s="19">
        <f>43670986.6/1000000</f>
        <v>43.670986599999999</v>
      </c>
      <c r="C66" s="20">
        <f>'Daily exchange'!D22</f>
        <v>82.7</v>
      </c>
      <c r="D66" s="20"/>
      <c r="E66" s="20"/>
      <c r="F66" s="20"/>
      <c r="G66" s="20"/>
      <c r="H66" s="20"/>
      <c r="I66" s="21">
        <f t="shared" ref="I66" si="50">SUM(B66:H66)</f>
        <v>126.37098660000001</v>
      </c>
      <c r="J66" s="19">
        <f t="shared" si="32"/>
        <v>1395</v>
      </c>
      <c r="K66" s="20"/>
      <c r="L66" s="20"/>
      <c r="M66" s="20"/>
      <c r="N66" s="20"/>
      <c r="O66" s="20"/>
      <c r="P66" s="20"/>
      <c r="Q66" s="21">
        <f t="shared" ref="Q66" si="51">SUM(J66:P66)</f>
        <v>1395</v>
      </c>
    </row>
    <row r="67" spans="1:17" x14ac:dyDescent="0.35">
      <c r="A67" s="3">
        <f>+A66+1</f>
        <v>45114</v>
      </c>
      <c r="B67" s="19">
        <f>42547818.77/1000000</f>
        <v>42.547818770000006</v>
      </c>
      <c r="C67" s="20">
        <f>'Daily exchange'!D23</f>
        <v>82.7</v>
      </c>
      <c r="D67" s="20"/>
      <c r="E67" s="20"/>
      <c r="F67" s="20"/>
      <c r="G67" s="20"/>
      <c r="H67" s="20"/>
      <c r="I67" s="21">
        <f t="shared" ref="I67" si="52">SUM(B67:H67)</f>
        <v>125.24781877000001</v>
      </c>
      <c r="J67" s="19">
        <f t="shared" si="32"/>
        <v>1395</v>
      </c>
      <c r="K67" s="20"/>
      <c r="L67" s="20"/>
      <c r="M67" s="20"/>
      <c r="N67" s="20"/>
      <c r="O67" s="20"/>
      <c r="P67" s="20"/>
      <c r="Q67" s="21">
        <f t="shared" ref="Q67" si="53">SUM(J67:P67)</f>
        <v>1395</v>
      </c>
    </row>
    <row r="68" spans="1:17" x14ac:dyDescent="0.35">
      <c r="A68" s="3">
        <f>+A67+3</f>
        <v>45117</v>
      </c>
      <c r="B68" s="19">
        <f>42529975.17/1000000</f>
        <v>42.52997517</v>
      </c>
      <c r="C68" s="20">
        <f>'Daily exchange'!D24</f>
        <v>82.7</v>
      </c>
      <c r="D68" s="20"/>
      <c r="E68" s="20"/>
      <c r="F68" s="20"/>
      <c r="G68" s="20"/>
      <c r="H68" s="20"/>
      <c r="I68" s="21">
        <f t="shared" ref="I68" si="54">SUM(B68:H68)</f>
        <v>125.22997517</v>
      </c>
      <c r="J68" s="19">
        <f t="shared" si="32"/>
        <v>1395</v>
      </c>
      <c r="K68" s="20"/>
      <c r="L68" s="20"/>
      <c r="M68" s="20"/>
      <c r="N68" s="20"/>
      <c r="O68" s="20"/>
      <c r="P68" s="20"/>
      <c r="Q68" s="21">
        <f t="shared" ref="Q68" si="55">SUM(J68:P68)</f>
        <v>1395</v>
      </c>
    </row>
    <row r="69" spans="1:17" x14ac:dyDescent="0.35">
      <c r="A69" s="3">
        <f>+A68+1</f>
        <v>45118</v>
      </c>
      <c r="B69" s="19">
        <f>42554341.76/1000000</f>
        <v>42.55434176</v>
      </c>
      <c r="C69" s="20">
        <f>'Daily exchange'!D25</f>
        <v>82.7</v>
      </c>
      <c r="D69" s="20"/>
      <c r="E69" s="20"/>
      <c r="F69" s="20"/>
      <c r="G69" s="20"/>
      <c r="H69" s="20"/>
      <c r="I69" s="21">
        <f t="shared" ref="I69" si="56">SUM(B69:H69)</f>
        <v>125.25434176</v>
      </c>
      <c r="J69" s="19">
        <f t="shared" si="32"/>
        <v>1395</v>
      </c>
      <c r="K69" s="20"/>
      <c r="L69" s="20"/>
      <c r="M69" s="20"/>
      <c r="N69" s="20"/>
      <c r="O69" s="20"/>
      <c r="P69" s="20"/>
      <c r="Q69" s="21">
        <f t="shared" ref="Q69" si="57">SUM(J69:P69)</f>
        <v>1395</v>
      </c>
    </row>
    <row r="70" spans="1:17" x14ac:dyDescent="0.35">
      <c r="A70" s="3">
        <f>+A69+1</f>
        <v>45119</v>
      </c>
      <c r="B70" s="19">
        <f>42554341.76/1000000</f>
        <v>42.55434176</v>
      </c>
      <c r="C70" s="20">
        <f>'Daily exchange'!D26</f>
        <v>82.7</v>
      </c>
      <c r="D70" s="20"/>
      <c r="E70" s="20"/>
      <c r="F70" s="20"/>
      <c r="G70" s="20"/>
      <c r="H70" s="20"/>
      <c r="I70" s="21">
        <f t="shared" ref="I70" si="58">SUM(B70:H70)</f>
        <v>125.25434176</v>
      </c>
      <c r="J70" s="19">
        <f t="shared" si="32"/>
        <v>1395</v>
      </c>
      <c r="K70" s="20"/>
      <c r="L70" s="20"/>
      <c r="M70" s="20"/>
      <c r="N70" s="20"/>
      <c r="O70" s="20"/>
      <c r="P70" s="20"/>
      <c r="Q70" s="21">
        <f t="shared" ref="Q70" si="59">SUM(J70:P70)</f>
        <v>1395</v>
      </c>
    </row>
    <row r="71" spans="1:17" x14ac:dyDescent="0.35">
      <c r="A71" s="3">
        <f>+A70+1</f>
        <v>45120</v>
      </c>
      <c r="B71" s="19">
        <f>42046501.13/1000000</f>
        <v>42.046501130000003</v>
      </c>
      <c r="C71" s="20">
        <f>'Daily exchange'!D27</f>
        <v>82.7</v>
      </c>
      <c r="D71" s="20"/>
      <c r="E71" s="20"/>
      <c r="F71" s="20"/>
      <c r="G71" s="20"/>
      <c r="H71" s="20"/>
      <c r="I71" s="21">
        <f t="shared" ref="I71" si="60">SUM(B71:H71)</f>
        <v>124.74650113000001</v>
      </c>
      <c r="J71" s="19">
        <f t="shared" si="32"/>
        <v>1395</v>
      </c>
      <c r="K71" s="20"/>
      <c r="L71" s="20"/>
      <c r="M71" s="20"/>
      <c r="N71" s="20"/>
      <c r="O71" s="20"/>
      <c r="P71" s="20"/>
      <c r="Q71" s="21">
        <f t="shared" ref="Q71" si="61">SUM(J71:P71)</f>
        <v>1395</v>
      </c>
    </row>
    <row r="72" spans="1:17" x14ac:dyDescent="0.35">
      <c r="A72" s="3">
        <f>+A71+1</f>
        <v>45121</v>
      </c>
      <c r="B72" s="19">
        <f>42032089.81/1000000</f>
        <v>42.032089810000002</v>
      </c>
      <c r="C72" s="20">
        <f>'Daily exchange'!D28</f>
        <v>82.7</v>
      </c>
      <c r="D72" s="20"/>
      <c r="E72" s="20"/>
      <c r="F72" s="20"/>
      <c r="G72" s="20"/>
      <c r="H72" s="20"/>
      <c r="I72" s="21">
        <f t="shared" ref="I72" si="62">SUM(B72:H72)</f>
        <v>124.73208981000001</v>
      </c>
      <c r="J72" s="19">
        <f t="shared" si="32"/>
        <v>1395</v>
      </c>
      <c r="K72" s="20"/>
      <c r="L72" s="20"/>
      <c r="M72" s="20"/>
      <c r="N72" s="20"/>
      <c r="O72" s="20"/>
      <c r="P72" s="20"/>
      <c r="Q72" s="21">
        <f t="shared" ref="Q72" si="63">SUM(J72:P72)</f>
        <v>1395</v>
      </c>
    </row>
    <row r="73" spans="1:17" x14ac:dyDescent="0.35">
      <c r="A73" s="3">
        <f>+A72+3</f>
        <v>45124</v>
      </c>
      <c r="B73" s="19">
        <f>42032089.81/1000000</f>
        <v>42.032089810000002</v>
      </c>
      <c r="C73" s="20">
        <f>'Daily exchange'!D29</f>
        <v>82.7</v>
      </c>
      <c r="D73" s="20"/>
      <c r="E73" s="20"/>
      <c r="F73" s="20"/>
      <c r="G73" s="20"/>
      <c r="H73" s="20"/>
      <c r="I73" s="21">
        <f t="shared" ref="I73" si="64">SUM(B73:H73)</f>
        <v>124.73208981000001</v>
      </c>
      <c r="J73" s="19">
        <f t="shared" si="32"/>
        <v>1395</v>
      </c>
      <c r="K73" s="20"/>
      <c r="L73" s="20"/>
      <c r="M73" s="20"/>
      <c r="N73" s="20"/>
      <c r="O73" s="20"/>
      <c r="P73" s="20"/>
      <c r="Q73" s="21">
        <f t="shared" ref="Q73" si="65">SUM(J73:P73)</f>
        <v>1395</v>
      </c>
    </row>
    <row r="74" spans="1:17" x14ac:dyDescent="0.35">
      <c r="A74" s="3">
        <f>+A73+1</f>
        <v>45125</v>
      </c>
      <c r="B74" s="19">
        <f>42032089.81/1000000</f>
        <v>42.032089810000002</v>
      </c>
      <c r="C74" s="20">
        <f>'Daily exchange'!D30</f>
        <v>82.7</v>
      </c>
      <c r="D74" s="20"/>
      <c r="E74" s="20"/>
      <c r="F74" s="20"/>
      <c r="G74" s="20"/>
      <c r="H74" s="20"/>
      <c r="I74" s="21">
        <f t="shared" ref="I74" si="66">SUM(B74:H74)</f>
        <v>124.73208981000001</v>
      </c>
      <c r="J74" s="19">
        <f t="shared" si="32"/>
        <v>1395</v>
      </c>
      <c r="K74" s="20"/>
      <c r="L74" s="20"/>
      <c r="M74" s="20"/>
      <c r="N74" s="20"/>
      <c r="O74" s="20"/>
      <c r="P74" s="20"/>
      <c r="Q74" s="21">
        <f t="shared" ref="Q74" si="67">SUM(J74:P74)</f>
        <v>1395</v>
      </c>
    </row>
    <row r="75" spans="1:17" x14ac:dyDescent="0.35">
      <c r="A75" s="3">
        <f>+A74+1</f>
        <v>45126</v>
      </c>
      <c r="B75" s="19">
        <f>42017563.83/1000000</f>
        <v>42.01756383</v>
      </c>
      <c r="C75" s="20">
        <f>'Daily exchange'!D31</f>
        <v>82.7</v>
      </c>
      <c r="D75" s="20"/>
      <c r="E75" s="20"/>
      <c r="F75" s="20"/>
      <c r="G75" s="20"/>
      <c r="H75" s="20"/>
      <c r="I75" s="21">
        <f t="shared" ref="I75" si="68">SUM(B75:H75)</f>
        <v>124.71756383</v>
      </c>
      <c r="J75" s="19">
        <f t="shared" si="32"/>
        <v>1395</v>
      </c>
      <c r="K75" s="20"/>
      <c r="L75" s="20"/>
      <c r="M75" s="20"/>
      <c r="N75" s="20"/>
      <c r="O75" s="20"/>
      <c r="P75" s="20"/>
      <c r="Q75" s="21">
        <f t="shared" ref="Q75" si="69">SUM(J75:P75)</f>
        <v>1395</v>
      </c>
    </row>
    <row r="76" spans="1:17" x14ac:dyDescent="0.35">
      <c r="A76" s="3">
        <f>+A75+1</f>
        <v>45127</v>
      </c>
      <c r="B76" s="19">
        <f>41815976.83/1000000</f>
        <v>41.815976829999997</v>
      </c>
      <c r="C76" s="20">
        <f>'Daily exchange'!D32</f>
        <v>82.7</v>
      </c>
      <c r="D76" s="20"/>
      <c r="E76" s="20"/>
      <c r="F76" s="20"/>
      <c r="G76" s="20"/>
      <c r="H76" s="20"/>
      <c r="I76" s="21">
        <f t="shared" ref="I76" si="70">SUM(B76:H76)</f>
        <v>124.51597683</v>
      </c>
      <c r="J76" s="19">
        <f t="shared" si="32"/>
        <v>1395</v>
      </c>
      <c r="K76" s="20"/>
      <c r="L76" s="20"/>
      <c r="M76" s="20"/>
      <c r="N76" s="20"/>
      <c r="O76" s="20"/>
      <c r="P76" s="20"/>
      <c r="Q76" s="21">
        <f t="shared" ref="Q76" si="71">SUM(J76:P76)</f>
        <v>1395</v>
      </c>
    </row>
    <row r="77" spans="1:17" x14ac:dyDescent="0.35">
      <c r="A77" s="3">
        <f>+A76+1</f>
        <v>45128</v>
      </c>
      <c r="B77" s="19">
        <f>41815976.83/1000000</f>
        <v>41.815976829999997</v>
      </c>
      <c r="C77" s="20">
        <f>'Daily exchange'!D33</f>
        <v>82.7</v>
      </c>
      <c r="D77" s="20"/>
      <c r="E77" s="20"/>
      <c r="F77" s="20"/>
      <c r="G77" s="20"/>
      <c r="H77" s="20"/>
      <c r="I77" s="21">
        <f t="shared" ref="I77" si="72">SUM(B77:H77)</f>
        <v>124.51597683</v>
      </c>
      <c r="J77" s="19">
        <f t="shared" si="32"/>
        <v>1395</v>
      </c>
      <c r="K77" s="20"/>
      <c r="L77" s="20"/>
      <c r="M77" s="20"/>
      <c r="N77" s="20"/>
      <c r="O77" s="20"/>
      <c r="P77" s="20"/>
      <c r="Q77" s="21">
        <f t="shared" ref="Q77" si="73">SUM(J77:P77)</f>
        <v>1395</v>
      </c>
    </row>
    <row r="78" spans="1:17" x14ac:dyDescent="0.35">
      <c r="A78" s="3">
        <f>+A77+3</f>
        <v>45131</v>
      </c>
      <c r="B78" s="19">
        <f>40592664.23/1000000</f>
        <v>40.592664229999997</v>
      </c>
      <c r="C78" s="20">
        <f>'Daily exchange'!D34</f>
        <v>82.7</v>
      </c>
      <c r="D78" s="20"/>
      <c r="E78" s="20"/>
      <c r="F78" s="20"/>
      <c r="G78" s="20"/>
      <c r="H78" s="20"/>
      <c r="I78" s="21">
        <f t="shared" ref="I78" si="74">SUM(B78:H78)</f>
        <v>123.29266423</v>
      </c>
      <c r="J78" s="19">
        <f t="shared" si="32"/>
        <v>1395</v>
      </c>
      <c r="K78" s="20"/>
      <c r="L78" s="20"/>
      <c r="M78" s="20"/>
      <c r="N78" s="20"/>
      <c r="O78" s="20"/>
      <c r="P78" s="20"/>
      <c r="Q78" s="21">
        <f t="shared" ref="Q78" si="75">SUM(J78:P78)</f>
        <v>1395</v>
      </c>
    </row>
    <row r="79" spans="1:17" x14ac:dyDescent="0.35">
      <c r="A79" s="3">
        <f>+A78+1</f>
        <v>45132</v>
      </c>
      <c r="B79" s="19">
        <f>40592664.23/1000000</f>
        <v>40.592664229999997</v>
      </c>
      <c r="C79" s="20">
        <f>'Daily exchange'!D35</f>
        <v>82.7</v>
      </c>
      <c r="D79" s="20"/>
      <c r="E79" s="20"/>
      <c r="F79" s="20"/>
      <c r="G79" s="20"/>
      <c r="H79" s="20"/>
      <c r="I79" s="21">
        <f t="shared" ref="I79" si="76">SUM(B79:H79)</f>
        <v>123.29266423</v>
      </c>
      <c r="J79" s="19">
        <f t="shared" si="32"/>
        <v>1395</v>
      </c>
      <c r="K79" s="20"/>
      <c r="L79" s="20"/>
      <c r="M79" s="20"/>
      <c r="N79" s="20"/>
      <c r="O79" s="20"/>
      <c r="P79" s="20"/>
      <c r="Q79" s="21">
        <f t="shared" ref="Q79" si="77">SUM(J79:P79)</f>
        <v>1395</v>
      </c>
    </row>
    <row r="80" spans="1:17" x14ac:dyDescent="0.35">
      <c r="A80" s="3">
        <f>+A79+1</f>
        <v>45133</v>
      </c>
      <c r="B80" s="19">
        <f>38241068.93/1000000</f>
        <v>38.241068929999997</v>
      </c>
      <c r="C80" s="20">
        <f>'Daily exchange'!D36</f>
        <v>82.7</v>
      </c>
      <c r="D80" s="20"/>
      <c r="E80" s="20"/>
      <c r="F80" s="20"/>
      <c r="G80" s="20"/>
      <c r="H80" s="20"/>
      <c r="I80" s="21">
        <f t="shared" ref="I80" si="78">SUM(B80:H80)</f>
        <v>120.94106893</v>
      </c>
      <c r="J80" s="19">
        <f t="shared" si="32"/>
        <v>1395</v>
      </c>
      <c r="K80" s="20"/>
      <c r="L80" s="20"/>
      <c r="M80" s="20"/>
      <c r="N80" s="20"/>
      <c r="O80" s="20"/>
      <c r="P80" s="20"/>
      <c r="Q80" s="21">
        <f t="shared" ref="Q80" si="79">SUM(J80:P80)</f>
        <v>1395</v>
      </c>
    </row>
    <row r="81" spans="1:17" x14ac:dyDescent="0.35">
      <c r="A81" s="3">
        <f>+A80+1</f>
        <v>45134</v>
      </c>
      <c r="B81" s="19">
        <f>38241068.93/1000000</f>
        <v>38.241068929999997</v>
      </c>
      <c r="C81" s="20">
        <f>'Daily exchange'!D37</f>
        <v>82.7</v>
      </c>
      <c r="D81" s="20"/>
      <c r="E81" s="20"/>
      <c r="F81" s="20"/>
      <c r="G81" s="20"/>
      <c r="H81" s="20"/>
      <c r="I81" s="21">
        <f t="shared" ref="I81" si="80">SUM(B81:H81)</f>
        <v>120.94106893</v>
      </c>
      <c r="J81" s="19">
        <f t="shared" si="32"/>
        <v>1395</v>
      </c>
      <c r="K81" s="20"/>
      <c r="L81" s="20"/>
      <c r="M81" s="20"/>
      <c r="N81" s="20"/>
      <c r="O81" s="20"/>
      <c r="P81" s="20"/>
      <c r="Q81" s="21">
        <f t="shared" ref="Q81" si="81">SUM(J81:P81)</f>
        <v>1395</v>
      </c>
    </row>
    <row r="82" spans="1:17" x14ac:dyDescent="0.35">
      <c r="A82" s="3">
        <f>+A81+1</f>
        <v>45135</v>
      </c>
      <c r="B82" s="19">
        <f>38102327.11/1000000</f>
        <v>38.102327109999997</v>
      </c>
      <c r="C82" s="20">
        <f>'Daily exchange'!D38</f>
        <v>82.7</v>
      </c>
      <c r="D82" s="20"/>
      <c r="E82" s="20"/>
      <c r="F82" s="20"/>
      <c r="G82" s="20"/>
      <c r="H82" s="20"/>
      <c r="I82" s="21">
        <f t="shared" ref="I82" si="82">SUM(B82:H82)</f>
        <v>120.80232710999999</v>
      </c>
      <c r="J82" s="19">
        <f t="shared" si="32"/>
        <v>1395</v>
      </c>
      <c r="K82" s="20"/>
      <c r="L82" s="20"/>
      <c r="M82" s="20"/>
      <c r="N82" s="20"/>
      <c r="O82" s="20"/>
      <c r="P82" s="20"/>
      <c r="Q82" s="21">
        <f t="shared" ref="Q82" si="83">SUM(J82:P82)</f>
        <v>1395</v>
      </c>
    </row>
    <row r="83" spans="1:17" x14ac:dyDescent="0.35">
      <c r="A83" s="3">
        <f>+A82+3</f>
        <v>45138</v>
      </c>
      <c r="B83" s="19">
        <f>38102327.11/1000000</f>
        <v>38.102327109999997</v>
      </c>
      <c r="C83" s="20">
        <f>'Daily exchange'!D39</f>
        <v>82.7</v>
      </c>
      <c r="D83" s="20"/>
      <c r="E83" s="20"/>
      <c r="F83" s="20"/>
      <c r="G83" s="20"/>
      <c r="H83" s="20"/>
      <c r="I83" s="21">
        <f t="shared" ref="I83" si="84">SUM(B83:H83)</f>
        <v>120.80232710999999</v>
      </c>
      <c r="J83" s="19">
        <f t="shared" si="32"/>
        <v>1395</v>
      </c>
      <c r="K83" s="20"/>
      <c r="L83" s="20"/>
      <c r="M83" s="20"/>
      <c r="N83" s="20"/>
      <c r="O83" s="20"/>
      <c r="P83" s="20"/>
      <c r="Q83" s="21">
        <f t="shared" ref="Q83" si="85">SUM(J83:P83)</f>
        <v>1395</v>
      </c>
    </row>
    <row r="84" spans="1:17" x14ac:dyDescent="0.35">
      <c r="A84" s="3">
        <f>+A83+1</f>
        <v>45139</v>
      </c>
      <c r="B84" s="19">
        <f>38087054.46/1000000</f>
        <v>38.087054459999997</v>
      </c>
      <c r="C84" s="20">
        <f>'Daily exchange'!D40</f>
        <v>82.7</v>
      </c>
      <c r="D84" s="20"/>
      <c r="E84" s="20"/>
      <c r="F84" s="20"/>
      <c r="G84" s="20"/>
      <c r="H84" s="20"/>
      <c r="I84" s="21">
        <f t="shared" ref="I84" si="86">SUM(B84:H84)</f>
        <v>120.78705446000001</v>
      </c>
      <c r="J84" s="19">
        <f t="shared" si="32"/>
        <v>1395</v>
      </c>
      <c r="K84" s="20"/>
      <c r="L84" s="20"/>
      <c r="M84" s="20"/>
      <c r="N84" s="20"/>
      <c r="O84" s="20"/>
      <c r="P84" s="20"/>
      <c r="Q84" s="21">
        <f t="shared" ref="Q84" si="87">SUM(J84:P84)</f>
        <v>1395</v>
      </c>
    </row>
    <row r="85" spans="1:17" x14ac:dyDescent="0.35">
      <c r="A85" s="3">
        <f>+A84+1</f>
        <v>45140</v>
      </c>
      <c r="B85" s="19">
        <f>38084426.26/1000000</f>
        <v>38.084426260000001</v>
      </c>
      <c r="C85" s="20">
        <f>'Daily exchange'!D41</f>
        <v>82.7</v>
      </c>
      <c r="D85" s="20"/>
      <c r="E85" s="20"/>
      <c r="F85" s="20"/>
      <c r="G85" s="20"/>
      <c r="H85" s="20"/>
      <c r="I85" s="21">
        <f t="shared" ref="I85" si="88">SUM(B85:H85)</f>
        <v>120.78442626</v>
      </c>
      <c r="J85" s="19">
        <f t="shared" si="32"/>
        <v>1395</v>
      </c>
      <c r="K85" s="20"/>
      <c r="L85" s="20"/>
      <c r="M85" s="20"/>
      <c r="N85" s="20"/>
      <c r="O85" s="20"/>
      <c r="P85" s="20"/>
      <c r="Q85" s="21">
        <f t="shared" ref="Q85" si="89">SUM(J85:P85)</f>
        <v>1395</v>
      </c>
    </row>
    <row r="86" spans="1:17" x14ac:dyDescent="0.35">
      <c r="A86" s="3">
        <f>+A85+1</f>
        <v>45141</v>
      </c>
      <c r="B86" s="19">
        <f>38084426.26/1000000</f>
        <v>38.084426260000001</v>
      </c>
      <c r="C86" s="20">
        <f>'Daily exchange'!D42</f>
        <v>82.7</v>
      </c>
      <c r="D86" s="20"/>
      <c r="E86" s="20"/>
      <c r="F86" s="20"/>
      <c r="G86" s="20"/>
      <c r="H86" s="20"/>
      <c r="I86" s="21">
        <f t="shared" ref="I86" si="90">SUM(B86:H86)</f>
        <v>120.78442626</v>
      </c>
      <c r="J86" s="19">
        <f t="shared" si="32"/>
        <v>1395</v>
      </c>
      <c r="K86" s="20"/>
      <c r="L86" s="20"/>
      <c r="M86" s="20"/>
      <c r="N86" s="20"/>
      <c r="O86" s="20"/>
      <c r="P86" s="20"/>
      <c r="Q86" s="21">
        <f t="shared" ref="Q86" si="91">SUM(J86:P86)</f>
        <v>1395</v>
      </c>
    </row>
    <row r="87" spans="1:17" x14ac:dyDescent="0.35">
      <c r="A87" s="3">
        <f>+A86+1</f>
        <v>45142</v>
      </c>
      <c r="B87" s="19">
        <f>38084426.26/1000000</f>
        <v>38.084426260000001</v>
      </c>
      <c r="C87" s="20">
        <f>'Daily exchange'!D43</f>
        <v>82.7</v>
      </c>
      <c r="D87" s="20"/>
      <c r="E87" s="20"/>
      <c r="F87" s="20"/>
      <c r="G87" s="20"/>
      <c r="H87" s="20"/>
      <c r="I87" s="21">
        <f t="shared" ref="I87" si="92">SUM(B87:H87)</f>
        <v>120.78442626</v>
      </c>
      <c r="J87" s="19">
        <f t="shared" si="32"/>
        <v>1395</v>
      </c>
      <c r="K87" s="20"/>
      <c r="L87" s="20"/>
      <c r="M87" s="20"/>
      <c r="N87" s="20"/>
      <c r="O87" s="20"/>
      <c r="P87" s="20"/>
      <c r="Q87" s="21">
        <f t="shared" ref="Q87" si="93">SUM(J87:P87)</f>
        <v>1395</v>
      </c>
    </row>
    <row r="88" spans="1:17" x14ac:dyDescent="0.35">
      <c r="A88" s="3">
        <f>+A87+3</f>
        <v>45145</v>
      </c>
      <c r="B88" s="19">
        <f>37954558.12/1000000</f>
        <v>37.954558119999994</v>
      </c>
      <c r="C88" s="20">
        <f>'Daily exchange'!D44</f>
        <v>82.7</v>
      </c>
      <c r="D88" s="20"/>
      <c r="E88" s="20"/>
      <c r="F88" s="20"/>
      <c r="G88" s="20"/>
      <c r="H88" s="20"/>
      <c r="I88" s="21">
        <f t="shared" ref="I88" si="94">SUM(B88:H88)</f>
        <v>120.65455811999999</v>
      </c>
      <c r="J88" s="19">
        <f t="shared" si="32"/>
        <v>1395</v>
      </c>
      <c r="K88" s="20"/>
      <c r="L88" s="20"/>
      <c r="M88" s="20"/>
      <c r="N88" s="20"/>
      <c r="O88" s="20"/>
      <c r="P88" s="20"/>
      <c r="Q88" s="21">
        <f t="shared" ref="Q88" si="95">SUM(J88:P88)</f>
        <v>1395</v>
      </c>
    </row>
    <row r="89" spans="1:17" x14ac:dyDescent="0.35">
      <c r="A89" s="3">
        <f>+A88+1</f>
        <v>45146</v>
      </c>
      <c r="B89" s="19">
        <f>38741673.19/1000000</f>
        <v>38.74167319</v>
      </c>
      <c r="C89" s="20">
        <f>'Daily exchange'!D45</f>
        <v>82.7</v>
      </c>
      <c r="D89" s="20"/>
      <c r="E89" s="20"/>
      <c r="F89" s="20"/>
      <c r="G89" s="20"/>
      <c r="H89" s="20"/>
      <c r="I89" s="21">
        <f t="shared" ref="I89" si="96">SUM(B89:H89)</f>
        <v>121.44167319</v>
      </c>
      <c r="J89" s="19">
        <f t="shared" ref="J89:J107" si="97">(307000000+1090000000)/1000000</f>
        <v>1397</v>
      </c>
      <c r="K89" s="20"/>
      <c r="L89" s="20"/>
      <c r="M89" s="20"/>
      <c r="N89" s="20"/>
      <c r="O89" s="20"/>
      <c r="P89" s="20"/>
      <c r="Q89" s="21">
        <f t="shared" ref="Q89" si="98">SUM(J89:P89)</f>
        <v>1397</v>
      </c>
    </row>
    <row r="90" spans="1:17" x14ac:dyDescent="0.35">
      <c r="A90" s="3">
        <f>+A89+1</f>
        <v>45147</v>
      </c>
      <c r="B90" s="19">
        <f>37492281.86/1000000</f>
        <v>37.492281859999999</v>
      </c>
      <c r="C90" s="20">
        <f>'Daily exchange'!D46</f>
        <v>82.7</v>
      </c>
      <c r="D90" s="20"/>
      <c r="E90" s="20"/>
      <c r="F90" s="20"/>
      <c r="G90" s="20"/>
      <c r="H90" s="20"/>
      <c r="I90" s="21">
        <f t="shared" ref="I90" si="99">SUM(B90:H90)</f>
        <v>120.19228186000001</v>
      </c>
      <c r="J90" s="19">
        <f t="shared" si="97"/>
        <v>1397</v>
      </c>
      <c r="K90" s="20"/>
      <c r="L90" s="20"/>
      <c r="M90" s="20"/>
      <c r="N90" s="20"/>
      <c r="O90" s="20"/>
      <c r="P90" s="20"/>
      <c r="Q90" s="21">
        <f t="shared" ref="Q90" si="100">SUM(J90:P90)</f>
        <v>1397</v>
      </c>
    </row>
    <row r="91" spans="1:17" x14ac:dyDescent="0.35">
      <c r="A91" s="3">
        <f>+A90+1</f>
        <v>45148</v>
      </c>
      <c r="B91" s="19">
        <f>37396903.13/1000000</f>
        <v>37.396903130000005</v>
      </c>
      <c r="C91" s="20">
        <f>'Daily exchange'!D47</f>
        <v>82.7</v>
      </c>
      <c r="D91" s="20"/>
      <c r="E91" s="20"/>
      <c r="F91" s="20"/>
      <c r="G91" s="20"/>
      <c r="H91" s="20"/>
      <c r="I91" s="21">
        <f t="shared" ref="I91" si="101">SUM(B91:H91)</f>
        <v>120.09690313000002</v>
      </c>
      <c r="J91" s="19">
        <f t="shared" si="97"/>
        <v>1397</v>
      </c>
      <c r="K91" s="20"/>
      <c r="L91" s="20"/>
      <c r="M91" s="20"/>
      <c r="N91" s="20"/>
      <c r="O91" s="20"/>
      <c r="P91" s="20"/>
      <c r="Q91" s="21">
        <f t="shared" ref="Q91" si="102">SUM(J91:P91)</f>
        <v>1397</v>
      </c>
    </row>
    <row r="92" spans="1:17" x14ac:dyDescent="0.35">
      <c r="A92" s="3">
        <f>+A91+1</f>
        <v>45149</v>
      </c>
      <c r="B92" s="19">
        <f>37426903.13/1000000</f>
        <v>37.426903129999999</v>
      </c>
      <c r="C92" s="20">
        <f>'Daily exchange'!D48</f>
        <v>82.7</v>
      </c>
      <c r="D92" s="20"/>
      <c r="E92" s="20"/>
      <c r="F92" s="20"/>
      <c r="G92" s="20"/>
      <c r="H92" s="20"/>
      <c r="I92" s="21">
        <f t="shared" ref="I92" si="103">SUM(B92:H92)</f>
        <v>120.12690313</v>
      </c>
      <c r="J92" s="19">
        <f t="shared" si="97"/>
        <v>1397</v>
      </c>
      <c r="K92" s="20"/>
      <c r="L92" s="20"/>
      <c r="M92" s="20"/>
      <c r="N92" s="20"/>
      <c r="O92" s="20"/>
      <c r="P92" s="20"/>
      <c r="Q92" s="21">
        <f t="shared" ref="Q92" si="104">SUM(J92:P92)</f>
        <v>1397</v>
      </c>
    </row>
    <row r="93" spans="1:17" x14ac:dyDescent="0.35">
      <c r="A93" s="3">
        <f>+A92+3</f>
        <v>45152</v>
      </c>
      <c r="B93" s="19">
        <f>36226376.7/1000000</f>
        <v>36.226376700000003</v>
      </c>
      <c r="C93" s="20">
        <f>'Daily exchange'!D49</f>
        <v>82.7</v>
      </c>
      <c r="D93" s="20"/>
      <c r="E93" s="20"/>
      <c r="F93" s="20"/>
      <c r="G93" s="20"/>
      <c r="H93" s="20"/>
      <c r="I93" s="21">
        <f t="shared" ref="I93" si="105">SUM(B93:H93)</f>
        <v>118.92637670000001</v>
      </c>
      <c r="J93" s="19">
        <f t="shared" si="97"/>
        <v>1397</v>
      </c>
      <c r="K93" s="20"/>
      <c r="L93" s="20"/>
      <c r="M93" s="20"/>
      <c r="N93" s="20"/>
      <c r="O93" s="20"/>
      <c r="P93" s="20"/>
      <c r="Q93" s="21">
        <f t="shared" ref="Q93" si="106">SUM(J93:P93)</f>
        <v>1397</v>
      </c>
    </row>
    <row r="94" spans="1:17" x14ac:dyDescent="0.35">
      <c r="A94" s="3">
        <f>+A93+1</f>
        <v>45153</v>
      </c>
      <c r="B94" s="19">
        <f>41010109.58/1000000</f>
        <v>41.010109579999998</v>
      </c>
      <c r="C94" s="20">
        <f>'Daily exchange'!D50</f>
        <v>82.7</v>
      </c>
      <c r="D94" s="20"/>
      <c r="E94" s="20"/>
      <c r="F94" s="20"/>
      <c r="G94" s="20"/>
      <c r="H94" s="20"/>
      <c r="I94" s="21">
        <f t="shared" ref="I94" si="107">SUM(B94:H94)</f>
        <v>123.71010957999999</v>
      </c>
      <c r="J94" s="19">
        <f t="shared" si="97"/>
        <v>1397</v>
      </c>
      <c r="K94" s="20"/>
      <c r="L94" s="20"/>
      <c r="M94" s="20"/>
      <c r="N94" s="20"/>
      <c r="O94" s="20"/>
      <c r="P94" s="20"/>
      <c r="Q94" s="21">
        <f t="shared" ref="Q94" si="108">SUM(J94:P94)</f>
        <v>1397</v>
      </c>
    </row>
    <row r="95" spans="1:17" x14ac:dyDescent="0.35">
      <c r="A95" s="3">
        <f>+A94+1</f>
        <v>45154</v>
      </c>
      <c r="B95" s="19">
        <f>40439719.02/1000000</f>
        <v>40.439719020000005</v>
      </c>
      <c r="C95" s="20">
        <f>'Daily exchange'!D51</f>
        <v>82.7</v>
      </c>
      <c r="D95" s="20"/>
      <c r="E95" s="20"/>
      <c r="F95" s="20"/>
      <c r="G95" s="20"/>
      <c r="H95" s="20"/>
      <c r="I95" s="21">
        <f t="shared" ref="I95" si="109">SUM(B95:H95)</f>
        <v>123.13971902</v>
      </c>
      <c r="J95" s="19">
        <f t="shared" si="97"/>
        <v>1397</v>
      </c>
      <c r="K95" s="20"/>
      <c r="L95" s="20"/>
      <c r="M95" s="20"/>
      <c r="N95" s="20"/>
      <c r="O95" s="20"/>
      <c r="P95" s="20"/>
      <c r="Q95" s="21">
        <f t="shared" ref="Q95" si="110">SUM(J95:P95)</f>
        <v>1397</v>
      </c>
    </row>
    <row r="96" spans="1:17" x14ac:dyDescent="0.35">
      <c r="A96" s="3">
        <f>+A95+1</f>
        <v>45155</v>
      </c>
      <c r="B96" s="19">
        <f>40436485.02/1000000</f>
        <v>40.436485020000006</v>
      </c>
      <c r="C96" s="20">
        <f>'Daily exchange'!D52</f>
        <v>82.7</v>
      </c>
      <c r="D96" s="20"/>
      <c r="E96" s="20"/>
      <c r="F96" s="20"/>
      <c r="G96" s="20"/>
      <c r="H96" s="20"/>
      <c r="I96" s="21">
        <f t="shared" ref="I96" si="111">SUM(B96:H96)</f>
        <v>123.13648502000001</v>
      </c>
      <c r="J96" s="19">
        <f t="shared" si="97"/>
        <v>1397</v>
      </c>
      <c r="K96" s="20"/>
      <c r="L96" s="20"/>
      <c r="M96" s="20"/>
      <c r="N96" s="20"/>
      <c r="O96" s="20"/>
      <c r="P96" s="20"/>
      <c r="Q96" s="21">
        <f t="shared" ref="Q96" si="112">SUM(J96:P96)</f>
        <v>1397</v>
      </c>
    </row>
    <row r="97" spans="1:17" x14ac:dyDescent="0.35">
      <c r="A97" s="3">
        <f>+A96+1</f>
        <v>45156</v>
      </c>
      <c r="B97" s="19">
        <f>(4850836.71+35574458.31)/1000000</f>
        <v>40.42529502</v>
      </c>
      <c r="C97" s="20">
        <f>'Daily exchange'!D53</f>
        <v>82.7</v>
      </c>
      <c r="D97" s="20"/>
      <c r="E97" s="20"/>
      <c r="F97" s="20"/>
      <c r="G97" s="20"/>
      <c r="H97" s="20"/>
      <c r="I97" s="21">
        <f t="shared" ref="I97" si="113">SUM(B97:H97)</f>
        <v>123.12529502000001</v>
      </c>
      <c r="J97" s="19">
        <f t="shared" si="97"/>
        <v>1397</v>
      </c>
      <c r="K97" s="20"/>
      <c r="L97" s="20"/>
      <c r="M97" s="20"/>
      <c r="N97" s="20"/>
      <c r="O97" s="20"/>
      <c r="P97" s="20"/>
      <c r="Q97" s="21">
        <f t="shared" ref="Q97" si="114">SUM(J97:P97)</f>
        <v>1397</v>
      </c>
    </row>
    <row r="98" spans="1:17" x14ac:dyDescent="0.35">
      <c r="A98" s="3">
        <f>+A97+3</f>
        <v>45159</v>
      </c>
      <c r="B98" s="19">
        <f>(4850836.71+35574458.31)/1000000</f>
        <v>40.42529502</v>
      </c>
      <c r="C98" s="20">
        <f>'Daily exchange'!D54</f>
        <v>82.7</v>
      </c>
      <c r="D98" s="20"/>
      <c r="E98" s="20"/>
      <c r="F98" s="20"/>
      <c r="G98" s="20"/>
      <c r="H98" s="20"/>
      <c r="I98" s="21">
        <f t="shared" ref="I98" si="115">SUM(B98:H98)</f>
        <v>123.12529502000001</v>
      </c>
      <c r="J98" s="19">
        <f t="shared" si="97"/>
        <v>1397</v>
      </c>
      <c r="K98" s="20"/>
      <c r="L98" s="20"/>
      <c r="M98" s="20"/>
      <c r="N98" s="20"/>
      <c r="O98" s="20"/>
      <c r="P98" s="20"/>
      <c r="Q98" s="21">
        <f t="shared" ref="Q98" si="116">SUM(J98:P98)</f>
        <v>1397</v>
      </c>
    </row>
    <row r="99" spans="1:17" x14ac:dyDescent="0.35">
      <c r="A99" s="3">
        <f>+A98+1</f>
        <v>45160</v>
      </c>
      <c r="B99" s="19">
        <f>(4850836.71+35574458.31)/1000000</f>
        <v>40.42529502</v>
      </c>
      <c r="C99" s="20">
        <f>'Daily exchange'!D55</f>
        <v>82.7</v>
      </c>
      <c r="D99" s="20"/>
      <c r="E99" s="20"/>
      <c r="F99" s="20"/>
      <c r="G99" s="20"/>
      <c r="H99" s="20"/>
      <c r="I99" s="21">
        <f t="shared" ref="I99" si="117">SUM(B99:H99)</f>
        <v>123.12529502000001</v>
      </c>
      <c r="J99" s="19">
        <f t="shared" si="97"/>
        <v>1397</v>
      </c>
      <c r="K99" s="20"/>
      <c r="L99" s="20"/>
      <c r="M99" s="20"/>
      <c r="N99" s="20"/>
      <c r="O99" s="20"/>
      <c r="P99" s="20"/>
      <c r="Q99" s="21">
        <f t="shared" ref="Q99" si="118">SUM(J99:P99)</f>
        <v>1397</v>
      </c>
    </row>
    <row r="100" spans="1:17" x14ac:dyDescent="0.35">
      <c r="A100" s="3">
        <f>+A99+1</f>
        <v>45161</v>
      </c>
      <c r="B100" s="19">
        <f>(4850836.71+35574458.31)/1000000</f>
        <v>40.42529502</v>
      </c>
      <c r="C100" s="20">
        <f>'Daily exchange'!D56</f>
        <v>82.7</v>
      </c>
      <c r="D100" s="20"/>
      <c r="E100" s="20"/>
      <c r="F100" s="20"/>
      <c r="G100" s="20"/>
      <c r="H100" s="20"/>
      <c r="I100" s="21">
        <f t="shared" ref="I100" si="119">SUM(B100:H100)</f>
        <v>123.12529502000001</v>
      </c>
      <c r="J100" s="19">
        <f t="shared" si="97"/>
        <v>1397</v>
      </c>
      <c r="K100" s="20"/>
      <c r="L100" s="20"/>
      <c r="M100" s="20"/>
      <c r="N100" s="20"/>
      <c r="O100" s="20"/>
      <c r="P100" s="20"/>
      <c r="Q100" s="21">
        <f t="shared" ref="Q100" si="120">SUM(J100:P100)</f>
        <v>1397</v>
      </c>
    </row>
    <row r="101" spans="1:17" x14ac:dyDescent="0.35">
      <c r="A101" s="3">
        <f>+A100+1</f>
        <v>45162</v>
      </c>
      <c r="B101" s="19">
        <f t="shared" ref="B101:B106" si="121">(4850836.71+34565209.75)/1000000</f>
        <v>39.416046460000004</v>
      </c>
      <c r="C101" s="20">
        <f>'Daily exchange'!D57</f>
        <v>82.7</v>
      </c>
      <c r="D101" s="20"/>
      <c r="E101" s="20"/>
      <c r="F101" s="20"/>
      <c r="G101" s="20"/>
      <c r="H101" s="20"/>
      <c r="I101" s="21">
        <f t="shared" ref="I101" si="122">SUM(B101:H101)</f>
        <v>122.11604646000001</v>
      </c>
      <c r="J101" s="19">
        <f t="shared" si="97"/>
        <v>1397</v>
      </c>
      <c r="K101" s="20"/>
      <c r="L101" s="20"/>
      <c r="M101" s="20"/>
      <c r="N101" s="20"/>
      <c r="O101" s="20"/>
      <c r="P101" s="20"/>
      <c r="Q101" s="21">
        <f t="shared" ref="Q101" si="123">SUM(J101:P101)</f>
        <v>1397</v>
      </c>
    </row>
    <row r="102" spans="1:17" x14ac:dyDescent="0.35">
      <c r="A102" s="3">
        <f>+A101+1</f>
        <v>45163</v>
      </c>
      <c r="B102" s="19">
        <f t="shared" si="121"/>
        <v>39.416046460000004</v>
      </c>
      <c r="C102" s="20">
        <f>'Daily exchange'!D58</f>
        <v>82.7</v>
      </c>
      <c r="D102" s="20"/>
      <c r="E102" s="20"/>
      <c r="F102" s="20"/>
      <c r="G102" s="20"/>
      <c r="H102" s="20"/>
      <c r="I102" s="21">
        <f t="shared" ref="I102" si="124">SUM(B102:H102)</f>
        <v>122.11604646000001</v>
      </c>
      <c r="J102" s="19">
        <f t="shared" si="97"/>
        <v>1397</v>
      </c>
      <c r="K102" s="20"/>
      <c r="L102" s="20"/>
      <c r="M102" s="20"/>
      <c r="N102" s="20"/>
      <c r="O102" s="20"/>
      <c r="P102" s="20"/>
      <c r="Q102" s="21">
        <f t="shared" ref="Q102" si="125">SUM(J102:P102)</f>
        <v>1397</v>
      </c>
    </row>
    <row r="103" spans="1:17" x14ac:dyDescent="0.35">
      <c r="A103" s="3">
        <f>+A102+3</f>
        <v>45166</v>
      </c>
      <c r="B103" s="19">
        <f t="shared" si="121"/>
        <v>39.416046460000004</v>
      </c>
      <c r="C103" s="20">
        <f>'Daily exchange'!D59</f>
        <v>82.7</v>
      </c>
      <c r="D103" s="20"/>
      <c r="E103" s="20"/>
      <c r="F103" s="20"/>
      <c r="G103" s="20"/>
      <c r="H103" s="20"/>
      <c r="I103" s="21">
        <f t="shared" ref="I103" si="126">SUM(B103:H103)</f>
        <v>122.11604646000001</v>
      </c>
      <c r="J103" s="19">
        <f t="shared" si="97"/>
        <v>1397</v>
      </c>
      <c r="K103" s="20"/>
      <c r="L103" s="20"/>
      <c r="M103" s="20"/>
      <c r="N103" s="20"/>
      <c r="O103" s="20"/>
      <c r="P103" s="20"/>
      <c r="Q103" s="21">
        <f t="shared" ref="Q103" si="127">SUM(J103:P103)</f>
        <v>1397</v>
      </c>
    </row>
    <row r="104" spans="1:17" x14ac:dyDescent="0.35">
      <c r="A104" s="3">
        <f>+A103+1</f>
        <v>45167</v>
      </c>
      <c r="B104" s="19">
        <f t="shared" si="121"/>
        <v>39.416046460000004</v>
      </c>
      <c r="C104" s="20">
        <f>'Daily exchange'!D60</f>
        <v>82.7</v>
      </c>
      <c r="D104" s="20"/>
      <c r="E104" s="20"/>
      <c r="F104" s="20"/>
      <c r="G104" s="20"/>
      <c r="H104" s="20"/>
      <c r="I104" s="21">
        <f t="shared" ref="I104" si="128">SUM(B104:H104)</f>
        <v>122.11604646000001</v>
      </c>
      <c r="J104" s="19">
        <f t="shared" si="97"/>
        <v>1397</v>
      </c>
      <c r="K104" s="20"/>
      <c r="L104" s="20"/>
      <c r="M104" s="20"/>
      <c r="N104" s="20"/>
      <c r="O104" s="20"/>
      <c r="P104" s="20"/>
      <c r="Q104" s="21">
        <f t="shared" ref="Q104" si="129">SUM(J104:P104)</f>
        <v>1397</v>
      </c>
    </row>
    <row r="105" spans="1:17" x14ac:dyDescent="0.35">
      <c r="A105" s="3">
        <f>+A104+1</f>
        <v>45168</v>
      </c>
      <c r="B105" s="19">
        <f t="shared" si="121"/>
        <v>39.416046460000004</v>
      </c>
      <c r="C105" s="20">
        <f>'Daily exchange'!D61</f>
        <v>82.7</v>
      </c>
      <c r="D105" s="20"/>
      <c r="E105" s="20"/>
      <c r="F105" s="20"/>
      <c r="G105" s="20"/>
      <c r="H105" s="20"/>
      <c r="I105" s="21">
        <f t="shared" ref="I105" si="130">SUM(B105:H105)</f>
        <v>122.11604646000001</v>
      </c>
      <c r="J105" s="19">
        <f t="shared" si="97"/>
        <v>1397</v>
      </c>
      <c r="K105" s="20"/>
      <c r="L105" s="20"/>
      <c r="M105" s="20"/>
      <c r="N105" s="20"/>
      <c r="O105" s="20"/>
      <c r="P105" s="20"/>
      <c r="Q105" s="21">
        <f t="shared" ref="Q105" si="131">SUM(J105:P105)</f>
        <v>1397</v>
      </c>
    </row>
    <row r="106" spans="1:17" x14ac:dyDescent="0.35">
      <c r="A106" s="3">
        <f>+A105+1</f>
        <v>45169</v>
      </c>
      <c r="B106" s="19">
        <f t="shared" si="121"/>
        <v>39.416046460000004</v>
      </c>
      <c r="C106" s="20">
        <f>'Daily exchange'!D62</f>
        <v>82.7</v>
      </c>
      <c r="D106" s="20"/>
      <c r="E106" s="20"/>
      <c r="F106" s="20"/>
      <c r="G106" s="20"/>
      <c r="H106" s="20"/>
      <c r="I106" s="21">
        <f t="shared" ref="I106" si="132">SUM(B106:H106)</f>
        <v>122.11604646000001</v>
      </c>
      <c r="J106" s="19">
        <f t="shared" si="97"/>
        <v>1397</v>
      </c>
      <c r="K106" s="20"/>
      <c r="L106" s="20"/>
      <c r="M106" s="20"/>
      <c r="N106" s="20"/>
      <c r="O106" s="20"/>
      <c r="P106" s="20"/>
      <c r="Q106" s="21">
        <f t="shared" ref="Q106" si="133">SUM(J106:P106)</f>
        <v>1397</v>
      </c>
    </row>
    <row r="107" spans="1:17" x14ac:dyDescent="0.35">
      <c r="A107" s="3">
        <f>+A106+1</f>
        <v>45170</v>
      </c>
      <c r="B107" s="19">
        <f>39414246.46/1000000</f>
        <v>39.414246460000001</v>
      </c>
      <c r="C107" s="20">
        <f>'Daily exchange'!D63</f>
        <v>82.7</v>
      </c>
      <c r="D107" s="20"/>
      <c r="E107" s="20"/>
      <c r="F107" s="20"/>
      <c r="G107" s="20"/>
      <c r="H107" s="20"/>
      <c r="I107" s="21">
        <f t="shared" ref="I107" si="134">SUM(B107:H107)</f>
        <v>122.11424646</v>
      </c>
      <c r="J107" s="19">
        <f t="shared" si="97"/>
        <v>1397</v>
      </c>
      <c r="K107" s="20"/>
      <c r="L107" s="20"/>
      <c r="M107" s="20"/>
      <c r="N107" s="20"/>
      <c r="O107" s="20"/>
      <c r="P107" s="20"/>
      <c r="Q107" s="21">
        <f t="shared" ref="Q107" si="135">SUM(J107:P107)</f>
        <v>1397</v>
      </c>
    </row>
    <row r="108" spans="1:17" x14ac:dyDescent="0.35">
      <c r="A108" s="3">
        <f>+A107+3</f>
        <v>45173</v>
      </c>
      <c r="B108" s="19">
        <f>42553039.41/1000000</f>
        <v>42.553039409999997</v>
      </c>
      <c r="C108" s="20">
        <f>'Daily exchange'!D64</f>
        <v>82.7</v>
      </c>
      <c r="D108" s="20"/>
      <c r="E108" s="20"/>
      <c r="F108" s="20"/>
      <c r="G108" s="20"/>
      <c r="H108" s="20"/>
      <c r="I108" s="21">
        <f t="shared" ref="I108" si="136">SUM(B108:H108)</f>
        <v>125.25303941</v>
      </c>
      <c r="J108" s="19">
        <f t="shared" ref="J108:J130" si="137">(307000000+1100000000)/1000000</f>
        <v>1407</v>
      </c>
      <c r="K108" s="20"/>
      <c r="L108" s="20"/>
      <c r="M108" s="20"/>
      <c r="N108" s="20"/>
      <c r="O108" s="20"/>
      <c r="P108" s="20"/>
      <c r="Q108" s="21">
        <f t="shared" ref="Q108" si="138">SUM(J108:P108)</f>
        <v>1407</v>
      </c>
    </row>
    <row r="109" spans="1:17" x14ac:dyDescent="0.35">
      <c r="A109" s="3">
        <f>+A108+1</f>
        <v>45174</v>
      </c>
      <c r="B109" s="19">
        <f>42583039.41/1000000</f>
        <v>42.583039409999998</v>
      </c>
      <c r="C109" s="20">
        <f>'Daily exchange'!D65</f>
        <v>82.7</v>
      </c>
      <c r="D109" s="20"/>
      <c r="E109" s="20"/>
      <c r="F109" s="20"/>
      <c r="G109" s="20"/>
      <c r="H109" s="20"/>
      <c r="I109" s="21">
        <f t="shared" ref="I109" si="139">SUM(B109:H109)</f>
        <v>125.28303941</v>
      </c>
      <c r="J109" s="19">
        <f t="shared" si="137"/>
        <v>1407</v>
      </c>
      <c r="K109" s="20"/>
      <c r="L109" s="20"/>
      <c r="M109" s="20"/>
      <c r="N109" s="20"/>
      <c r="O109" s="20"/>
      <c r="P109" s="20"/>
      <c r="Q109" s="21">
        <f t="shared" ref="Q109" si="140">SUM(J109:P109)</f>
        <v>1407</v>
      </c>
    </row>
    <row r="110" spans="1:17" x14ac:dyDescent="0.35">
      <c r="A110" s="3">
        <f>+A109+1</f>
        <v>45175</v>
      </c>
      <c r="B110" s="19">
        <f>42207318.24/1000000</f>
        <v>42.207318239999999</v>
      </c>
      <c r="C110" s="20">
        <f>'Daily exchange'!D66</f>
        <v>82.7</v>
      </c>
      <c r="D110" s="20"/>
      <c r="E110" s="20"/>
      <c r="F110" s="20"/>
      <c r="G110" s="20"/>
      <c r="H110" s="20"/>
      <c r="I110" s="21">
        <f t="shared" ref="I110" si="141">SUM(B110:H110)</f>
        <v>124.90731824</v>
      </c>
      <c r="J110" s="19">
        <f t="shared" si="137"/>
        <v>1407</v>
      </c>
      <c r="K110" s="20"/>
      <c r="L110" s="20"/>
      <c r="M110" s="20"/>
      <c r="N110" s="20"/>
      <c r="O110" s="20"/>
      <c r="P110" s="20"/>
      <c r="Q110" s="21">
        <f t="shared" ref="Q110" si="142">SUM(J110:P110)</f>
        <v>1407</v>
      </c>
    </row>
    <row r="111" spans="1:17" x14ac:dyDescent="0.35">
      <c r="A111" s="3">
        <f>+A110+1</f>
        <v>45176</v>
      </c>
      <c r="B111" s="19">
        <f>41693366.68/1000000</f>
        <v>41.693366679999997</v>
      </c>
      <c r="C111" s="20">
        <f>'Daily exchange'!D67</f>
        <v>82.7</v>
      </c>
      <c r="D111" s="20"/>
      <c r="E111" s="20"/>
      <c r="F111" s="20"/>
      <c r="G111" s="20"/>
      <c r="H111" s="20"/>
      <c r="I111" s="21">
        <f t="shared" ref="I111" si="143">SUM(B111:H111)</f>
        <v>124.39336668</v>
      </c>
      <c r="J111" s="19">
        <f t="shared" si="137"/>
        <v>1407</v>
      </c>
      <c r="K111" s="20"/>
      <c r="L111" s="20"/>
      <c r="M111" s="20"/>
      <c r="N111" s="20"/>
      <c r="O111" s="20"/>
      <c r="P111" s="20"/>
      <c r="Q111" s="21">
        <f t="shared" ref="Q111" si="144">SUM(J111:P111)</f>
        <v>1407</v>
      </c>
    </row>
    <row r="112" spans="1:17" x14ac:dyDescent="0.35">
      <c r="A112" s="3">
        <f>+A111+1</f>
        <v>45177</v>
      </c>
      <c r="B112" s="19">
        <f>39810879.12/1000000</f>
        <v>39.810879119999996</v>
      </c>
      <c r="C112" s="20">
        <f>'Daily exchange'!D68</f>
        <v>82.7</v>
      </c>
      <c r="D112" s="20"/>
      <c r="E112" s="20"/>
      <c r="F112" s="20"/>
      <c r="G112" s="20"/>
      <c r="H112" s="20"/>
      <c r="I112" s="21">
        <f t="shared" ref="I112" si="145">SUM(B112:H112)</f>
        <v>122.51087912</v>
      </c>
      <c r="J112" s="19">
        <f t="shared" si="137"/>
        <v>1407</v>
      </c>
      <c r="K112" s="20"/>
      <c r="L112" s="20"/>
      <c r="M112" s="20"/>
      <c r="N112" s="20"/>
      <c r="O112" s="20"/>
      <c r="P112" s="20"/>
      <c r="Q112" s="21">
        <f t="shared" ref="Q112" si="146">SUM(J112:P112)</f>
        <v>1407</v>
      </c>
    </row>
    <row r="113" spans="1:17" x14ac:dyDescent="0.35">
      <c r="A113" s="3">
        <f>+A112+3</f>
        <v>45180</v>
      </c>
      <c r="B113" s="19">
        <f>38908979.12/1000000</f>
        <v>38.908979119999998</v>
      </c>
      <c r="C113" s="20">
        <f>'Daily exchange'!D69</f>
        <v>82.7</v>
      </c>
      <c r="D113" s="20"/>
      <c r="E113" s="20"/>
      <c r="F113" s="20"/>
      <c r="G113" s="20"/>
      <c r="H113" s="20"/>
      <c r="I113" s="21">
        <f t="shared" ref="I113" si="147">SUM(B113:H113)</f>
        <v>121.60897912</v>
      </c>
      <c r="J113" s="19">
        <f t="shared" si="137"/>
        <v>1407</v>
      </c>
      <c r="K113" s="20"/>
      <c r="L113" s="20"/>
      <c r="M113" s="20"/>
      <c r="N113" s="20"/>
      <c r="O113" s="20"/>
      <c r="P113" s="20"/>
      <c r="Q113" s="21">
        <f t="shared" ref="Q113" si="148">SUM(J113:P113)</f>
        <v>1407</v>
      </c>
    </row>
    <row r="114" spans="1:17" x14ac:dyDescent="0.35">
      <c r="A114" s="3">
        <f>+A113+1</f>
        <v>45181</v>
      </c>
      <c r="B114" s="19">
        <f>38885637.93/1000000</f>
        <v>38.885637930000001</v>
      </c>
      <c r="C114" s="20">
        <f>'Daily exchange'!D70</f>
        <v>82.7</v>
      </c>
      <c r="D114" s="20"/>
      <c r="E114" s="20"/>
      <c r="F114" s="20"/>
      <c r="G114" s="20"/>
      <c r="H114" s="20"/>
      <c r="I114" s="21">
        <f t="shared" ref="I114" si="149">SUM(B114:H114)</f>
        <v>121.58563793</v>
      </c>
      <c r="J114" s="19">
        <f t="shared" si="137"/>
        <v>1407</v>
      </c>
      <c r="K114" s="20"/>
      <c r="L114" s="20"/>
      <c r="M114" s="20"/>
      <c r="N114" s="20"/>
      <c r="O114" s="20"/>
      <c r="P114" s="20"/>
      <c r="Q114" s="21">
        <f t="shared" ref="Q114" si="150">SUM(J114:P114)</f>
        <v>1407</v>
      </c>
    </row>
    <row r="115" spans="1:17" x14ac:dyDescent="0.35">
      <c r="A115" s="3">
        <f>+A114+1</f>
        <v>45182</v>
      </c>
      <c r="B115" s="19">
        <f>37159567.44/1000000</f>
        <v>37.159567439999996</v>
      </c>
      <c r="C115" s="20">
        <f>'Daily exchange'!D71</f>
        <v>82.7</v>
      </c>
      <c r="D115" s="20"/>
      <c r="E115" s="20"/>
      <c r="F115" s="20"/>
      <c r="G115" s="20"/>
      <c r="H115" s="20"/>
      <c r="I115" s="21">
        <f t="shared" ref="I115" si="151">SUM(B115:H115)</f>
        <v>119.85956744000001</v>
      </c>
      <c r="J115" s="19">
        <f t="shared" si="137"/>
        <v>1407</v>
      </c>
      <c r="K115" s="20"/>
      <c r="L115" s="20"/>
      <c r="M115" s="20"/>
      <c r="N115" s="20"/>
      <c r="O115" s="20"/>
      <c r="P115" s="20"/>
      <c r="Q115" s="21">
        <f t="shared" ref="Q115" si="152">SUM(J115:P115)</f>
        <v>1407</v>
      </c>
    </row>
    <row r="116" spans="1:17" x14ac:dyDescent="0.35">
      <c r="A116" s="3">
        <f>+A115+1</f>
        <v>45183</v>
      </c>
      <c r="B116" s="19">
        <f>37159567.44/1000000</f>
        <v>37.159567439999996</v>
      </c>
      <c r="C116" s="20">
        <f>'Daily exchange'!D72</f>
        <v>82.7</v>
      </c>
      <c r="D116" s="20"/>
      <c r="E116" s="20"/>
      <c r="F116" s="20"/>
      <c r="G116" s="20"/>
      <c r="H116" s="20"/>
      <c r="I116" s="21">
        <f t="shared" ref="I116" si="153">SUM(B116:H116)</f>
        <v>119.85956744000001</v>
      </c>
      <c r="J116" s="19">
        <f t="shared" si="137"/>
        <v>1407</v>
      </c>
      <c r="K116" s="20"/>
      <c r="L116" s="20"/>
      <c r="M116" s="20"/>
      <c r="N116" s="20"/>
      <c r="O116" s="20"/>
      <c r="P116" s="20"/>
      <c r="Q116" s="21">
        <f t="shared" ref="Q116" si="154">SUM(J116:P116)</f>
        <v>1407</v>
      </c>
    </row>
    <row r="117" spans="1:17" x14ac:dyDescent="0.35">
      <c r="A117" s="3">
        <f>+A116+1</f>
        <v>45184</v>
      </c>
      <c r="B117" s="19">
        <f>37159567.44/1000000</f>
        <v>37.159567439999996</v>
      </c>
      <c r="C117" s="20">
        <f>'Daily exchange'!D73</f>
        <v>82.7</v>
      </c>
      <c r="D117" s="20"/>
      <c r="E117" s="20"/>
      <c r="F117" s="20"/>
      <c r="G117" s="20"/>
      <c r="H117" s="20"/>
      <c r="I117" s="21">
        <f t="shared" ref="I117" si="155">SUM(B117:H117)</f>
        <v>119.85956744000001</v>
      </c>
      <c r="J117" s="19">
        <f t="shared" si="137"/>
        <v>1407</v>
      </c>
      <c r="K117" s="20"/>
      <c r="L117" s="20"/>
      <c r="M117" s="20"/>
      <c r="N117" s="20"/>
      <c r="O117" s="20"/>
      <c r="P117" s="20"/>
      <c r="Q117" s="21">
        <f t="shared" ref="Q117" si="156">SUM(J117:P117)</f>
        <v>1407</v>
      </c>
    </row>
    <row r="118" spans="1:17" x14ac:dyDescent="0.35">
      <c r="A118" s="3">
        <f>+A117+3</f>
        <v>45187</v>
      </c>
      <c r="B118" s="19">
        <f>37066818.3/1000000</f>
        <v>37.066818299999994</v>
      </c>
      <c r="C118" s="20">
        <f>'Daily exchange'!D74</f>
        <v>82.7</v>
      </c>
      <c r="D118" s="20"/>
      <c r="E118" s="20"/>
      <c r="F118" s="20"/>
      <c r="G118" s="20"/>
      <c r="H118" s="20"/>
      <c r="I118" s="21">
        <f t="shared" ref="I118" si="157">SUM(B118:H118)</f>
        <v>119.7668183</v>
      </c>
      <c r="J118" s="19">
        <f t="shared" si="137"/>
        <v>1407</v>
      </c>
      <c r="K118" s="20"/>
      <c r="L118" s="20"/>
      <c r="M118" s="20"/>
      <c r="N118" s="20"/>
      <c r="O118" s="20"/>
      <c r="P118" s="20"/>
      <c r="Q118" s="21">
        <f t="shared" ref="Q118" si="158">SUM(J118:P118)</f>
        <v>1407</v>
      </c>
    </row>
    <row r="119" spans="1:17" x14ac:dyDescent="0.35">
      <c r="A119" s="3">
        <f>+A118+1</f>
        <v>45188</v>
      </c>
      <c r="B119" s="19">
        <f>37066818.3/1000000</f>
        <v>37.066818299999994</v>
      </c>
      <c r="C119" s="20">
        <f>'Daily exchange'!D75</f>
        <v>82.7</v>
      </c>
      <c r="D119" s="20"/>
      <c r="E119" s="20"/>
      <c r="F119" s="20"/>
      <c r="G119" s="20"/>
      <c r="H119" s="20"/>
      <c r="I119" s="21">
        <f t="shared" ref="I119" si="159">SUM(B119:H119)</f>
        <v>119.7668183</v>
      </c>
      <c r="J119" s="19">
        <f t="shared" si="137"/>
        <v>1407</v>
      </c>
      <c r="K119" s="20"/>
      <c r="L119" s="20"/>
      <c r="M119" s="20"/>
      <c r="N119" s="20"/>
      <c r="O119" s="20"/>
      <c r="P119" s="20"/>
      <c r="Q119" s="21">
        <f t="shared" ref="Q119" si="160">SUM(J119:P119)</f>
        <v>1407</v>
      </c>
    </row>
    <row r="120" spans="1:17" x14ac:dyDescent="0.35">
      <c r="A120" s="3">
        <f>+A119+1</f>
        <v>45189</v>
      </c>
      <c r="B120" s="19">
        <f>37062828.3/1000000</f>
        <v>37.0628283</v>
      </c>
      <c r="C120" s="20">
        <f>'Daily exchange'!D76</f>
        <v>82.7</v>
      </c>
      <c r="D120" s="20"/>
      <c r="E120" s="20"/>
      <c r="F120" s="20"/>
      <c r="G120" s="20"/>
      <c r="H120" s="20"/>
      <c r="I120" s="21">
        <f t="shared" ref="I120" si="161">SUM(B120:H120)</f>
        <v>119.7628283</v>
      </c>
      <c r="J120" s="19">
        <f t="shared" si="137"/>
        <v>1407</v>
      </c>
      <c r="K120" s="20"/>
      <c r="L120" s="20"/>
      <c r="M120" s="20"/>
      <c r="N120" s="20"/>
      <c r="O120" s="20"/>
      <c r="P120" s="20"/>
      <c r="Q120" s="21">
        <f t="shared" ref="Q120" si="162">SUM(J120:P120)</f>
        <v>1407</v>
      </c>
    </row>
    <row r="121" spans="1:17" x14ac:dyDescent="0.35">
      <c r="A121" s="3">
        <f>+A120+1</f>
        <v>45190</v>
      </c>
      <c r="B121" s="19">
        <f>37062828.3/1000000</f>
        <v>37.0628283</v>
      </c>
      <c r="C121" s="20">
        <f>'Daily exchange'!D77</f>
        <v>82.7</v>
      </c>
      <c r="D121" s="20"/>
      <c r="E121" s="20"/>
      <c r="F121" s="20"/>
      <c r="G121" s="20"/>
      <c r="H121" s="20"/>
      <c r="I121" s="21">
        <f t="shared" ref="I121" si="163">SUM(B121:H121)</f>
        <v>119.7628283</v>
      </c>
      <c r="J121" s="19">
        <f t="shared" si="137"/>
        <v>1407</v>
      </c>
      <c r="K121" s="20"/>
      <c r="L121" s="20"/>
      <c r="M121" s="20"/>
      <c r="N121" s="20"/>
      <c r="O121" s="20"/>
      <c r="P121" s="20"/>
      <c r="Q121" s="21">
        <f t="shared" ref="Q121" si="164">SUM(J121:P121)</f>
        <v>1407</v>
      </c>
    </row>
    <row r="122" spans="1:17" x14ac:dyDescent="0.35">
      <c r="A122" s="3">
        <f>+A121+1</f>
        <v>45191</v>
      </c>
      <c r="B122" s="19">
        <f>35775011.11/1000000</f>
        <v>35.775011110000001</v>
      </c>
      <c r="C122" s="20">
        <f>'Daily exchange'!D78</f>
        <v>82.7</v>
      </c>
      <c r="D122" s="20"/>
      <c r="E122" s="20"/>
      <c r="F122" s="20"/>
      <c r="G122" s="20"/>
      <c r="H122" s="20"/>
      <c r="I122" s="21">
        <f t="shared" ref="I122" si="165">SUM(B122:H122)</f>
        <v>118.47501111</v>
      </c>
      <c r="J122" s="19">
        <f t="shared" si="137"/>
        <v>1407</v>
      </c>
      <c r="K122" s="20"/>
      <c r="L122" s="20"/>
      <c r="M122" s="20"/>
      <c r="N122" s="20"/>
      <c r="O122" s="20"/>
      <c r="P122" s="20"/>
      <c r="Q122" s="21">
        <f t="shared" ref="Q122" si="166">SUM(J122:P122)</f>
        <v>1407</v>
      </c>
    </row>
    <row r="123" spans="1:17" x14ac:dyDescent="0.35">
      <c r="A123" s="3">
        <f>+A122+3</f>
        <v>45194</v>
      </c>
      <c r="B123" s="19">
        <f>34376472.31/1000000</f>
        <v>34.376472310000004</v>
      </c>
      <c r="C123" s="20">
        <f>'Daily exchange'!D79</f>
        <v>82.7</v>
      </c>
      <c r="D123" s="20"/>
      <c r="E123" s="20"/>
      <c r="F123" s="20"/>
      <c r="G123" s="20"/>
      <c r="H123" s="20"/>
      <c r="I123" s="21">
        <f t="shared" ref="I123" si="167">SUM(B123:H123)</f>
        <v>117.07647231000001</v>
      </c>
      <c r="J123" s="19">
        <f t="shared" si="137"/>
        <v>1407</v>
      </c>
      <c r="K123" s="20"/>
      <c r="L123" s="20"/>
      <c r="M123" s="20"/>
      <c r="N123" s="20"/>
      <c r="O123" s="20"/>
      <c r="P123" s="20"/>
      <c r="Q123" s="21">
        <f t="shared" ref="Q123" si="168">SUM(J123:P123)</f>
        <v>1407</v>
      </c>
    </row>
    <row r="124" spans="1:17" x14ac:dyDescent="0.35">
      <c r="A124" s="3">
        <f>+A123+1</f>
        <v>45195</v>
      </c>
      <c r="B124" s="19">
        <f>34376472.31/1000000</f>
        <v>34.376472310000004</v>
      </c>
      <c r="C124" s="20">
        <f>'Daily exchange'!D80</f>
        <v>82.7</v>
      </c>
      <c r="D124" s="20"/>
      <c r="E124" s="20"/>
      <c r="F124" s="20"/>
      <c r="G124" s="20"/>
      <c r="H124" s="20"/>
      <c r="I124" s="21">
        <f t="shared" ref="I124" si="169">SUM(B124:H124)</f>
        <v>117.07647231000001</v>
      </c>
      <c r="J124" s="19">
        <f t="shared" si="137"/>
        <v>1407</v>
      </c>
      <c r="K124" s="20"/>
      <c r="L124" s="20"/>
      <c r="M124" s="20"/>
      <c r="N124" s="20"/>
      <c r="O124" s="20"/>
      <c r="P124" s="20"/>
      <c r="Q124" s="21">
        <f t="shared" ref="Q124" si="170">SUM(J124:P124)</f>
        <v>1407</v>
      </c>
    </row>
    <row r="125" spans="1:17" x14ac:dyDescent="0.35">
      <c r="A125" s="3">
        <f>+A124+1</f>
        <v>45196</v>
      </c>
      <c r="B125" s="19">
        <f>34356572.31/1000000</f>
        <v>34.356572310000004</v>
      </c>
      <c r="C125" s="20">
        <f>'Daily exchange'!D81</f>
        <v>82.7</v>
      </c>
      <c r="D125" s="20"/>
      <c r="E125" s="20"/>
      <c r="F125" s="20"/>
      <c r="G125" s="20"/>
      <c r="H125" s="20"/>
      <c r="I125" s="21">
        <f t="shared" ref="I125" si="171">SUM(B125:H125)</f>
        <v>117.05657231000001</v>
      </c>
      <c r="J125" s="19">
        <f t="shared" si="137"/>
        <v>1407</v>
      </c>
      <c r="K125" s="20"/>
      <c r="L125" s="20"/>
      <c r="M125" s="20"/>
      <c r="N125" s="20"/>
      <c r="O125" s="20"/>
      <c r="P125" s="20"/>
      <c r="Q125" s="21">
        <f t="shared" ref="Q125" si="172">SUM(J125:P125)</f>
        <v>1407</v>
      </c>
    </row>
    <row r="126" spans="1:17" x14ac:dyDescent="0.35">
      <c r="A126" s="3">
        <f>+A125+1</f>
        <v>45197</v>
      </c>
      <c r="B126" s="19">
        <f>40888789.29/1000000</f>
        <v>40.888789289999998</v>
      </c>
      <c r="C126" s="20">
        <f>'Daily exchange'!D82</f>
        <v>82.7</v>
      </c>
      <c r="D126" s="20"/>
      <c r="E126" s="20"/>
      <c r="F126" s="20"/>
      <c r="G126" s="20"/>
      <c r="H126" s="20"/>
      <c r="I126" s="21">
        <f t="shared" ref="I126" si="173">SUM(B126:H126)</f>
        <v>123.58878928999999</v>
      </c>
      <c r="J126" s="19">
        <f t="shared" si="137"/>
        <v>1407</v>
      </c>
      <c r="K126" s="20"/>
      <c r="L126" s="20"/>
      <c r="M126" s="20"/>
      <c r="N126" s="20"/>
      <c r="O126" s="20"/>
      <c r="P126" s="20"/>
      <c r="Q126" s="21">
        <f t="shared" ref="Q126" si="174">SUM(J126:P126)</f>
        <v>1407</v>
      </c>
    </row>
    <row r="127" spans="1:17" x14ac:dyDescent="0.35">
      <c r="A127" s="3">
        <f>+A126+1</f>
        <v>45198</v>
      </c>
      <c r="B127" s="19">
        <f>82223975.7/1000000</f>
        <v>82.223975699999997</v>
      </c>
      <c r="C127" s="20">
        <f>'Daily exchange'!D83</f>
        <v>82.7</v>
      </c>
      <c r="D127" s="20"/>
      <c r="E127" s="20"/>
      <c r="F127" s="20"/>
      <c r="G127" s="20"/>
      <c r="H127" s="20"/>
      <c r="I127" s="21">
        <f t="shared" ref="I127" si="175">SUM(B127:H127)</f>
        <v>164.9239757</v>
      </c>
      <c r="J127" s="19">
        <f t="shared" si="137"/>
        <v>1407</v>
      </c>
      <c r="K127" s="20"/>
      <c r="L127" s="20"/>
      <c r="M127" s="20"/>
      <c r="N127" s="20"/>
      <c r="O127" s="20"/>
      <c r="P127" s="20"/>
      <c r="Q127" s="21">
        <f t="shared" ref="Q127" si="176">SUM(J127:P127)</f>
        <v>1407</v>
      </c>
    </row>
    <row r="128" spans="1:17" x14ac:dyDescent="0.35">
      <c r="A128" s="3">
        <f>+A127+3</f>
        <v>45201</v>
      </c>
      <c r="B128" s="19">
        <f>82223975.7/1000000</f>
        <v>82.223975699999997</v>
      </c>
      <c r="C128" s="20">
        <f>'Daily exchange'!D84</f>
        <v>82.7</v>
      </c>
      <c r="D128" s="20"/>
      <c r="E128" s="20"/>
      <c r="F128" s="20"/>
      <c r="G128" s="20"/>
      <c r="H128" s="20"/>
      <c r="I128" s="21">
        <f t="shared" ref="I128" si="177">SUM(B128:H128)</f>
        <v>164.9239757</v>
      </c>
      <c r="J128" s="19">
        <f t="shared" si="137"/>
        <v>1407</v>
      </c>
      <c r="K128" s="20"/>
      <c r="L128" s="20"/>
      <c r="M128" s="20"/>
      <c r="N128" s="20"/>
      <c r="O128" s="20"/>
      <c r="P128" s="20"/>
      <c r="Q128" s="21">
        <f t="shared" ref="Q128" si="178">SUM(J128:P128)</f>
        <v>1407</v>
      </c>
    </row>
    <row r="129" spans="1:17" x14ac:dyDescent="0.35">
      <c r="A129" s="3">
        <f>+A128+1</f>
        <v>45202</v>
      </c>
      <c r="B129" s="19">
        <f>82203043.56/1000000</f>
        <v>82.203043559999998</v>
      </c>
      <c r="C129" s="20">
        <f>'Daily exchange'!D85</f>
        <v>82.7</v>
      </c>
      <c r="D129" s="20"/>
      <c r="E129" s="20"/>
      <c r="F129" s="20"/>
      <c r="G129" s="20"/>
      <c r="H129" s="20"/>
      <c r="I129" s="21">
        <f t="shared" ref="I129" si="179">SUM(B129:H129)</f>
        <v>164.90304356000001</v>
      </c>
      <c r="J129" s="19">
        <f t="shared" si="137"/>
        <v>1407</v>
      </c>
      <c r="K129" s="20"/>
      <c r="L129" s="20"/>
      <c r="M129" s="20"/>
      <c r="N129" s="20"/>
      <c r="O129" s="20"/>
      <c r="P129" s="20"/>
      <c r="Q129" s="21">
        <f t="shared" ref="Q129" si="180">SUM(J129:P129)</f>
        <v>1407</v>
      </c>
    </row>
    <row r="130" spans="1:17" x14ac:dyDescent="0.35">
      <c r="A130" s="3">
        <f>+A129+1</f>
        <v>45203</v>
      </c>
      <c r="B130" s="19">
        <f>82203043.56/1000000</f>
        <v>82.203043559999998</v>
      </c>
      <c r="C130" s="20">
        <f>'Daily exchange'!D86</f>
        <v>82.7</v>
      </c>
      <c r="D130" s="20"/>
      <c r="E130" s="20"/>
      <c r="F130" s="20"/>
      <c r="G130" s="20"/>
      <c r="H130" s="20"/>
      <c r="I130" s="21">
        <f t="shared" ref="I130" si="181">SUM(B130:H130)</f>
        <v>164.90304356000001</v>
      </c>
      <c r="J130" s="19">
        <f t="shared" si="137"/>
        <v>1407</v>
      </c>
      <c r="K130" s="20"/>
      <c r="L130" s="20"/>
      <c r="M130" s="20"/>
      <c r="N130" s="20"/>
      <c r="O130" s="20"/>
      <c r="P130" s="20"/>
      <c r="Q130" s="21">
        <f t="shared" ref="Q130" si="182">SUM(J130:P130)</f>
        <v>1407</v>
      </c>
    </row>
    <row r="131" spans="1:17" x14ac:dyDescent="0.35">
      <c r="A131" s="3">
        <f>+A130+1</f>
        <v>45204</v>
      </c>
      <c r="B131" s="19">
        <f>40938264.32/1000000</f>
        <v>40.938264320000002</v>
      </c>
      <c r="C131" s="20">
        <f>'Daily exchange'!D87</f>
        <v>82.7</v>
      </c>
      <c r="D131" s="20"/>
      <c r="E131" s="20"/>
      <c r="F131" s="20"/>
      <c r="G131" s="20"/>
      <c r="H131" s="20"/>
      <c r="I131" s="21">
        <f t="shared" ref="I131" si="183">SUM(B131:H131)</f>
        <v>123.63826432</v>
      </c>
      <c r="J131" s="19">
        <f t="shared" ref="J131:J154" si="184">(307000000+1150000000)/1000000</f>
        <v>1457</v>
      </c>
      <c r="K131" s="20"/>
      <c r="L131" s="20"/>
      <c r="M131" s="20"/>
      <c r="N131" s="20"/>
      <c r="O131" s="20"/>
      <c r="P131" s="20"/>
      <c r="Q131" s="21">
        <f t="shared" ref="Q131" si="185">SUM(J131:P131)</f>
        <v>1457</v>
      </c>
    </row>
    <row r="132" spans="1:17" x14ac:dyDescent="0.35">
      <c r="A132" s="3">
        <f>+A131+1</f>
        <v>45205</v>
      </c>
      <c r="B132" s="19">
        <f>40932264.32/1000000</f>
        <v>40.932264320000002</v>
      </c>
      <c r="C132" s="20">
        <f>'Daily exchange'!D88</f>
        <v>82.7</v>
      </c>
      <c r="D132" s="20"/>
      <c r="E132" s="20"/>
      <c r="F132" s="20"/>
      <c r="G132" s="20"/>
      <c r="H132" s="20"/>
      <c r="I132" s="21">
        <f t="shared" ref="I132" si="186">SUM(B132:H132)</f>
        <v>123.63226432</v>
      </c>
      <c r="J132" s="19">
        <f t="shared" si="184"/>
        <v>1457</v>
      </c>
      <c r="K132" s="20"/>
      <c r="L132" s="20"/>
      <c r="M132" s="20"/>
      <c r="N132" s="20"/>
      <c r="O132" s="20"/>
      <c r="P132" s="20"/>
      <c r="Q132" s="21">
        <f t="shared" ref="Q132" si="187">SUM(J132:P132)</f>
        <v>1457</v>
      </c>
    </row>
    <row r="133" spans="1:17" x14ac:dyDescent="0.35">
      <c r="A133" s="3">
        <f>+A132+3</f>
        <v>45208</v>
      </c>
      <c r="B133" s="19">
        <f>42841994.83/1000000</f>
        <v>42.841994829999997</v>
      </c>
      <c r="C133" s="20">
        <f>'Daily exchange'!D89</f>
        <v>82.7</v>
      </c>
      <c r="D133" s="20"/>
      <c r="E133" s="20"/>
      <c r="F133" s="20"/>
      <c r="G133" s="20"/>
      <c r="H133" s="20"/>
      <c r="I133" s="21">
        <f t="shared" ref="I133" si="188">SUM(B133:H133)</f>
        <v>125.54199482999999</v>
      </c>
      <c r="J133" s="19">
        <f t="shared" si="184"/>
        <v>1457</v>
      </c>
      <c r="K133" s="20"/>
      <c r="L133" s="20"/>
      <c r="M133" s="20"/>
      <c r="N133" s="20"/>
      <c r="O133" s="20"/>
      <c r="P133" s="20"/>
      <c r="Q133" s="21">
        <f t="shared" ref="Q133" si="189">SUM(J133:P133)</f>
        <v>1457</v>
      </c>
    </row>
    <row r="134" spans="1:17" x14ac:dyDescent="0.35">
      <c r="A134" s="3">
        <f>+A133+1</f>
        <v>45209</v>
      </c>
      <c r="B134" s="19">
        <f>42595107.58/1000000</f>
        <v>42.595107579999997</v>
      </c>
      <c r="C134" s="20">
        <f>'Daily exchange'!D90</f>
        <v>82.7</v>
      </c>
      <c r="D134" s="20"/>
      <c r="E134" s="20"/>
      <c r="F134" s="20"/>
      <c r="G134" s="20"/>
      <c r="H134" s="20"/>
      <c r="I134" s="21">
        <f t="shared" ref="I134" si="190">SUM(B134:H134)</f>
        <v>125.29510758000001</v>
      </c>
      <c r="J134" s="19">
        <f t="shared" si="184"/>
        <v>1457</v>
      </c>
      <c r="K134" s="20"/>
      <c r="L134" s="20"/>
      <c r="M134" s="20"/>
      <c r="N134" s="20"/>
      <c r="O134" s="20"/>
      <c r="P134" s="20"/>
      <c r="Q134" s="21">
        <f t="shared" ref="Q134" si="191">SUM(J134:P134)</f>
        <v>1457</v>
      </c>
    </row>
    <row r="135" spans="1:17" x14ac:dyDescent="0.35">
      <c r="A135" s="3">
        <f>+A134+1</f>
        <v>45210</v>
      </c>
      <c r="B135" s="19">
        <f>42595107.58/1000000</f>
        <v>42.595107579999997</v>
      </c>
      <c r="C135" s="20">
        <f>'Daily exchange'!D91</f>
        <v>82.7</v>
      </c>
      <c r="D135" s="20"/>
      <c r="E135" s="20"/>
      <c r="F135" s="20"/>
      <c r="G135" s="20"/>
      <c r="H135" s="20"/>
      <c r="I135" s="21">
        <f t="shared" ref="I135" si="192">SUM(B135:H135)</f>
        <v>125.29510758000001</v>
      </c>
      <c r="J135" s="19">
        <f t="shared" si="184"/>
        <v>1457</v>
      </c>
      <c r="K135" s="20"/>
      <c r="L135" s="20"/>
      <c r="M135" s="20"/>
      <c r="N135" s="20"/>
      <c r="O135" s="20"/>
      <c r="P135" s="20"/>
      <c r="Q135" s="21">
        <f t="shared" ref="Q135" si="193">SUM(J135:P135)</f>
        <v>1457</v>
      </c>
    </row>
    <row r="136" spans="1:17" x14ac:dyDescent="0.35">
      <c r="A136" s="3">
        <f>+A135+1</f>
        <v>45211</v>
      </c>
      <c r="B136" s="19">
        <f>42595107.58/1000000</f>
        <v>42.595107579999997</v>
      </c>
      <c r="C136" s="20">
        <f>'Daily exchange'!D92</f>
        <v>82.7</v>
      </c>
      <c r="D136" s="20"/>
      <c r="E136" s="20"/>
      <c r="F136" s="20"/>
      <c r="G136" s="20"/>
      <c r="H136" s="20"/>
      <c r="I136" s="21">
        <f t="shared" ref="I136" si="194">SUM(B136:H136)</f>
        <v>125.29510758000001</v>
      </c>
      <c r="J136" s="19">
        <f t="shared" si="184"/>
        <v>1457</v>
      </c>
      <c r="K136" s="20"/>
      <c r="L136" s="20"/>
      <c r="M136" s="20"/>
      <c r="N136" s="20"/>
      <c r="O136" s="20"/>
      <c r="P136" s="20"/>
      <c r="Q136" s="21">
        <f t="shared" ref="Q136" si="195">SUM(J136:P136)</f>
        <v>1457</v>
      </c>
    </row>
    <row r="137" spans="1:17" x14ac:dyDescent="0.35">
      <c r="A137" s="3">
        <f>+A136+1</f>
        <v>45212</v>
      </c>
      <c r="B137" s="19">
        <f>42586407.58/1000000</f>
        <v>42.586407579999999</v>
      </c>
      <c r="C137" s="20">
        <f>'Daily exchange'!D93</f>
        <v>82.7</v>
      </c>
      <c r="D137" s="20"/>
      <c r="E137" s="20"/>
      <c r="F137" s="20"/>
      <c r="G137" s="20"/>
      <c r="H137" s="20"/>
      <c r="I137" s="21">
        <f t="shared" ref="I137" si="196">SUM(B137:H137)</f>
        <v>125.28640758</v>
      </c>
      <c r="J137" s="19">
        <f t="shared" si="184"/>
        <v>1457</v>
      </c>
      <c r="K137" s="20"/>
      <c r="L137" s="20"/>
      <c r="M137" s="20"/>
      <c r="N137" s="20"/>
      <c r="O137" s="20"/>
      <c r="P137" s="20"/>
      <c r="Q137" s="21">
        <f t="shared" ref="Q137" si="197">SUM(J137:P137)</f>
        <v>1457</v>
      </c>
    </row>
    <row r="138" spans="1:17" x14ac:dyDescent="0.35">
      <c r="A138" s="3">
        <f>+A137+3</f>
        <v>45215</v>
      </c>
      <c r="B138" s="19">
        <f>47761234.68/1000000</f>
        <v>47.761234680000001</v>
      </c>
      <c r="C138" s="20">
        <f>'Daily exchange'!D94</f>
        <v>82.7</v>
      </c>
      <c r="D138" s="20"/>
      <c r="E138" s="20"/>
      <c r="F138" s="20"/>
      <c r="G138" s="20"/>
      <c r="H138" s="20"/>
      <c r="I138" s="21">
        <f t="shared" ref="I138" si="198">SUM(B138:H138)</f>
        <v>130.46123468000002</v>
      </c>
      <c r="J138" s="19">
        <f t="shared" si="184"/>
        <v>1457</v>
      </c>
      <c r="K138" s="20"/>
      <c r="L138" s="20"/>
      <c r="M138" s="20"/>
      <c r="N138" s="20"/>
      <c r="O138" s="20"/>
      <c r="P138" s="20"/>
      <c r="Q138" s="21">
        <f t="shared" ref="Q138" si="199">SUM(J138:P138)</f>
        <v>1457</v>
      </c>
    </row>
    <row r="139" spans="1:17" x14ac:dyDescent="0.35">
      <c r="A139" s="3">
        <f>+A138+1</f>
        <v>45216</v>
      </c>
      <c r="B139" s="19">
        <f>47761234.68/1000000</f>
        <v>47.761234680000001</v>
      </c>
      <c r="C139" s="20">
        <f>'Daily exchange'!D95</f>
        <v>82.7</v>
      </c>
      <c r="D139" s="20"/>
      <c r="E139" s="20"/>
      <c r="F139" s="20"/>
      <c r="G139" s="20"/>
      <c r="H139" s="20"/>
      <c r="I139" s="21">
        <f t="shared" ref="I139" si="200">SUM(B139:H139)</f>
        <v>130.46123468000002</v>
      </c>
      <c r="J139" s="19">
        <f t="shared" si="184"/>
        <v>1457</v>
      </c>
      <c r="K139" s="20"/>
      <c r="L139" s="20"/>
      <c r="M139" s="20"/>
      <c r="N139" s="20"/>
      <c r="O139" s="20"/>
      <c r="P139" s="20"/>
      <c r="Q139" s="21">
        <f t="shared" ref="Q139" si="201">SUM(J139:P139)</f>
        <v>1457</v>
      </c>
    </row>
    <row r="140" spans="1:17" x14ac:dyDescent="0.35">
      <c r="A140" s="3">
        <f>+A139+1</f>
        <v>45217</v>
      </c>
      <c r="B140" s="19">
        <f>47761234.68/1000000</f>
        <v>47.761234680000001</v>
      </c>
      <c r="C140" s="20">
        <f>'Daily exchange'!D96</f>
        <v>82.7</v>
      </c>
      <c r="D140" s="20"/>
      <c r="E140" s="20"/>
      <c r="F140" s="20"/>
      <c r="G140" s="20"/>
      <c r="H140" s="20"/>
      <c r="I140" s="21">
        <f t="shared" ref="I140" si="202">SUM(B140:H140)</f>
        <v>130.46123468000002</v>
      </c>
      <c r="J140" s="19">
        <f t="shared" si="184"/>
        <v>1457</v>
      </c>
      <c r="K140" s="20"/>
      <c r="L140" s="20"/>
      <c r="M140" s="20"/>
      <c r="N140" s="20"/>
      <c r="O140" s="20"/>
      <c r="P140" s="20"/>
      <c r="Q140" s="21">
        <f t="shared" ref="Q140" si="203">SUM(J140:P140)</f>
        <v>1457</v>
      </c>
    </row>
    <row r="141" spans="1:17" x14ac:dyDescent="0.35">
      <c r="A141" s="3">
        <f>+A140+1</f>
        <v>45218</v>
      </c>
      <c r="B141" s="19">
        <f>47761234.68/1000000</f>
        <v>47.761234680000001</v>
      </c>
      <c r="C141" s="20">
        <f>'Daily exchange'!D97</f>
        <v>82.7</v>
      </c>
      <c r="D141" s="20"/>
      <c r="E141" s="20"/>
      <c r="F141" s="20"/>
      <c r="G141" s="20"/>
      <c r="H141" s="20"/>
      <c r="I141" s="21">
        <f t="shared" ref="I141" si="204">SUM(B141:H141)</f>
        <v>130.46123468000002</v>
      </c>
      <c r="J141" s="19">
        <f t="shared" si="184"/>
        <v>1457</v>
      </c>
      <c r="K141" s="20"/>
      <c r="L141" s="20"/>
      <c r="M141" s="20"/>
      <c r="N141" s="20"/>
      <c r="O141" s="20"/>
      <c r="P141" s="20"/>
      <c r="Q141" s="21">
        <f t="shared" ref="Q141" si="205">SUM(J141:P141)</f>
        <v>1457</v>
      </c>
    </row>
    <row r="142" spans="1:17" x14ac:dyDescent="0.35">
      <c r="A142" s="3">
        <f>+A141+1</f>
        <v>45219</v>
      </c>
      <c r="B142" s="19">
        <f>36561113.36/1000000</f>
        <v>36.56111336</v>
      </c>
      <c r="C142" s="20">
        <f>'Daily exchange'!D98</f>
        <v>82.7</v>
      </c>
      <c r="D142" s="20"/>
      <c r="E142" s="20"/>
      <c r="F142" s="20"/>
      <c r="G142" s="20"/>
      <c r="H142" s="20"/>
      <c r="I142" s="21">
        <f t="shared" ref="I142" si="206">SUM(B142:H142)</f>
        <v>119.26111336</v>
      </c>
      <c r="J142" s="19">
        <f t="shared" si="184"/>
        <v>1457</v>
      </c>
      <c r="K142" s="20"/>
      <c r="L142" s="20"/>
      <c r="M142" s="20"/>
      <c r="N142" s="20"/>
      <c r="O142" s="20"/>
      <c r="P142" s="20"/>
      <c r="Q142" s="21">
        <f t="shared" ref="Q142" si="207">SUM(J142:P142)</f>
        <v>1457</v>
      </c>
    </row>
    <row r="143" spans="1:17" x14ac:dyDescent="0.35">
      <c r="A143" s="3">
        <f>+A142+3</f>
        <v>45222</v>
      </c>
      <c r="B143" s="19">
        <f>36561113.36/1000000</f>
        <v>36.56111336</v>
      </c>
      <c r="C143" s="20">
        <f>'Daily exchange'!D99</f>
        <v>82.7</v>
      </c>
      <c r="D143" s="20"/>
      <c r="E143" s="20"/>
      <c r="F143" s="20"/>
      <c r="G143" s="20"/>
      <c r="H143" s="20"/>
      <c r="I143" s="21">
        <f t="shared" ref="I143" si="208">SUM(B143:H143)</f>
        <v>119.26111336</v>
      </c>
      <c r="J143" s="19">
        <f t="shared" si="184"/>
        <v>1457</v>
      </c>
      <c r="K143" s="20"/>
      <c r="L143" s="20"/>
      <c r="M143" s="20"/>
      <c r="N143" s="20"/>
      <c r="O143" s="20"/>
      <c r="P143" s="20"/>
      <c r="Q143" s="21">
        <f t="shared" ref="Q143" si="209">SUM(J143:P143)</f>
        <v>1457</v>
      </c>
    </row>
    <row r="144" spans="1:17" x14ac:dyDescent="0.35">
      <c r="A144" s="3">
        <f>+A143+1</f>
        <v>45223</v>
      </c>
      <c r="B144" s="19">
        <f>34117370.61/1000000</f>
        <v>34.117370610000002</v>
      </c>
      <c r="C144" s="20">
        <f>'Daily exchange'!D100</f>
        <v>82.7</v>
      </c>
      <c r="D144" s="20"/>
      <c r="E144" s="20"/>
      <c r="F144" s="20"/>
      <c r="G144" s="20"/>
      <c r="H144" s="20"/>
      <c r="I144" s="21">
        <f t="shared" ref="I144" si="210">SUM(B144:H144)</f>
        <v>116.81737061000001</v>
      </c>
      <c r="J144" s="19">
        <f t="shared" si="184"/>
        <v>1457</v>
      </c>
      <c r="K144" s="20"/>
      <c r="L144" s="20"/>
      <c r="M144" s="20"/>
      <c r="N144" s="20"/>
      <c r="O144" s="20"/>
      <c r="P144" s="20"/>
      <c r="Q144" s="21">
        <f t="shared" ref="Q144" si="211">SUM(J144:P144)</f>
        <v>1457</v>
      </c>
    </row>
    <row r="145" spans="1:17" x14ac:dyDescent="0.35">
      <c r="A145" s="3">
        <f>+A144+1</f>
        <v>45224</v>
      </c>
      <c r="B145" s="19">
        <f>33934370.61/1000000</f>
        <v>33.934370610000002</v>
      </c>
      <c r="C145" s="20">
        <f>'Daily exchange'!D101</f>
        <v>82.7</v>
      </c>
      <c r="D145" s="20"/>
      <c r="E145" s="20"/>
      <c r="F145" s="20"/>
      <c r="G145" s="20"/>
      <c r="H145" s="20"/>
      <c r="I145" s="21">
        <f t="shared" ref="I145" si="212">SUM(B145:H145)</f>
        <v>116.63437061</v>
      </c>
      <c r="J145" s="19">
        <f t="shared" si="184"/>
        <v>1457</v>
      </c>
      <c r="K145" s="20"/>
      <c r="L145" s="20"/>
      <c r="M145" s="20"/>
      <c r="N145" s="20"/>
      <c r="O145" s="20"/>
      <c r="P145" s="20"/>
      <c r="Q145" s="21">
        <f t="shared" ref="Q145" si="213">SUM(J145:P145)</f>
        <v>1457</v>
      </c>
    </row>
    <row r="146" spans="1:17" x14ac:dyDescent="0.35">
      <c r="A146" s="3">
        <f>+A145+1</f>
        <v>45225</v>
      </c>
      <c r="B146" s="19">
        <f>33934370.61/1000000</f>
        <v>33.934370610000002</v>
      </c>
      <c r="C146" s="20">
        <f>'Daily exchange'!D102</f>
        <v>82.7</v>
      </c>
      <c r="D146" s="20"/>
      <c r="E146" s="20"/>
      <c r="F146" s="20"/>
      <c r="G146" s="20"/>
      <c r="H146" s="20"/>
      <c r="I146" s="21">
        <f t="shared" ref="I146" si="214">SUM(B146:H146)</f>
        <v>116.63437061</v>
      </c>
      <c r="J146" s="19">
        <f t="shared" si="184"/>
        <v>1457</v>
      </c>
      <c r="K146" s="20"/>
      <c r="L146" s="20"/>
      <c r="M146" s="20"/>
      <c r="N146" s="20"/>
      <c r="O146" s="20"/>
      <c r="P146" s="20"/>
      <c r="Q146" s="21">
        <f t="shared" ref="Q146" si="215">SUM(J146:P146)</f>
        <v>1457</v>
      </c>
    </row>
    <row r="147" spans="1:17" x14ac:dyDescent="0.35">
      <c r="A147" s="3">
        <f>+A146+1</f>
        <v>45226</v>
      </c>
      <c r="B147" s="19">
        <f>33825887.61/1000000</f>
        <v>33.825887610000002</v>
      </c>
      <c r="C147" s="20">
        <f>'Daily exchange'!D103</f>
        <v>82.7</v>
      </c>
      <c r="D147" s="20"/>
      <c r="E147" s="20"/>
      <c r="F147" s="20"/>
      <c r="G147" s="20"/>
      <c r="H147" s="20"/>
      <c r="I147" s="21">
        <f t="shared" ref="I147" si="216">SUM(B147:H147)</f>
        <v>116.52588761000001</v>
      </c>
      <c r="J147" s="19">
        <f t="shared" si="184"/>
        <v>1457</v>
      </c>
      <c r="K147" s="20"/>
      <c r="L147" s="20"/>
      <c r="M147" s="20"/>
      <c r="N147" s="20"/>
      <c r="O147" s="20"/>
      <c r="P147" s="20"/>
      <c r="Q147" s="21">
        <f t="shared" ref="Q147" si="217">SUM(J147:P147)</f>
        <v>1457</v>
      </c>
    </row>
    <row r="148" spans="1:17" x14ac:dyDescent="0.35">
      <c r="A148" s="3">
        <f>+A147+3</f>
        <v>45229</v>
      </c>
      <c r="B148" s="19">
        <f>33712687.61/1000000</f>
        <v>33.712687609999996</v>
      </c>
      <c r="C148" s="20">
        <f>'Daily exchange'!D104</f>
        <v>82.7</v>
      </c>
      <c r="D148" s="20"/>
      <c r="E148" s="20"/>
      <c r="F148" s="20"/>
      <c r="G148" s="20"/>
      <c r="H148" s="20"/>
      <c r="I148" s="21">
        <f t="shared" ref="I148" si="218">SUM(B148:H148)</f>
        <v>116.41268761000001</v>
      </c>
      <c r="J148" s="19">
        <f t="shared" si="184"/>
        <v>1457</v>
      </c>
      <c r="K148" s="20"/>
      <c r="L148" s="20"/>
      <c r="M148" s="20"/>
      <c r="N148" s="20"/>
      <c r="O148" s="20"/>
      <c r="P148" s="20"/>
      <c r="Q148" s="21">
        <f t="shared" ref="Q148" si="219">SUM(J148:P148)</f>
        <v>1457</v>
      </c>
    </row>
    <row r="149" spans="1:17" x14ac:dyDescent="0.35">
      <c r="A149" s="3">
        <f>+A148+1</f>
        <v>45230</v>
      </c>
      <c r="B149" s="19">
        <f>33709121.61/1000000</f>
        <v>33.709121609999997</v>
      </c>
      <c r="C149" s="20">
        <f>'Daily exchange'!D105</f>
        <v>82.7</v>
      </c>
      <c r="D149" s="20"/>
      <c r="E149" s="20"/>
      <c r="F149" s="20"/>
      <c r="G149" s="20"/>
      <c r="H149" s="20"/>
      <c r="I149" s="21">
        <f t="shared" ref="I149" si="220">SUM(B149:H149)</f>
        <v>116.40912161</v>
      </c>
      <c r="J149" s="19">
        <f t="shared" si="184"/>
        <v>1457</v>
      </c>
      <c r="K149" s="20"/>
      <c r="L149" s="20"/>
      <c r="M149" s="20"/>
      <c r="N149" s="20"/>
      <c r="O149" s="20"/>
      <c r="P149" s="20"/>
      <c r="Q149" s="21">
        <f t="shared" ref="Q149" si="221">SUM(J149:P149)</f>
        <v>1457</v>
      </c>
    </row>
    <row r="150" spans="1:17" x14ac:dyDescent="0.35">
      <c r="A150" s="3">
        <f>+A149+1</f>
        <v>45231</v>
      </c>
      <c r="B150" s="19">
        <f>33688261.61/1000000</f>
        <v>33.688261609999998</v>
      </c>
      <c r="C150" s="20">
        <f>'Daily exchange'!D106</f>
        <v>82.7</v>
      </c>
      <c r="D150" s="20"/>
      <c r="E150" s="20"/>
      <c r="F150" s="20"/>
      <c r="G150" s="20"/>
      <c r="H150" s="20"/>
      <c r="I150" s="21">
        <f t="shared" ref="I150" si="222">SUM(B150:H150)</f>
        <v>116.38826161</v>
      </c>
      <c r="J150" s="19">
        <f t="shared" si="184"/>
        <v>1457</v>
      </c>
      <c r="K150" s="20"/>
      <c r="L150" s="20"/>
      <c r="M150" s="20"/>
      <c r="N150" s="20"/>
      <c r="O150" s="20"/>
      <c r="P150" s="20"/>
      <c r="Q150" s="21">
        <f t="shared" ref="Q150" si="223">SUM(J150:P150)</f>
        <v>1457</v>
      </c>
    </row>
    <row r="151" spans="1:17" x14ac:dyDescent="0.35">
      <c r="A151" s="3">
        <f>+A150+1</f>
        <v>45232</v>
      </c>
      <c r="B151" s="19">
        <f>33639594.23/1000000</f>
        <v>33.63959423</v>
      </c>
      <c r="C151" s="20">
        <f>'Daily exchange'!D107</f>
        <v>82.7</v>
      </c>
      <c r="D151" s="20"/>
      <c r="E151" s="20"/>
      <c r="F151" s="20"/>
      <c r="G151" s="20"/>
      <c r="H151" s="20"/>
      <c r="I151" s="21">
        <f t="shared" ref="I151" si="224">SUM(B151:H151)</f>
        <v>116.33959423</v>
      </c>
      <c r="J151" s="19">
        <f t="shared" si="184"/>
        <v>1457</v>
      </c>
      <c r="K151" s="20"/>
      <c r="L151" s="20"/>
      <c r="M151" s="20"/>
      <c r="N151" s="20"/>
      <c r="O151" s="20"/>
      <c r="P151" s="20"/>
      <c r="Q151" s="21">
        <f t="shared" ref="Q151" si="225">SUM(J151:P151)</f>
        <v>1457</v>
      </c>
    </row>
    <row r="152" spans="1:17" x14ac:dyDescent="0.35">
      <c r="A152" s="3">
        <f>+A151+1</f>
        <v>45233</v>
      </c>
      <c r="B152" s="19">
        <f>33587334.23/1000000</f>
        <v>33.587334229999996</v>
      </c>
      <c r="C152" s="20">
        <f>'Daily exchange'!D108</f>
        <v>82.7</v>
      </c>
      <c r="D152" s="20"/>
      <c r="E152" s="20"/>
      <c r="F152" s="20"/>
      <c r="G152" s="20"/>
      <c r="H152" s="20"/>
      <c r="I152" s="21">
        <f t="shared" ref="I152" si="226">SUM(B152:H152)</f>
        <v>116.28733423</v>
      </c>
      <c r="J152" s="19">
        <f t="shared" si="184"/>
        <v>1457</v>
      </c>
      <c r="K152" s="20"/>
      <c r="L152" s="20"/>
      <c r="M152" s="20"/>
      <c r="N152" s="20"/>
      <c r="O152" s="20"/>
      <c r="P152" s="20"/>
      <c r="Q152" s="21">
        <f t="shared" ref="Q152" si="227">SUM(J152:P152)</f>
        <v>1457</v>
      </c>
    </row>
    <row r="153" spans="1:17" x14ac:dyDescent="0.35">
      <c r="A153" s="3">
        <v>45237</v>
      </c>
      <c r="B153" s="19">
        <f>44475978.07/1000000</f>
        <v>44.475978070000004</v>
      </c>
      <c r="C153" s="20">
        <f>'Daily exchange'!D109</f>
        <v>82.7</v>
      </c>
      <c r="D153" s="20"/>
      <c r="E153" s="20"/>
      <c r="F153" s="20"/>
      <c r="G153" s="20"/>
      <c r="H153" s="20"/>
      <c r="I153" s="21">
        <f t="shared" ref="I153" si="228">SUM(B153:H153)</f>
        <v>127.17597807000001</v>
      </c>
      <c r="J153" s="19">
        <f t="shared" si="184"/>
        <v>1457</v>
      </c>
      <c r="K153" s="20"/>
      <c r="L153" s="20"/>
      <c r="M153" s="20"/>
      <c r="N153" s="20"/>
      <c r="O153" s="20"/>
      <c r="P153" s="20"/>
      <c r="Q153" s="21">
        <f t="shared" ref="Q153" si="229">SUM(J153:P153)</f>
        <v>1457</v>
      </c>
    </row>
    <row r="154" spans="1:17" x14ac:dyDescent="0.35">
      <c r="A154" s="3">
        <v>45238</v>
      </c>
      <c r="B154" s="19">
        <f>44505978.07/1000000</f>
        <v>44.505978069999998</v>
      </c>
      <c r="C154" s="20">
        <f>'Daily exchange'!D110</f>
        <v>82.7</v>
      </c>
      <c r="D154" s="20"/>
      <c r="E154" s="20"/>
      <c r="F154" s="20"/>
      <c r="G154" s="20"/>
      <c r="H154" s="20"/>
      <c r="I154" s="21">
        <f t="shared" ref="I154" si="230">SUM(B154:H154)</f>
        <v>127.20597807</v>
      </c>
      <c r="J154" s="19">
        <f t="shared" si="184"/>
        <v>1457</v>
      </c>
      <c r="K154" s="20"/>
      <c r="L154" s="20"/>
      <c r="M154" s="20"/>
      <c r="N154" s="20"/>
      <c r="O154" s="20"/>
      <c r="P154" s="20"/>
      <c r="Q154" s="21">
        <f t="shared" ref="Q154" si="231">SUM(J154:P154)</f>
        <v>1457</v>
      </c>
    </row>
    <row r="155" spans="1:17" x14ac:dyDescent="0.35">
      <c r="A155" s="3">
        <v>45239</v>
      </c>
      <c r="B155" s="19">
        <f>(2339745.81+27669752.86)/1000000</f>
        <v>30.009498669999999</v>
      </c>
      <c r="C155" s="20">
        <f>'Daily exchange'!D111</f>
        <v>82.7</v>
      </c>
      <c r="D155" s="20"/>
      <c r="E155" s="20"/>
      <c r="F155" s="20"/>
      <c r="G155" s="20"/>
      <c r="H155" s="20"/>
      <c r="I155" s="21">
        <f t="shared" ref="I155" si="232">SUM(B155:H155)</f>
        <v>112.70949867</v>
      </c>
      <c r="J155" s="19">
        <f t="shared" ref="J155:J172" si="233">(307000000+1165000000)/1000000</f>
        <v>1472</v>
      </c>
      <c r="K155" s="20"/>
      <c r="L155" s="20"/>
      <c r="M155" s="20"/>
      <c r="N155" s="20"/>
      <c r="O155" s="20"/>
      <c r="P155" s="20"/>
      <c r="Q155" s="21">
        <f t="shared" ref="Q155" si="234">SUM(J155:P155)</f>
        <v>1472</v>
      </c>
    </row>
    <row r="156" spans="1:17" x14ac:dyDescent="0.35">
      <c r="A156" s="3">
        <v>45240</v>
      </c>
      <c r="B156" s="19">
        <f>29997599.77/1000000</f>
        <v>29.997599770000001</v>
      </c>
      <c r="C156" s="20">
        <f>'Daily exchange'!D112</f>
        <v>82.7</v>
      </c>
      <c r="D156" s="20"/>
      <c r="E156" s="20"/>
      <c r="F156" s="20"/>
      <c r="G156" s="20"/>
      <c r="H156" s="20"/>
      <c r="I156" s="21">
        <f t="shared" ref="I156" si="235">SUM(B156:H156)</f>
        <v>112.69759977000001</v>
      </c>
      <c r="J156" s="19">
        <f t="shared" si="233"/>
        <v>1472</v>
      </c>
      <c r="K156" s="20"/>
      <c r="L156" s="20"/>
      <c r="M156" s="20"/>
      <c r="N156" s="20"/>
      <c r="O156" s="20"/>
      <c r="P156" s="20"/>
      <c r="Q156" s="21">
        <f t="shared" ref="Q156" si="236">SUM(J156:P156)</f>
        <v>1472</v>
      </c>
    </row>
    <row r="157" spans="1:17" x14ac:dyDescent="0.35">
      <c r="A157" s="3">
        <v>45243</v>
      </c>
      <c r="B157" s="19">
        <f>29972113.48/1000000</f>
        <v>29.972113480000001</v>
      </c>
      <c r="C157" s="20">
        <f>'Daily exchange'!D113</f>
        <v>82.7</v>
      </c>
      <c r="D157" s="20"/>
      <c r="E157" s="20"/>
      <c r="F157" s="20"/>
      <c r="G157" s="20"/>
      <c r="H157" s="20"/>
      <c r="I157" s="21">
        <f t="shared" ref="I157" si="237">SUM(B157:H157)</f>
        <v>112.67211348000001</v>
      </c>
      <c r="J157" s="19">
        <f t="shared" si="233"/>
        <v>1472</v>
      </c>
      <c r="K157" s="20"/>
      <c r="L157" s="20"/>
      <c r="M157" s="20"/>
      <c r="N157" s="20"/>
      <c r="O157" s="20"/>
      <c r="P157" s="20"/>
      <c r="Q157" s="21">
        <f t="shared" ref="Q157" si="238">SUM(J157:P157)</f>
        <v>1472</v>
      </c>
    </row>
    <row r="158" spans="1:17" x14ac:dyDescent="0.35">
      <c r="A158" s="3">
        <v>45244</v>
      </c>
      <c r="B158" s="19">
        <f>29234788.48/1000000</f>
        <v>29.234788479999999</v>
      </c>
      <c r="C158" s="20">
        <f>'Daily exchange'!D114</f>
        <v>82.7</v>
      </c>
      <c r="D158" s="20"/>
      <c r="E158" s="20"/>
      <c r="F158" s="20"/>
      <c r="G158" s="20"/>
      <c r="H158" s="20"/>
      <c r="I158" s="21">
        <f t="shared" ref="I158" si="239">SUM(B158:H158)</f>
        <v>111.93478848000001</v>
      </c>
      <c r="J158" s="19">
        <f t="shared" si="233"/>
        <v>1472</v>
      </c>
      <c r="K158" s="20"/>
      <c r="L158" s="20"/>
      <c r="M158" s="20"/>
      <c r="N158" s="20"/>
      <c r="O158" s="20"/>
      <c r="P158" s="20"/>
      <c r="Q158" s="21">
        <f t="shared" ref="Q158" si="240">SUM(J158:P158)</f>
        <v>1472</v>
      </c>
    </row>
    <row r="159" spans="1:17" x14ac:dyDescent="0.35">
      <c r="A159" s="3">
        <v>45245</v>
      </c>
      <c r="B159" s="19">
        <f>29202074.64/1000000</f>
        <v>29.202074639999999</v>
      </c>
      <c r="C159" s="20">
        <f>'Daily exchange'!D115</f>
        <v>82.7</v>
      </c>
      <c r="D159" s="20"/>
      <c r="E159" s="20"/>
      <c r="F159" s="20"/>
      <c r="G159" s="20"/>
      <c r="H159" s="20"/>
      <c r="I159" s="21">
        <f t="shared" ref="I159" si="241">SUM(B159:H159)</f>
        <v>111.90207464</v>
      </c>
      <c r="J159" s="19">
        <f t="shared" si="233"/>
        <v>1472</v>
      </c>
      <c r="K159" s="20"/>
      <c r="L159" s="20"/>
      <c r="M159" s="20"/>
      <c r="N159" s="20"/>
      <c r="O159" s="20"/>
      <c r="P159" s="20"/>
      <c r="Q159" s="21">
        <f t="shared" ref="Q159" si="242">SUM(J159:P159)</f>
        <v>1472</v>
      </c>
    </row>
    <row r="160" spans="1:17" x14ac:dyDescent="0.35">
      <c r="A160" s="3">
        <v>45246</v>
      </c>
      <c r="B160" s="19">
        <f>29134207.64/1000000</f>
        <v>29.13420764</v>
      </c>
      <c r="C160" s="20">
        <f>'Daily exchange'!D116</f>
        <v>82.7</v>
      </c>
      <c r="D160" s="20"/>
      <c r="E160" s="20"/>
      <c r="F160" s="20"/>
      <c r="G160" s="20"/>
      <c r="H160" s="20"/>
      <c r="I160" s="21">
        <f t="shared" ref="I160" si="243">SUM(B160:H160)</f>
        <v>111.83420764</v>
      </c>
      <c r="J160" s="19">
        <f t="shared" si="233"/>
        <v>1472</v>
      </c>
      <c r="K160" s="20"/>
      <c r="L160" s="20"/>
      <c r="M160" s="20"/>
      <c r="N160" s="20"/>
      <c r="O160" s="20"/>
      <c r="P160" s="20"/>
      <c r="Q160" s="21">
        <f t="shared" ref="Q160" si="244">SUM(J160:P160)</f>
        <v>1472</v>
      </c>
    </row>
    <row r="161" spans="1:17" x14ac:dyDescent="0.35">
      <c r="A161" s="3">
        <v>45247</v>
      </c>
      <c r="B161" s="19">
        <f>29123020.64/1000000</f>
        <v>29.12302064</v>
      </c>
      <c r="C161" s="20">
        <f>'Daily exchange'!D117</f>
        <v>82.7</v>
      </c>
      <c r="D161" s="20"/>
      <c r="E161" s="20"/>
      <c r="F161" s="20"/>
      <c r="G161" s="20"/>
      <c r="H161" s="20"/>
      <c r="I161" s="21">
        <f t="shared" ref="I161" si="245">SUM(B161:H161)</f>
        <v>111.82302064000001</v>
      </c>
      <c r="J161" s="19">
        <f t="shared" si="233"/>
        <v>1472</v>
      </c>
      <c r="K161" s="20"/>
      <c r="L161" s="20"/>
      <c r="M161" s="20"/>
      <c r="N161" s="20"/>
      <c r="O161" s="20"/>
      <c r="P161" s="20"/>
      <c r="Q161" s="21">
        <f t="shared" ref="Q161" si="246">SUM(J161:P161)</f>
        <v>1472</v>
      </c>
    </row>
    <row r="162" spans="1:17" x14ac:dyDescent="0.35">
      <c r="A162" s="3">
        <v>45250</v>
      </c>
      <c r="B162" s="19">
        <f>(26779284.83+2339745.81)/1000000</f>
        <v>29.119030639999998</v>
      </c>
      <c r="C162" s="20">
        <f>'Daily exchange'!D118</f>
        <v>82.7</v>
      </c>
      <c r="D162" s="20"/>
      <c r="E162" s="20"/>
      <c r="F162" s="20"/>
      <c r="G162" s="20"/>
      <c r="H162" s="20"/>
      <c r="I162" s="21">
        <f t="shared" ref="I162" si="247">SUM(B162:H162)</f>
        <v>111.81903063999999</v>
      </c>
      <c r="J162" s="19">
        <f t="shared" si="233"/>
        <v>1472</v>
      </c>
      <c r="K162" s="20"/>
      <c r="L162" s="20"/>
      <c r="M162" s="20"/>
      <c r="N162" s="20"/>
      <c r="O162" s="20"/>
      <c r="P162" s="20"/>
      <c r="Q162" s="21">
        <f t="shared" ref="Q162" si="248">SUM(J162:P162)</f>
        <v>1472</v>
      </c>
    </row>
    <row r="163" spans="1:17" x14ac:dyDescent="0.35">
      <c r="A163" s="3">
        <v>45251</v>
      </c>
      <c r="B163" s="19">
        <f>(26779284.83+2339745.81)/1000000</f>
        <v>29.119030639999998</v>
      </c>
      <c r="C163" s="20">
        <f>'Daily exchange'!D119</f>
        <v>82.7</v>
      </c>
      <c r="D163" s="20"/>
      <c r="E163" s="20"/>
      <c r="F163" s="20"/>
      <c r="G163" s="20"/>
      <c r="H163" s="20"/>
      <c r="I163" s="21">
        <f t="shared" ref="I163" si="249">SUM(B163:H163)</f>
        <v>111.81903063999999</v>
      </c>
      <c r="J163" s="19">
        <f t="shared" si="233"/>
        <v>1472</v>
      </c>
      <c r="K163" s="20"/>
      <c r="L163" s="20"/>
      <c r="M163" s="20"/>
      <c r="N163" s="20"/>
      <c r="O163" s="20"/>
      <c r="P163" s="20"/>
      <c r="Q163" s="21">
        <f t="shared" ref="Q163" si="250">SUM(J163:P163)</f>
        <v>1472</v>
      </c>
    </row>
    <row r="164" spans="1:17" x14ac:dyDescent="0.35">
      <c r="A164" s="3">
        <v>45252</v>
      </c>
      <c r="B164" s="19">
        <f>(26779284.83+2339745.81)/1000000</f>
        <v>29.119030639999998</v>
      </c>
      <c r="C164" s="20">
        <f>'Daily exchange'!D120</f>
        <v>82.7</v>
      </c>
      <c r="D164" s="20"/>
      <c r="E164" s="20"/>
      <c r="F164" s="20"/>
      <c r="G164" s="20"/>
      <c r="H164" s="20"/>
      <c r="I164" s="21">
        <f t="shared" ref="I164" si="251">SUM(B164:H164)</f>
        <v>111.81903063999999</v>
      </c>
      <c r="J164" s="19">
        <f t="shared" si="233"/>
        <v>1472</v>
      </c>
      <c r="K164" s="20"/>
      <c r="L164" s="20"/>
      <c r="M164" s="20"/>
      <c r="N164" s="20"/>
      <c r="O164" s="20"/>
      <c r="P164" s="20"/>
      <c r="Q164" s="21">
        <f t="shared" ref="Q164" si="252">SUM(J164:P164)</f>
        <v>1472</v>
      </c>
    </row>
    <row r="165" spans="1:17" x14ac:dyDescent="0.35">
      <c r="A165" s="3">
        <v>45253</v>
      </c>
      <c r="B165" s="19">
        <f>(26779284.83+2339745.81)/1000000</f>
        <v>29.119030639999998</v>
      </c>
      <c r="C165" s="20">
        <f>'Daily exchange'!D121</f>
        <v>82.7</v>
      </c>
      <c r="D165" s="20"/>
      <c r="E165" s="20"/>
      <c r="F165" s="20"/>
      <c r="G165" s="20"/>
      <c r="H165" s="20"/>
      <c r="I165" s="21">
        <f t="shared" ref="I165" si="253">SUM(B165:H165)</f>
        <v>111.81903063999999</v>
      </c>
      <c r="J165" s="19">
        <f t="shared" si="233"/>
        <v>1472</v>
      </c>
      <c r="K165" s="20"/>
      <c r="L165" s="20"/>
      <c r="M165" s="20"/>
      <c r="N165" s="20"/>
      <c r="O165" s="20"/>
      <c r="P165" s="20"/>
      <c r="Q165" s="21">
        <f t="shared" ref="Q165" si="254">SUM(J165:P165)</f>
        <v>1472</v>
      </c>
    </row>
    <row r="166" spans="1:17" x14ac:dyDescent="0.35">
      <c r="A166" s="3">
        <v>45254</v>
      </c>
      <c r="B166" s="19">
        <f>27874790.85/1000000</f>
        <v>27.87479085</v>
      </c>
      <c r="C166" s="20">
        <f>'Daily exchange'!D122</f>
        <v>82.7</v>
      </c>
      <c r="D166" s="20"/>
      <c r="E166" s="20"/>
      <c r="F166" s="20"/>
      <c r="G166" s="20"/>
      <c r="H166" s="20"/>
      <c r="I166" s="21">
        <f t="shared" ref="I166" si="255">SUM(B166:H166)</f>
        <v>110.57479085</v>
      </c>
      <c r="J166" s="19">
        <f t="shared" si="233"/>
        <v>1472</v>
      </c>
      <c r="K166" s="20"/>
      <c r="L166" s="20"/>
      <c r="M166" s="20"/>
      <c r="N166" s="20"/>
      <c r="O166" s="20"/>
      <c r="P166" s="20"/>
      <c r="Q166" s="21">
        <f t="shared" ref="Q166" si="256">SUM(J166:P166)</f>
        <v>1472</v>
      </c>
    </row>
    <row r="167" spans="1:17" x14ac:dyDescent="0.35">
      <c r="A167" s="3">
        <v>45257</v>
      </c>
      <c r="B167" s="19">
        <f>26024692.68/1000000</f>
        <v>26.024692680000001</v>
      </c>
      <c r="C167" s="20">
        <f>'Daily exchange'!D123</f>
        <v>82.7</v>
      </c>
      <c r="D167" s="20"/>
      <c r="E167" s="20"/>
      <c r="F167" s="20"/>
      <c r="G167" s="20"/>
      <c r="H167" s="20"/>
      <c r="I167" s="21">
        <f t="shared" ref="I167" si="257">SUM(B167:H167)</f>
        <v>108.72469268</v>
      </c>
      <c r="J167" s="19">
        <f t="shared" si="233"/>
        <v>1472</v>
      </c>
      <c r="K167" s="20"/>
      <c r="L167" s="20"/>
      <c r="M167" s="20"/>
      <c r="N167" s="20"/>
      <c r="O167" s="20"/>
      <c r="P167" s="20"/>
      <c r="Q167" s="21">
        <f t="shared" ref="Q167" si="258">SUM(J167:P167)</f>
        <v>1472</v>
      </c>
    </row>
    <row r="168" spans="1:17" x14ac:dyDescent="0.35">
      <c r="A168" s="3">
        <v>45258</v>
      </c>
      <c r="B168" s="19">
        <f>26003664.58/1000000</f>
        <v>26.003664579999999</v>
      </c>
      <c r="C168" s="20">
        <f>'Daily exchange'!D124</f>
        <v>82.7</v>
      </c>
      <c r="D168" s="20"/>
      <c r="E168" s="20"/>
      <c r="F168" s="20"/>
      <c r="G168" s="20"/>
      <c r="H168" s="20"/>
      <c r="I168" s="21">
        <f t="shared" ref="I168" si="259">SUM(B168:H168)</f>
        <v>108.70366458000001</v>
      </c>
      <c r="J168" s="19">
        <f t="shared" si="233"/>
        <v>1472</v>
      </c>
      <c r="K168" s="20"/>
      <c r="L168" s="20"/>
      <c r="M168" s="20"/>
      <c r="N168" s="20"/>
      <c r="O168" s="20"/>
      <c r="P168" s="20"/>
      <c r="Q168" s="21">
        <f t="shared" ref="Q168" si="260">SUM(J168:P168)</f>
        <v>1472</v>
      </c>
    </row>
    <row r="169" spans="1:17" x14ac:dyDescent="0.35">
      <c r="A169" s="3">
        <v>45259</v>
      </c>
      <c r="B169" s="19">
        <f>26003664.58/1000000</f>
        <v>26.003664579999999</v>
      </c>
      <c r="C169" s="20">
        <f>'Daily exchange'!D125</f>
        <v>82.7</v>
      </c>
      <c r="D169" s="20"/>
      <c r="E169" s="20"/>
      <c r="F169" s="20"/>
      <c r="G169" s="20"/>
      <c r="H169" s="20"/>
      <c r="I169" s="21">
        <f t="shared" ref="I169" si="261">SUM(B169:H169)</f>
        <v>108.70366458000001</v>
      </c>
      <c r="J169" s="19">
        <f t="shared" si="233"/>
        <v>1472</v>
      </c>
      <c r="K169" s="20"/>
      <c r="L169" s="20"/>
      <c r="M169" s="20"/>
      <c r="N169" s="20"/>
      <c r="O169" s="20"/>
      <c r="P169" s="20"/>
      <c r="Q169" s="21">
        <f t="shared" ref="Q169" si="262">SUM(J169:P169)</f>
        <v>1472</v>
      </c>
    </row>
    <row r="170" spans="1:17" x14ac:dyDescent="0.35">
      <c r="A170" s="3">
        <v>45260</v>
      </c>
      <c r="B170" s="19">
        <f>25974471.63/1000000</f>
        <v>25.97447163</v>
      </c>
      <c r="C170" s="20">
        <f>'Daily exchange'!D126</f>
        <v>82.7</v>
      </c>
      <c r="D170" s="20"/>
      <c r="E170" s="20"/>
      <c r="F170" s="20"/>
      <c r="G170" s="20"/>
      <c r="H170" s="20"/>
      <c r="I170" s="21">
        <f t="shared" ref="I170" si="263">SUM(B170:H170)</f>
        <v>108.67447163</v>
      </c>
      <c r="J170" s="19">
        <f t="shared" si="233"/>
        <v>1472</v>
      </c>
      <c r="K170" s="20"/>
      <c r="L170" s="20"/>
      <c r="M170" s="20"/>
      <c r="N170" s="20"/>
      <c r="O170" s="20"/>
      <c r="P170" s="20"/>
      <c r="Q170" s="21">
        <f t="shared" ref="Q170" si="264">SUM(J170:P170)</f>
        <v>1472</v>
      </c>
    </row>
    <row r="171" spans="1:17" x14ac:dyDescent="0.35">
      <c r="A171" s="3">
        <v>45261</v>
      </c>
      <c r="B171" s="19">
        <f>25910113.67/1000000</f>
        <v>25.910113670000001</v>
      </c>
      <c r="C171" s="20">
        <f>'Daily exchange'!D127</f>
        <v>82.7</v>
      </c>
      <c r="D171" s="20"/>
      <c r="E171" s="20"/>
      <c r="F171" s="20"/>
      <c r="G171" s="20"/>
      <c r="H171" s="20"/>
      <c r="I171" s="21">
        <f t="shared" ref="I171" si="265">SUM(B171:H171)</f>
        <v>108.61011367</v>
      </c>
      <c r="J171" s="19">
        <f t="shared" si="233"/>
        <v>1472</v>
      </c>
      <c r="K171" s="20"/>
      <c r="L171" s="20"/>
      <c r="M171" s="20"/>
      <c r="N171" s="20"/>
      <c r="O171" s="20"/>
      <c r="P171" s="20"/>
      <c r="Q171" s="21">
        <f t="shared" ref="Q171" si="266">SUM(J171:P171)</f>
        <v>1472</v>
      </c>
    </row>
    <row r="172" spans="1:17" x14ac:dyDescent="0.35">
      <c r="A172" s="3">
        <v>45264</v>
      </c>
      <c r="B172" s="19">
        <f>25824688.67/1000000</f>
        <v>25.82468867</v>
      </c>
      <c r="C172" s="20">
        <f>'Daily exchange'!D128</f>
        <v>82.7</v>
      </c>
      <c r="D172" s="20"/>
      <c r="E172" s="20"/>
      <c r="F172" s="20"/>
      <c r="G172" s="20"/>
      <c r="H172" s="20"/>
      <c r="I172" s="21">
        <f t="shared" ref="I172" si="267">SUM(B172:H172)</f>
        <v>108.52468867</v>
      </c>
      <c r="J172" s="19">
        <f t="shared" si="233"/>
        <v>1472</v>
      </c>
      <c r="K172" s="20"/>
      <c r="L172" s="20"/>
      <c r="M172" s="20"/>
      <c r="N172" s="20"/>
      <c r="O172" s="20"/>
      <c r="P172" s="20"/>
      <c r="Q172" s="21">
        <f t="shared" ref="Q172" si="268">SUM(J172:P172)</f>
        <v>1472</v>
      </c>
    </row>
    <row r="173" spans="1:17" x14ac:dyDescent="0.35">
      <c r="A173" s="3">
        <v>45265</v>
      </c>
      <c r="B173" s="19">
        <f>26866808.89/1000000</f>
        <v>26.866808890000001</v>
      </c>
      <c r="C173" s="20">
        <f>'Daily exchange'!D129</f>
        <v>0</v>
      </c>
      <c r="D173" s="20"/>
      <c r="E173" s="20"/>
      <c r="F173" s="20"/>
      <c r="G173" s="20"/>
      <c r="H173" s="20"/>
      <c r="I173" s="21">
        <f t="shared" ref="I173" si="269">SUM(B173:H173)</f>
        <v>26.866808890000001</v>
      </c>
      <c r="J173" s="19">
        <f>(307000000+1255000000)/1000000</f>
        <v>1562</v>
      </c>
      <c r="K173" s="20"/>
      <c r="L173" s="20"/>
      <c r="M173" s="20"/>
      <c r="N173" s="20"/>
      <c r="O173" s="20"/>
      <c r="P173" s="20"/>
      <c r="Q173" s="21">
        <f t="shared" ref="Q173" si="270">SUM(J173:P173)</f>
        <v>1562</v>
      </c>
    </row>
    <row r="174" spans="1:17" x14ac:dyDescent="0.35">
      <c r="A174" s="3">
        <v>45266</v>
      </c>
      <c r="B174" s="19">
        <f>26866808.89/1000000</f>
        <v>26.866808890000001</v>
      </c>
      <c r="C174" s="20"/>
      <c r="D174" s="20"/>
      <c r="E174" s="20"/>
      <c r="F174" s="20"/>
      <c r="G174" s="20"/>
      <c r="H174" s="20"/>
      <c r="I174" s="21">
        <f t="shared" ref="I174" si="271">SUM(B174:H174)</f>
        <v>26.866808890000001</v>
      </c>
      <c r="J174" s="19">
        <f>(307000000+1255000000)/1000000</f>
        <v>1562</v>
      </c>
      <c r="K174" s="20"/>
      <c r="L174" s="20"/>
      <c r="M174" s="20"/>
      <c r="N174" s="20"/>
      <c r="O174" s="20"/>
      <c r="P174" s="20"/>
      <c r="Q174" s="21">
        <f t="shared" ref="Q174" si="272">SUM(J174:P174)</f>
        <v>1562</v>
      </c>
    </row>
    <row r="175" spans="1:17" x14ac:dyDescent="0.35">
      <c r="A175" s="3">
        <v>45267</v>
      </c>
      <c r="B175" s="19">
        <f>26866808.89/1000000</f>
        <v>26.866808890000001</v>
      </c>
      <c r="C175" s="20"/>
      <c r="D175" s="20"/>
      <c r="E175" s="20"/>
      <c r="F175" s="20"/>
      <c r="G175" s="20"/>
      <c r="H175" s="20"/>
      <c r="I175" s="21">
        <f t="shared" ref="I175" si="273">SUM(B175:H175)</f>
        <v>26.866808890000001</v>
      </c>
      <c r="J175" s="19">
        <f>(307000000+1255000000)/1000000</f>
        <v>1562</v>
      </c>
      <c r="K175" s="20"/>
      <c r="L175" s="20"/>
      <c r="M175" s="20"/>
      <c r="N175" s="20"/>
      <c r="O175" s="20"/>
      <c r="P175" s="20"/>
      <c r="Q175" s="21">
        <f t="shared" ref="Q175" si="274">SUM(J175:P175)</f>
        <v>1562</v>
      </c>
    </row>
    <row r="176" spans="1:17" x14ac:dyDescent="0.35">
      <c r="A176" s="3">
        <v>45268</v>
      </c>
      <c r="B176" s="19">
        <f>25216180.22/1000000</f>
        <v>25.216180219999998</v>
      </c>
      <c r="C176" s="20"/>
      <c r="D176" s="20"/>
      <c r="E176" s="20"/>
      <c r="F176" s="20"/>
      <c r="G176" s="20"/>
      <c r="H176" s="20"/>
      <c r="I176" s="21">
        <f t="shared" ref="I176" si="275">SUM(B176:H176)</f>
        <v>25.216180219999998</v>
      </c>
      <c r="J176" s="19">
        <f>(307000000+1255000000)/1000000</f>
        <v>1562</v>
      </c>
      <c r="K176" s="20"/>
      <c r="L176" s="20"/>
      <c r="M176" s="20"/>
      <c r="N176" s="20"/>
      <c r="O176" s="20"/>
      <c r="P176" s="20"/>
      <c r="Q176" s="21">
        <f t="shared" ref="Q176" si="276">SUM(J176:P176)</f>
        <v>1562</v>
      </c>
    </row>
    <row r="177" spans="1:17" x14ac:dyDescent="0.35">
      <c r="A177" s="3">
        <v>45271</v>
      </c>
      <c r="B177" s="19">
        <f>26426890.77/1000000</f>
        <v>26.42689077</v>
      </c>
      <c r="C177" s="20"/>
      <c r="D177" s="20"/>
      <c r="E177" s="20"/>
      <c r="F177" s="20"/>
      <c r="G177" s="20"/>
      <c r="H177" s="20"/>
      <c r="I177" s="21">
        <f t="shared" ref="I177" si="277">SUM(B177:H177)</f>
        <v>26.42689077</v>
      </c>
      <c r="J177" s="19">
        <f t="shared" ref="J177:J186" si="278">(307000000+1270000000)/1000000</f>
        <v>1577</v>
      </c>
      <c r="K177" s="20"/>
      <c r="L177" s="20"/>
      <c r="M177" s="20"/>
      <c r="N177" s="20"/>
      <c r="O177" s="20"/>
      <c r="P177" s="20"/>
      <c r="Q177" s="21">
        <f t="shared" ref="Q177" si="279">SUM(J177:P177)</f>
        <v>1577</v>
      </c>
    </row>
    <row r="178" spans="1:17" x14ac:dyDescent="0.35">
      <c r="A178" s="3">
        <v>45272</v>
      </c>
      <c r="B178" s="19">
        <f>26426890.77/1000000</f>
        <v>26.42689077</v>
      </c>
      <c r="C178" s="20"/>
      <c r="D178" s="20"/>
      <c r="E178" s="20"/>
      <c r="F178" s="20"/>
      <c r="G178" s="20"/>
      <c r="H178" s="20"/>
      <c r="I178" s="21">
        <f t="shared" ref="I178" si="280">SUM(B178:H178)</f>
        <v>26.42689077</v>
      </c>
      <c r="J178" s="19">
        <f t="shared" si="278"/>
        <v>1577</v>
      </c>
      <c r="K178" s="20"/>
      <c r="L178" s="20"/>
      <c r="M178" s="20"/>
      <c r="N178" s="20"/>
      <c r="O178" s="20"/>
      <c r="P178" s="20"/>
      <c r="Q178" s="21">
        <f t="shared" ref="Q178" si="281">SUM(J178:P178)</f>
        <v>1577</v>
      </c>
    </row>
    <row r="179" spans="1:17" x14ac:dyDescent="0.35">
      <c r="A179" s="3">
        <v>45273</v>
      </c>
      <c r="B179" s="19">
        <f>26426890.77/1000000</f>
        <v>26.42689077</v>
      </c>
      <c r="C179" s="20"/>
      <c r="D179" s="20"/>
      <c r="E179" s="20"/>
      <c r="F179" s="20"/>
      <c r="G179" s="20"/>
      <c r="H179" s="20"/>
      <c r="I179" s="21">
        <f t="shared" ref="I179" si="282">SUM(B179:H179)</f>
        <v>26.42689077</v>
      </c>
      <c r="J179" s="19">
        <f t="shared" si="278"/>
        <v>1577</v>
      </c>
      <c r="K179" s="20"/>
      <c r="L179" s="20"/>
      <c r="M179" s="20"/>
      <c r="N179" s="20"/>
      <c r="O179" s="20"/>
      <c r="P179" s="20"/>
      <c r="Q179" s="21">
        <f t="shared" ref="Q179" si="283">SUM(J179:P179)</f>
        <v>1577</v>
      </c>
    </row>
    <row r="180" spans="1:17" x14ac:dyDescent="0.35">
      <c r="A180" s="3">
        <v>45274</v>
      </c>
      <c r="B180" s="19">
        <f>26320955.98/1000000</f>
        <v>26.320955980000001</v>
      </c>
      <c r="C180" s="20"/>
      <c r="D180" s="20"/>
      <c r="E180" s="20"/>
      <c r="F180" s="20"/>
      <c r="G180" s="20"/>
      <c r="H180" s="20"/>
      <c r="I180" s="21">
        <f t="shared" ref="I180" si="284">SUM(B180:H180)</f>
        <v>26.320955980000001</v>
      </c>
      <c r="J180" s="19">
        <f t="shared" si="278"/>
        <v>1577</v>
      </c>
      <c r="K180" s="20"/>
      <c r="L180" s="20"/>
      <c r="M180" s="20"/>
      <c r="N180" s="20"/>
      <c r="O180" s="20"/>
      <c r="P180" s="20"/>
      <c r="Q180" s="21">
        <f t="shared" ref="Q180" si="285">SUM(J180:P180)</f>
        <v>1577</v>
      </c>
    </row>
    <row r="181" spans="1:17" x14ac:dyDescent="0.35">
      <c r="A181" s="3">
        <v>45275</v>
      </c>
      <c r="B181" s="19">
        <f>(21651434.96+4632338.96)/1000000</f>
        <v>26.283773920000002</v>
      </c>
      <c r="C181" s="20"/>
      <c r="D181" s="20"/>
      <c r="E181" s="20"/>
      <c r="F181" s="20"/>
      <c r="G181" s="20"/>
      <c r="H181" s="20"/>
      <c r="I181" s="21">
        <f t="shared" ref="I181" si="286">SUM(B181:H181)</f>
        <v>26.283773920000002</v>
      </c>
      <c r="J181" s="19">
        <f t="shared" si="278"/>
        <v>1577</v>
      </c>
      <c r="K181" s="20"/>
      <c r="L181" s="20"/>
      <c r="M181" s="20"/>
      <c r="N181" s="20"/>
      <c r="O181" s="20"/>
      <c r="P181" s="20"/>
      <c r="Q181" s="21">
        <f t="shared" ref="Q181" si="287">SUM(J181:P181)</f>
        <v>1577</v>
      </c>
    </row>
    <row r="182" spans="1:17" x14ac:dyDescent="0.35">
      <c r="A182" s="3">
        <v>45278</v>
      </c>
      <c r="B182" s="19">
        <f>(21651434.96+4632338.96)/1000000</f>
        <v>26.283773920000002</v>
      </c>
      <c r="C182" s="20"/>
      <c r="D182" s="20"/>
      <c r="E182" s="20"/>
      <c r="F182" s="20"/>
      <c r="G182" s="20"/>
      <c r="H182" s="20"/>
      <c r="I182" s="21">
        <f t="shared" ref="I182" si="288">SUM(B182:H182)</f>
        <v>26.283773920000002</v>
      </c>
      <c r="J182" s="19">
        <f t="shared" si="278"/>
        <v>1577</v>
      </c>
      <c r="K182" s="20"/>
      <c r="L182" s="20"/>
      <c r="M182" s="20"/>
      <c r="N182" s="20"/>
      <c r="O182" s="20"/>
      <c r="P182" s="20"/>
      <c r="Q182" s="21">
        <f t="shared" ref="Q182" si="289">SUM(J182:P182)</f>
        <v>1577</v>
      </c>
    </row>
    <row r="183" spans="1:17" x14ac:dyDescent="0.35">
      <c r="A183" s="3">
        <v>45279</v>
      </c>
      <c r="B183" s="19">
        <f>(21651434.96+4632338.96)/1000000</f>
        <v>26.283773920000002</v>
      </c>
      <c r="C183" s="20"/>
      <c r="D183" s="20"/>
      <c r="E183" s="20"/>
      <c r="F183" s="20"/>
      <c r="G183" s="20"/>
      <c r="H183" s="20"/>
      <c r="I183" s="21">
        <f t="shared" ref="I183" si="290">SUM(B183:H183)</f>
        <v>26.283773920000002</v>
      </c>
      <c r="J183" s="19">
        <f t="shared" si="278"/>
        <v>1577</v>
      </c>
      <c r="K183" s="20"/>
      <c r="L183" s="20"/>
      <c r="M183" s="20"/>
      <c r="N183" s="20"/>
      <c r="O183" s="20"/>
      <c r="P183" s="20"/>
      <c r="Q183" s="21">
        <f t="shared" ref="Q183" si="291">SUM(J183:P183)</f>
        <v>1577</v>
      </c>
    </row>
    <row r="184" spans="1:17" x14ac:dyDescent="0.35">
      <c r="A184" s="3">
        <v>45280</v>
      </c>
      <c r="B184" s="19">
        <f>(21651434.96+4632338.96)/1000000</f>
        <v>26.283773920000002</v>
      </c>
      <c r="C184" s="20"/>
      <c r="D184" s="20"/>
      <c r="E184" s="20"/>
      <c r="F184" s="20"/>
      <c r="G184" s="20"/>
      <c r="H184" s="20"/>
      <c r="I184" s="21">
        <f t="shared" ref="I184" si="292">SUM(B184:H184)</f>
        <v>26.283773920000002</v>
      </c>
      <c r="J184" s="19">
        <f t="shared" si="278"/>
        <v>1577</v>
      </c>
      <c r="K184" s="20"/>
      <c r="L184" s="20"/>
      <c r="M184" s="20"/>
      <c r="N184" s="20"/>
      <c r="O184" s="20"/>
      <c r="P184" s="20"/>
      <c r="Q184" s="21">
        <f t="shared" ref="Q184" si="293">SUM(J184:P184)</f>
        <v>1577</v>
      </c>
    </row>
    <row r="185" spans="1:17" x14ac:dyDescent="0.35">
      <c r="A185" s="3">
        <v>45281</v>
      </c>
      <c r="B185" s="19">
        <f>(21651434.96+4632338.96)/1000000</f>
        <v>26.283773920000002</v>
      </c>
      <c r="C185" s="20"/>
      <c r="D185" s="20"/>
      <c r="E185" s="20"/>
      <c r="F185" s="20"/>
      <c r="G185" s="20"/>
      <c r="H185" s="20"/>
      <c r="I185" s="21">
        <f t="shared" ref="I185" si="294">SUM(B185:H185)</f>
        <v>26.283773920000002</v>
      </c>
      <c r="J185" s="19">
        <f t="shared" si="278"/>
        <v>1577</v>
      </c>
      <c r="K185" s="20"/>
      <c r="L185" s="20"/>
      <c r="M185" s="20"/>
      <c r="N185" s="20"/>
      <c r="O185" s="20"/>
      <c r="P185" s="20"/>
      <c r="Q185" s="21">
        <f t="shared" ref="Q185" si="295">SUM(J185:P185)</f>
        <v>1577</v>
      </c>
    </row>
    <row r="186" spans="1:17" x14ac:dyDescent="0.35">
      <c r="A186" s="3">
        <v>45282</v>
      </c>
      <c r="B186" s="19">
        <f>22645322.61/1000000</f>
        <v>22.645322610000001</v>
      </c>
      <c r="C186" s="20"/>
      <c r="D186" s="20"/>
      <c r="E186" s="20"/>
      <c r="F186" s="20"/>
      <c r="G186" s="20"/>
      <c r="H186" s="20"/>
      <c r="I186" s="21">
        <f t="shared" ref="I186" si="296">SUM(B186:H186)</f>
        <v>22.645322610000001</v>
      </c>
      <c r="J186" s="19">
        <f t="shared" si="278"/>
        <v>1577</v>
      </c>
      <c r="K186" s="20"/>
      <c r="L186" s="20"/>
      <c r="M186" s="20"/>
      <c r="N186" s="20"/>
      <c r="O186" s="20"/>
      <c r="P186" s="20"/>
      <c r="Q186" s="21">
        <f t="shared" ref="Q186" si="297">SUM(J186:P186)</f>
        <v>1577</v>
      </c>
    </row>
    <row r="187" spans="1:17" x14ac:dyDescent="0.35">
      <c r="A187" s="3">
        <v>45285</v>
      </c>
      <c r="B187" s="19">
        <f>18384520.25/1000000</f>
        <v>18.384520250000001</v>
      </c>
      <c r="C187" s="20"/>
      <c r="D187" s="20"/>
      <c r="E187" s="20"/>
      <c r="F187" s="20"/>
      <c r="G187" s="20"/>
      <c r="H187" s="20"/>
      <c r="I187" s="21">
        <f t="shared" ref="I187" si="298">SUM(B187:H187)</f>
        <v>18.384520250000001</v>
      </c>
      <c r="J187" s="19">
        <f>(307000000+1280000000)/1000000</f>
        <v>1587</v>
      </c>
      <c r="K187" s="20"/>
      <c r="L187" s="20"/>
      <c r="M187" s="20"/>
      <c r="N187" s="20"/>
      <c r="O187" s="20"/>
      <c r="P187" s="20"/>
      <c r="Q187" s="21">
        <f t="shared" ref="Q187" si="299">SUM(J187:P187)</f>
        <v>1587</v>
      </c>
    </row>
    <row r="188" spans="1:17" x14ac:dyDescent="0.35">
      <c r="A188" s="3">
        <v>45286</v>
      </c>
      <c r="B188" s="19">
        <f>18364086.65/1000000</f>
        <v>18.364086649999997</v>
      </c>
      <c r="C188" s="20"/>
      <c r="D188" s="20"/>
      <c r="E188" s="20"/>
      <c r="F188" s="20"/>
      <c r="G188" s="20"/>
      <c r="H188" s="20"/>
      <c r="I188" s="21">
        <f t="shared" ref="I188" si="300">SUM(B188:H188)</f>
        <v>18.364086649999997</v>
      </c>
      <c r="J188" s="19">
        <f>(307000000+1280000000)/1000000</f>
        <v>1587</v>
      </c>
      <c r="K188" s="20"/>
      <c r="L188" s="20"/>
      <c r="M188" s="20"/>
      <c r="N188" s="20"/>
      <c r="O188" s="20"/>
      <c r="P188" s="20"/>
      <c r="Q188" s="21">
        <f t="shared" ref="Q188" si="301">SUM(J188:P188)</f>
        <v>1587</v>
      </c>
    </row>
    <row r="189" spans="1:17" x14ac:dyDescent="0.35">
      <c r="A189" s="3">
        <v>45287</v>
      </c>
      <c r="B189" s="19">
        <f>38627726.78/1000000</f>
        <v>38.627726780000003</v>
      </c>
      <c r="C189" s="20"/>
      <c r="D189" s="20"/>
      <c r="E189" s="20"/>
      <c r="F189" s="20"/>
      <c r="G189" s="20"/>
      <c r="H189" s="20"/>
      <c r="I189" s="21">
        <f t="shared" ref="I189" si="302">SUM(B189:H189)</f>
        <v>38.627726780000003</v>
      </c>
      <c r="J189" s="19">
        <f t="shared" ref="J189:J199" si="303">(307000000+228000000)/1000000</f>
        <v>535</v>
      </c>
      <c r="K189" s="20"/>
      <c r="L189" s="20"/>
      <c r="M189" s="20"/>
      <c r="N189" s="20"/>
      <c r="O189" s="20"/>
      <c r="P189" s="20"/>
      <c r="Q189" s="21">
        <f t="shared" ref="Q189" si="304">SUM(J189:P189)</f>
        <v>535</v>
      </c>
    </row>
    <row r="190" spans="1:17" x14ac:dyDescent="0.35">
      <c r="A190" s="3">
        <v>45288</v>
      </c>
      <c r="B190" s="19">
        <f>39933094.82/1000000</f>
        <v>39.933094820000001</v>
      </c>
      <c r="C190" s="20"/>
      <c r="D190" s="20"/>
      <c r="E190" s="20"/>
      <c r="F190" s="20"/>
      <c r="G190" s="20"/>
      <c r="H190" s="20"/>
      <c r="I190" s="21">
        <f t="shared" ref="I190" si="305">SUM(B190:H190)</f>
        <v>39.933094820000001</v>
      </c>
      <c r="J190" s="19">
        <f t="shared" si="303"/>
        <v>535</v>
      </c>
      <c r="K190" s="20"/>
      <c r="L190" s="20"/>
      <c r="M190" s="20"/>
      <c r="N190" s="20"/>
      <c r="O190" s="20"/>
      <c r="P190" s="20"/>
      <c r="Q190" s="21">
        <f t="shared" ref="Q190" si="306">SUM(J190:P190)</f>
        <v>535</v>
      </c>
    </row>
    <row r="191" spans="1:17" x14ac:dyDescent="0.35">
      <c r="A191" s="3">
        <v>45289</v>
      </c>
      <c r="B191" s="19">
        <f>87316317.19/1000000</f>
        <v>87.316317189999992</v>
      </c>
      <c r="C191" s="20"/>
      <c r="D191" s="20"/>
      <c r="E191" s="20"/>
      <c r="F191" s="20"/>
      <c r="G191" s="20"/>
      <c r="H191" s="20"/>
      <c r="I191" s="21">
        <f t="shared" ref="I191" si="307">SUM(B191:H191)</f>
        <v>87.316317189999992</v>
      </c>
      <c r="J191" s="19">
        <f t="shared" si="303"/>
        <v>535</v>
      </c>
      <c r="K191" s="20"/>
      <c r="L191" s="20"/>
      <c r="M191" s="20"/>
      <c r="N191" s="20"/>
      <c r="O191" s="20"/>
      <c r="P191" s="20"/>
      <c r="Q191" s="21">
        <f t="shared" ref="Q191" si="308">SUM(J191:P191)</f>
        <v>535</v>
      </c>
    </row>
    <row r="192" spans="1:17" x14ac:dyDescent="0.35">
      <c r="A192" s="3">
        <v>45300</v>
      </c>
      <c r="B192" s="19">
        <f>89776243.62/1000000</f>
        <v>89.776243620000002</v>
      </c>
      <c r="C192" s="20"/>
      <c r="D192" s="20"/>
      <c r="E192" s="20"/>
      <c r="F192" s="20"/>
      <c r="G192" s="20"/>
      <c r="H192" s="20"/>
      <c r="I192" s="21">
        <f t="shared" ref="I192" si="309">SUM(B192:H192)</f>
        <v>89.776243620000002</v>
      </c>
      <c r="J192" s="19">
        <f t="shared" si="303"/>
        <v>535</v>
      </c>
      <c r="K192" s="20"/>
      <c r="L192" s="20"/>
      <c r="M192" s="20"/>
      <c r="N192" s="20"/>
      <c r="O192" s="20"/>
      <c r="P192" s="20"/>
      <c r="Q192" s="21">
        <f t="shared" ref="Q192" si="310">SUM(J192:P192)</f>
        <v>535</v>
      </c>
    </row>
    <row r="193" spans="1:17" x14ac:dyDescent="0.35">
      <c r="A193" s="3">
        <v>45301</v>
      </c>
      <c r="B193" s="19">
        <f>89706143.62/1000000</f>
        <v>89.706143620000006</v>
      </c>
      <c r="C193" s="20"/>
      <c r="D193" s="20"/>
      <c r="E193" s="20"/>
      <c r="F193" s="20"/>
      <c r="G193" s="20"/>
      <c r="H193" s="20"/>
      <c r="I193" s="21">
        <f t="shared" ref="I193" si="311">SUM(B193:H193)</f>
        <v>89.706143620000006</v>
      </c>
      <c r="J193" s="19">
        <f t="shared" si="303"/>
        <v>535</v>
      </c>
      <c r="K193" s="20"/>
      <c r="L193" s="20"/>
      <c r="M193" s="20"/>
      <c r="N193" s="20"/>
      <c r="O193" s="20"/>
      <c r="P193" s="20"/>
      <c r="Q193" s="21">
        <f t="shared" ref="Q193" si="312">SUM(J193:P193)</f>
        <v>535</v>
      </c>
    </row>
    <row r="194" spans="1:17" x14ac:dyDescent="0.35">
      <c r="A194" s="3">
        <v>45302</v>
      </c>
      <c r="B194" s="19">
        <f>89686264.72/1000000</f>
        <v>89.686264719999997</v>
      </c>
      <c r="C194" s="20"/>
      <c r="D194" s="20"/>
      <c r="E194" s="20"/>
      <c r="F194" s="20"/>
      <c r="G194" s="20"/>
      <c r="H194" s="20"/>
      <c r="I194" s="21">
        <f t="shared" ref="I194" si="313">SUM(B194:H194)</f>
        <v>89.686264719999997</v>
      </c>
      <c r="J194" s="19">
        <f t="shared" si="303"/>
        <v>535</v>
      </c>
      <c r="K194" s="20"/>
      <c r="L194" s="20"/>
      <c r="M194" s="20"/>
      <c r="N194" s="20"/>
      <c r="O194" s="20"/>
      <c r="P194" s="20"/>
      <c r="Q194" s="21">
        <f t="shared" ref="Q194" si="314">SUM(J194:P194)</f>
        <v>535</v>
      </c>
    </row>
    <row r="195" spans="1:17" x14ac:dyDescent="0.35">
      <c r="A195" s="3">
        <v>45303</v>
      </c>
      <c r="B195" s="19">
        <f>89656801.15/1000000</f>
        <v>89.656801150000007</v>
      </c>
      <c r="C195" s="20"/>
      <c r="D195" s="20"/>
      <c r="E195" s="20"/>
      <c r="F195" s="20"/>
      <c r="G195" s="20"/>
      <c r="H195" s="20"/>
      <c r="I195" s="21">
        <f t="shared" ref="I195" si="315">SUM(B195:H195)</f>
        <v>89.656801150000007</v>
      </c>
      <c r="J195" s="19">
        <f t="shared" si="303"/>
        <v>535</v>
      </c>
      <c r="K195" s="20"/>
      <c r="L195" s="20"/>
      <c r="M195" s="20"/>
      <c r="N195" s="20"/>
      <c r="O195" s="20"/>
      <c r="P195" s="20"/>
      <c r="Q195" s="21">
        <f t="shared" ref="Q195" si="316">SUM(J195:P195)</f>
        <v>535</v>
      </c>
    </row>
    <row r="196" spans="1:17" x14ac:dyDescent="0.35">
      <c r="A196" s="3">
        <v>45306</v>
      </c>
      <c r="B196" s="19">
        <f>89644430.39/1000000</f>
        <v>89.644430389999997</v>
      </c>
      <c r="C196" s="20"/>
      <c r="D196" s="20"/>
      <c r="E196" s="20"/>
      <c r="F196" s="20"/>
      <c r="G196" s="20"/>
      <c r="H196" s="20"/>
      <c r="I196" s="21">
        <f t="shared" ref="I196" si="317">SUM(B196:H196)</f>
        <v>89.644430389999997</v>
      </c>
      <c r="J196" s="19">
        <f t="shared" si="303"/>
        <v>535</v>
      </c>
      <c r="K196" s="20"/>
      <c r="L196" s="20"/>
      <c r="M196" s="20"/>
      <c r="N196" s="20"/>
      <c r="O196" s="20"/>
      <c r="P196" s="20"/>
      <c r="Q196" s="21">
        <f t="shared" ref="Q196" si="318">SUM(J196:P196)</f>
        <v>535</v>
      </c>
    </row>
    <row r="197" spans="1:17" x14ac:dyDescent="0.35">
      <c r="A197" s="3">
        <v>45307</v>
      </c>
      <c r="B197" s="19">
        <f>89644430.39/1000000</f>
        <v>89.644430389999997</v>
      </c>
      <c r="C197" s="20"/>
      <c r="D197" s="20"/>
      <c r="E197" s="20"/>
      <c r="F197" s="20"/>
      <c r="G197" s="20"/>
      <c r="H197" s="20"/>
      <c r="I197" s="21">
        <f t="shared" ref="I197" si="319">SUM(B197:H197)</f>
        <v>89.644430389999997</v>
      </c>
      <c r="J197" s="19">
        <f t="shared" si="303"/>
        <v>535</v>
      </c>
      <c r="K197" s="20"/>
      <c r="L197" s="20"/>
      <c r="M197" s="20"/>
      <c r="N197" s="20"/>
      <c r="O197" s="20"/>
      <c r="P197" s="20"/>
      <c r="Q197" s="21">
        <f t="shared" ref="Q197" si="320">SUM(J197:P197)</f>
        <v>535</v>
      </c>
    </row>
    <row r="198" spans="1:17" x14ac:dyDescent="0.35">
      <c r="A198" s="3">
        <v>45308</v>
      </c>
      <c r="B198" s="19">
        <f>89158544.34/1000000</f>
        <v>89.158544340000006</v>
      </c>
      <c r="C198" s="20"/>
      <c r="D198" s="20"/>
      <c r="E198" s="20"/>
      <c r="F198" s="20"/>
      <c r="G198" s="20"/>
      <c r="H198" s="20"/>
      <c r="I198" s="21">
        <f t="shared" ref="I198" si="321">SUM(B198:H198)</f>
        <v>89.158544340000006</v>
      </c>
      <c r="J198" s="19">
        <f t="shared" si="303"/>
        <v>535</v>
      </c>
      <c r="K198" s="20"/>
      <c r="L198" s="20"/>
      <c r="M198" s="20"/>
      <c r="N198" s="20"/>
      <c r="O198" s="20"/>
      <c r="P198" s="20"/>
      <c r="Q198" s="21">
        <f t="shared" ref="Q198" si="322">SUM(J198:P198)</f>
        <v>535</v>
      </c>
    </row>
    <row r="199" spans="1:17" x14ac:dyDescent="0.35">
      <c r="A199" s="3">
        <v>45309</v>
      </c>
      <c r="B199" s="19">
        <f>88766151.34/1000000</f>
        <v>88.766151340000008</v>
      </c>
      <c r="C199" s="20"/>
      <c r="D199" s="20"/>
      <c r="E199" s="20"/>
      <c r="F199" s="20"/>
      <c r="G199" s="20"/>
      <c r="H199" s="20"/>
      <c r="I199" s="21">
        <f t="shared" ref="I199" si="323">SUM(B199:H199)</f>
        <v>88.766151340000008</v>
      </c>
      <c r="J199" s="19">
        <f t="shared" si="303"/>
        <v>535</v>
      </c>
      <c r="K199" s="20"/>
      <c r="L199" s="20"/>
      <c r="M199" s="20"/>
      <c r="N199" s="20"/>
      <c r="O199" s="20"/>
      <c r="P199" s="20"/>
      <c r="Q199" s="21">
        <f t="shared" ref="Q199" si="324">SUM(J199:P199)</f>
        <v>535</v>
      </c>
    </row>
    <row r="200" spans="1:17" x14ac:dyDescent="0.35">
      <c r="A200" s="3">
        <v>45310</v>
      </c>
      <c r="B200" s="19">
        <f>(461930.3+28149028.28)/1000000</f>
        <v>28.610958580000002</v>
      </c>
      <c r="C200" s="20"/>
      <c r="D200" s="20"/>
      <c r="E200" s="20"/>
      <c r="F200" s="20"/>
      <c r="G200" s="20"/>
      <c r="H200" s="20"/>
      <c r="I200" s="21">
        <f t="shared" ref="I200" si="325">SUM(B200:H200)</f>
        <v>28.610958580000002</v>
      </c>
      <c r="J200" s="19">
        <f t="shared" ref="J200:J205" si="326">(307000000+228000000+60000000)/1000000</f>
        <v>595</v>
      </c>
      <c r="K200" s="20"/>
      <c r="L200" s="20"/>
      <c r="M200" s="20"/>
      <c r="N200" s="20"/>
      <c r="O200" s="20"/>
      <c r="P200" s="20"/>
      <c r="Q200" s="21">
        <f t="shared" ref="Q200" si="327">SUM(J200:P200)</f>
        <v>595</v>
      </c>
    </row>
    <row r="201" spans="1:17" x14ac:dyDescent="0.35">
      <c r="A201" s="3">
        <v>45313</v>
      </c>
      <c r="B201" s="19">
        <f>(461930.3+28149028.28)/1000000</f>
        <v>28.610958580000002</v>
      </c>
      <c r="C201" s="20"/>
      <c r="D201" s="20"/>
      <c r="E201" s="20"/>
      <c r="F201" s="20"/>
      <c r="G201" s="20"/>
      <c r="H201" s="20"/>
      <c r="I201" s="21">
        <f t="shared" ref="I201" si="328">SUM(B201:H201)</f>
        <v>28.610958580000002</v>
      </c>
      <c r="J201" s="19">
        <f t="shared" si="326"/>
        <v>595</v>
      </c>
      <c r="K201" s="20"/>
      <c r="L201" s="20"/>
      <c r="M201" s="20"/>
      <c r="N201" s="20"/>
      <c r="O201" s="20"/>
      <c r="P201" s="20"/>
      <c r="Q201" s="21">
        <f t="shared" ref="Q201" si="329">SUM(J201:P201)</f>
        <v>595</v>
      </c>
    </row>
    <row r="202" spans="1:17" x14ac:dyDescent="0.35">
      <c r="A202" s="3">
        <v>45314</v>
      </c>
      <c r="B202" s="19">
        <f>(461930.3+28149028.28)/1000000</f>
        <v>28.610958580000002</v>
      </c>
      <c r="C202" s="20"/>
      <c r="D202" s="20"/>
      <c r="E202" s="20"/>
      <c r="F202" s="20"/>
      <c r="G202" s="20"/>
      <c r="H202" s="20"/>
      <c r="I202" s="21">
        <f t="shared" ref="I202" si="330">SUM(B202:H202)</f>
        <v>28.610958580000002</v>
      </c>
      <c r="J202" s="19">
        <f t="shared" si="326"/>
        <v>595</v>
      </c>
      <c r="K202" s="20"/>
      <c r="L202" s="20"/>
      <c r="M202" s="20"/>
      <c r="N202" s="20"/>
      <c r="O202" s="20"/>
      <c r="P202" s="20"/>
      <c r="Q202" s="21">
        <f t="shared" ref="Q202" si="331">SUM(J202:P202)</f>
        <v>595</v>
      </c>
    </row>
    <row r="203" spans="1:17" x14ac:dyDescent="0.35">
      <c r="A203" s="3">
        <v>45315</v>
      </c>
      <c r="B203" s="19">
        <f>(461930.3+26626958.3)/1000000</f>
        <v>27.088888600000001</v>
      </c>
      <c r="C203" s="20"/>
      <c r="D203" s="20"/>
      <c r="E203" s="20"/>
      <c r="F203" s="20"/>
      <c r="G203" s="20"/>
      <c r="H203" s="20"/>
      <c r="I203" s="21">
        <f t="shared" ref="I203" si="332">SUM(B203:H203)</f>
        <v>27.088888600000001</v>
      </c>
      <c r="J203" s="19">
        <f t="shared" si="326"/>
        <v>595</v>
      </c>
      <c r="K203" s="20"/>
      <c r="L203" s="20"/>
      <c r="M203" s="20"/>
      <c r="N203" s="20"/>
      <c r="O203" s="20"/>
      <c r="P203" s="20"/>
      <c r="Q203" s="21">
        <f t="shared" ref="Q203" si="333">SUM(J203:P203)</f>
        <v>595</v>
      </c>
    </row>
    <row r="204" spans="1:17" x14ac:dyDescent="0.35">
      <c r="A204" s="3">
        <v>45316</v>
      </c>
      <c r="B204" s="19">
        <f>(461930.3+26626958.3)/1000000</f>
        <v>27.088888600000001</v>
      </c>
      <c r="C204" s="20"/>
      <c r="D204" s="20"/>
      <c r="E204" s="20"/>
      <c r="F204" s="20"/>
      <c r="G204" s="20"/>
      <c r="H204" s="20"/>
      <c r="I204" s="21">
        <f t="shared" ref="I204" si="334">SUM(B204:H204)</f>
        <v>27.088888600000001</v>
      </c>
      <c r="J204" s="19">
        <f t="shared" si="326"/>
        <v>595</v>
      </c>
      <c r="K204" s="20"/>
      <c r="L204" s="20"/>
      <c r="M204" s="20"/>
      <c r="N204" s="20"/>
      <c r="O204" s="20"/>
      <c r="P204" s="20"/>
      <c r="Q204" s="21">
        <f t="shared" ref="Q204" si="335">SUM(J204:P204)</f>
        <v>595</v>
      </c>
    </row>
    <row r="205" spans="1:17" x14ac:dyDescent="0.35">
      <c r="A205" s="3">
        <v>45317</v>
      </c>
      <c r="B205" s="19">
        <f>(461930.3+26626958.3)/1000000</f>
        <v>27.088888600000001</v>
      </c>
      <c r="C205" s="20"/>
      <c r="D205" s="20"/>
      <c r="E205" s="20"/>
      <c r="F205" s="20"/>
      <c r="G205" s="20"/>
      <c r="H205" s="20"/>
      <c r="I205" s="21">
        <f t="shared" ref="I205" si="336">SUM(B205:H205)</f>
        <v>27.088888600000001</v>
      </c>
      <c r="J205" s="19">
        <f t="shared" si="326"/>
        <v>595</v>
      </c>
      <c r="K205" s="20"/>
      <c r="L205" s="20"/>
      <c r="M205" s="20"/>
      <c r="N205" s="20"/>
      <c r="O205" s="20"/>
      <c r="P205" s="20"/>
      <c r="Q205" s="21">
        <f t="shared" ref="Q205" si="337">SUM(J205:P205)</f>
        <v>595</v>
      </c>
    </row>
    <row r="206" spans="1:17" x14ac:dyDescent="0.35">
      <c r="A206" s="3">
        <v>45320</v>
      </c>
      <c r="B206" s="19">
        <f>(824177.64+30530739.58)/1000000</f>
        <v>31.354917219999997</v>
      </c>
      <c r="C206" s="20"/>
      <c r="D206" s="20"/>
      <c r="E206" s="20"/>
      <c r="F206" s="20"/>
      <c r="G206" s="20"/>
      <c r="H206" s="20"/>
      <c r="I206" s="21">
        <f t="shared" ref="I206" si="338">SUM(B206:H206)</f>
        <v>31.354917219999997</v>
      </c>
      <c r="J206" s="19">
        <f t="shared" ref="J206:J239" si="339">(307000000+231000000+60000000)/1000000</f>
        <v>598</v>
      </c>
      <c r="K206" s="20"/>
      <c r="L206" s="20"/>
      <c r="M206" s="20"/>
      <c r="N206" s="20"/>
      <c r="O206" s="20"/>
      <c r="P206" s="20"/>
      <c r="Q206" s="21">
        <f t="shared" ref="Q206" si="340">SUM(J206:P206)</f>
        <v>598</v>
      </c>
    </row>
    <row r="207" spans="1:17" x14ac:dyDescent="0.35">
      <c r="A207" s="3">
        <v>45321</v>
      </c>
      <c r="B207" s="19">
        <f>31237000.22/1000000</f>
        <v>31.237000219999999</v>
      </c>
      <c r="C207" s="20"/>
      <c r="D207" s="20"/>
      <c r="E207" s="20"/>
      <c r="F207" s="20"/>
      <c r="G207" s="20"/>
      <c r="H207" s="20"/>
      <c r="I207" s="21">
        <f t="shared" ref="I207" si="341">SUM(B207:H207)</f>
        <v>31.237000219999999</v>
      </c>
      <c r="J207" s="19">
        <f t="shared" si="339"/>
        <v>598</v>
      </c>
      <c r="K207" s="20"/>
      <c r="L207" s="20"/>
      <c r="M207" s="20"/>
      <c r="N207" s="20"/>
      <c r="O207" s="20"/>
      <c r="P207" s="20"/>
      <c r="Q207" s="21">
        <f t="shared" ref="Q207" si="342">SUM(J207:P207)</f>
        <v>598</v>
      </c>
    </row>
    <row r="208" spans="1:17" x14ac:dyDescent="0.35">
      <c r="A208" s="3">
        <v>45322</v>
      </c>
      <c r="B208" s="19">
        <f>(30412822.58+822677.64)/1000000</f>
        <v>31.235500219999999</v>
      </c>
      <c r="C208" s="20"/>
      <c r="D208" s="20"/>
      <c r="E208" s="20"/>
      <c r="F208" s="20"/>
      <c r="G208" s="20"/>
      <c r="H208" s="20"/>
      <c r="I208" s="21">
        <f t="shared" ref="I208" si="343">SUM(B208:H208)</f>
        <v>31.235500219999999</v>
      </c>
      <c r="J208" s="19">
        <f t="shared" si="339"/>
        <v>598</v>
      </c>
      <c r="K208" s="20"/>
      <c r="L208" s="20"/>
      <c r="M208" s="20"/>
      <c r="N208" s="20"/>
      <c r="O208" s="20"/>
      <c r="P208" s="20"/>
      <c r="Q208" s="21">
        <f t="shared" ref="Q208" si="344">SUM(J208:P208)</f>
        <v>598</v>
      </c>
    </row>
    <row r="209" spans="1:17" x14ac:dyDescent="0.35">
      <c r="A209" s="3">
        <v>45323</v>
      </c>
      <c r="B209" s="19">
        <f>31222552.32/1000000</f>
        <v>31.222552320000002</v>
      </c>
      <c r="C209" s="20"/>
      <c r="D209" s="20"/>
      <c r="E209" s="20"/>
      <c r="F209" s="20"/>
      <c r="G209" s="20"/>
      <c r="H209" s="20"/>
      <c r="I209" s="21">
        <f t="shared" ref="I209" si="345">SUM(B209:H209)</f>
        <v>31.222552320000002</v>
      </c>
      <c r="J209" s="19">
        <f t="shared" si="339"/>
        <v>598</v>
      </c>
      <c r="K209" s="20"/>
      <c r="L209" s="20"/>
      <c r="M209" s="20"/>
      <c r="N209" s="20"/>
      <c r="O209" s="20"/>
      <c r="P209" s="20"/>
      <c r="Q209" s="21">
        <f t="shared" ref="Q209" si="346">SUM(J209:P209)</f>
        <v>598</v>
      </c>
    </row>
    <row r="210" spans="1:17" x14ac:dyDescent="0.35">
      <c r="A210" s="3">
        <v>45324</v>
      </c>
      <c r="B210" s="19">
        <f>31210519.83/1000000</f>
        <v>31.210519829999999</v>
      </c>
      <c r="C210" s="20"/>
      <c r="D210" s="20"/>
      <c r="E210" s="20"/>
      <c r="F210" s="20"/>
      <c r="G210" s="20"/>
      <c r="H210" s="20"/>
      <c r="I210" s="21">
        <f t="shared" ref="I210" si="347">SUM(B210:H210)</f>
        <v>31.210519829999999</v>
      </c>
      <c r="J210" s="19">
        <f t="shared" si="339"/>
        <v>598</v>
      </c>
      <c r="K210" s="20"/>
      <c r="L210" s="20"/>
      <c r="M210" s="20"/>
      <c r="N210" s="20"/>
      <c r="O210" s="20"/>
      <c r="P210" s="20"/>
      <c r="Q210" s="21">
        <f t="shared" ref="Q210" si="348">SUM(J210:P210)</f>
        <v>598</v>
      </c>
    </row>
    <row r="211" spans="1:17" x14ac:dyDescent="0.35">
      <c r="A211" s="3">
        <v>45327</v>
      </c>
      <c r="B211" s="19">
        <f>31210519.83/1000000</f>
        <v>31.210519829999999</v>
      </c>
      <c r="C211" s="20"/>
      <c r="D211" s="20"/>
      <c r="E211" s="20"/>
      <c r="F211" s="20"/>
      <c r="G211" s="20"/>
      <c r="H211" s="20"/>
      <c r="I211" s="21">
        <f t="shared" ref="I211" si="349">SUM(B211:H211)</f>
        <v>31.210519829999999</v>
      </c>
      <c r="J211" s="19">
        <f t="shared" si="339"/>
        <v>598</v>
      </c>
      <c r="K211" s="20"/>
      <c r="L211" s="20"/>
      <c r="M211" s="20"/>
      <c r="N211" s="20"/>
      <c r="O211" s="20"/>
      <c r="P211" s="20"/>
      <c r="Q211" s="21">
        <f t="shared" ref="Q211" si="350">SUM(J211:P211)</f>
        <v>598</v>
      </c>
    </row>
    <row r="212" spans="1:17" x14ac:dyDescent="0.35">
      <c r="A212" s="3">
        <v>45328</v>
      </c>
      <c r="B212" s="19">
        <f>30720822.78/1000000</f>
        <v>30.720822780000002</v>
      </c>
      <c r="C212" s="20"/>
      <c r="D212" s="20"/>
      <c r="E212" s="20"/>
      <c r="F212" s="20"/>
      <c r="G212" s="20"/>
      <c r="H212" s="20"/>
      <c r="I212" s="21">
        <f t="shared" ref="I212" si="351">SUM(B212:H212)</f>
        <v>30.720822780000002</v>
      </c>
      <c r="J212" s="19">
        <f t="shared" si="339"/>
        <v>598</v>
      </c>
      <c r="K212" s="20"/>
      <c r="L212" s="20"/>
      <c r="M212" s="20"/>
      <c r="N212" s="20"/>
      <c r="O212" s="20"/>
      <c r="P212" s="20"/>
      <c r="Q212" s="21">
        <f t="shared" ref="Q212" si="352">SUM(J212:P212)</f>
        <v>598</v>
      </c>
    </row>
    <row r="213" spans="1:17" x14ac:dyDescent="0.35">
      <c r="A213" s="3">
        <v>45329</v>
      </c>
      <c r="B213" s="19">
        <f>30720822.78/1000000</f>
        <v>30.720822780000002</v>
      </c>
      <c r="C213" s="20"/>
      <c r="D213" s="20"/>
      <c r="E213" s="20"/>
      <c r="F213" s="20"/>
      <c r="G213" s="20"/>
      <c r="H213" s="20"/>
      <c r="I213" s="21">
        <f t="shared" ref="I213" si="353">SUM(B213:H213)</f>
        <v>30.720822780000002</v>
      </c>
      <c r="J213" s="19">
        <f t="shared" si="339"/>
        <v>598</v>
      </c>
      <c r="K213" s="20"/>
      <c r="L213" s="20"/>
      <c r="M213" s="20"/>
      <c r="N213" s="20"/>
      <c r="O213" s="20"/>
      <c r="P213" s="20"/>
      <c r="Q213" s="21">
        <f t="shared" ref="Q213" si="354">SUM(J213:P213)</f>
        <v>598</v>
      </c>
    </row>
    <row r="214" spans="1:17" x14ac:dyDescent="0.35">
      <c r="A214" s="3">
        <v>45330</v>
      </c>
      <c r="B214" s="19">
        <f>30720822.78/1000000</f>
        <v>30.720822780000002</v>
      </c>
      <c r="C214" s="20"/>
      <c r="D214" s="20"/>
      <c r="E214" s="20"/>
      <c r="F214" s="20"/>
      <c r="G214" s="20"/>
      <c r="H214" s="20"/>
      <c r="I214" s="21">
        <f t="shared" ref="I214" si="355">SUM(B214:H214)</f>
        <v>30.720822780000002</v>
      </c>
      <c r="J214" s="19">
        <f t="shared" si="339"/>
        <v>598</v>
      </c>
      <c r="K214" s="20"/>
      <c r="L214" s="20"/>
      <c r="M214" s="20"/>
      <c r="N214" s="20"/>
      <c r="O214" s="20"/>
      <c r="P214" s="20"/>
      <c r="Q214" s="21">
        <f t="shared" ref="Q214" si="356">SUM(J214:P214)</f>
        <v>598</v>
      </c>
    </row>
    <row r="215" spans="1:17" x14ac:dyDescent="0.35">
      <c r="A215" s="3">
        <v>45331</v>
      </c>
      <c r="B215" s="19">
        <f>28844237.65/1000000</f>
        <v>28.84423765</v>
      </c>
      <c r="C215" s="20"/>
      <c r="D215" s="20"/>
      <c r="E215" s="20"/>
      <c r="F215" s="20"/>
      <c r="G215" s="20"/>
      <c r="H215" s="20"/>
      <c r="I215" s="21">
        <f t="shared" ref="I215" si="357">SUM(B215:H215)</f>
        <v>28.84423765</v>
      </c>
      <c r="J215" s="19">
        <f t="shared" si="339"/>
        <v>598</v>
      </c>
      <c r="K215" s="20"/>
      <c r="L215" s="20"/>
      <c r="M215" s="20"/>
      <c r="N215" s="20"/>
      <c r="O215" s="20"/>
      <c r="P215" s="20"/>
      <c r="Q215" s="21">
        <f t="shared" ref="Q215" si="358">SUM(J215:P215)</f>
        <v>598</v>
      </c>
    </row>
    <row r="216" spans="1:17" x14ac:dyDescent="0.35">
      <c r="A216" s="3">
        <v>45334</v>
      </c>
      <c r="B216" s="19">
        <f>28818812.65/1000000</f>
        <v>28.818812649999998</v>
      </c>
      <c r="C216" s="20"/>
      <c r="D216" s="20"/>
      <c r="E216" s="20"/>
      <c r="F216" s="20"/>
      <c r="G216" s="20"/>
      <c r="H216" s="20"/>
      <c r="I216" s="21">
        <f t="shared" ref="I216" si="359">SUM(B216:H216)</f>
        <v>28.818812649999998</v>
      </c>
      <c r="J216" s="19">
        <f t="shared" si="339"/>
        <v>598</v>
      </c>
      <c r="K216" s="20"/>
      <c r="L216" s="20"/>
      <c r="M216" s="20"/>
      <c r="N216" s="20"/>
      <c r="O216" s="20"/>
      <c r="P216" s="20"/>
      <c r="Q216" s="21">
        <f t="shared" ref="Q216" si="360">SUM(J216:P216)</f>
        <v>598</v>
      </c>
    </row>
    <row r="217" spans="1:17" x14ac:dyDescent="0.35">
      <c r="A217" s="3">
        <v>45335</v>
      </c>
      <c r="B217" s="19">
        <f>28734193.42/1000000</f>
        <v>28.73419342</v>
      </c>
      <c r="C217" s="20"/>
      <c r="D217" s="20"/>
      <c r="E217" s="20"/>
      <c r="F217" s="20"/>
      <c r="G217" s="20"/>
      <c r="H217" s="20"/>
      <c r="I217" s="21">
        <f t="shared" ref="I217" si="361">SUM(B217:H217)</f>
        <v>28.73419342</v>
      </c>
      <c r="J217" s="19">
        <f t="shared" si="339"/>
        <v>598</v>
      </c>
      <c r="K217" s="20"/>
      <c r="L217" s="20"/>
      <c r="M217" s="20"/>
      <c r="N217" s="20"/>
      <c r="O217" s="20"/>
      <c r="P217" s="20"/>
      <c r="Q217" s="21">
        <f t="shared" ref="Q217" si="362">SUM(J217:P217)</f>
        <v>598</v>
      </c>
    </row>
    <row r="218" spans="1:17" x14ac:dyDescent="0.35">
      <c r="A218" s="3">
        <v>45336</v>
      </c>
      <c r="B218" s="19">
        <f>28734193.42/1000000</f>
        <v>28.73419342</v>
      </c>
      <c r="C218" s="20"/>
      <c r="D218" s="20"/>
      <c r="E218" s="20"/>
      <c r="F218" s="20"/>
      <c r="G218" s="20"/>
      <c r="H218" s="20"/>
      <c r="I218" s="21">
        <f t="shared" ref="I218" si="363">SUM(B218:H218)</f>
        <v>28.73419342</v>
      </c>
      <c r="J218" s="19">
        <f t="shared" si="339"/>
        <v>598</v>
      </c>
      <c r="K218" s="20"/>
      <c r="L218" s="20"/>
      <c r="M218" s="20"/>
      <c r="N218" s="20"/>
      <c r="O218" s="20"/>
      <c r="P218" s="20"/>
      <c r="Q218" s="21">
        <f t="shared" ref="Q218" si="364">SUM(J218:P218)</f>
        <v>598</v>
      </c>
    </row>
    <row r="219" spans="1:17" x14ac:dyDescent="0.35">
      <c r="A219" s="3">
        <v>45337</v>
      </c>
      <c r="B219" s="19">
        <f>28734193.42/1000000</f>
        <v>28.73419342</v>
      </c>
      <c r="C219" s="20"/>
      <c r="D219" s="20"/>
      <c r="E219" s="20"/>
      <c r="F219" s="20"/>
      <c r="G219" s="20"/>
      <c r="H219" s="20"/>
      <c r="I219" s="21">
        <f t="shared" ref="I219" si="365">SUM(B219:H219)</f>
        <v>28.73419342</v>
      </c>
      <c r="J219" s="19">
        <f t="shared" si="339"/>
        <v>598</v>
      </c>
      <c r="K219" s="20"/>
      <c r="L219" s="20"/>
      <c r="M219" s="20"/>
      <c r="N219" s="20"/>
      <c r="O219" s="20"/>
      <c r="P219" s="20"/>
      <c r="Q219" s="21">
        <f t="shared" ref="Q219" si="366">SUM(J219:P219)</f>
        <v>598</v>
      </c>
    </row>
    <row r="220" spans="1:17" x14ac:dyDescent="0.35">
      <c r="A220" s="3">
        <v>45338</v>
      </c>
      <c r="B220" s="19">
        <f>28490350.64/1000000</f>
        <v>28.490350639999999</v>
      </c>
      <c r="C220" s="20"/>
      <c r="D220" s="20"/>
      <c r="E220" s="20"/>
      <c r="F220" s="20"/>
      <c r="G220" s="20"/>
      <c r="H220" s="20"/>
      <c r="I220" s="21">
        <f t="shared" ref="I220" si="367">SUM(B220:H220)</f>
        <v>28.490350639999999</v>
      </c>
      <c r="J220" s="19">
        <f t="shared" si="339"/>
        <v>598</v>
      </c>
      <c r="K220" s="20"/>
      <c r="L220" s="20"/>
      <c r="M220" s="20"/>
      <c r="N220" s="20"/>
      <c r="O220" s="20"/>
      <c r="P220" s="20"/>
      <c r="Q220" s="21">
        <f t="shared" ref="Q220" si="368">SUM(J220:P220)</f>
        <v>598</v>
      </c>
    </row>
    <row r="221" spans="1:17" x14ac:dyDescent="0.35">
      <c r="A221" s="3">
        <v>45341</v>
      </c>
      <c r="B221" s="19">
        <f>28490350.64/1000000</f>
        <v>28.490350639999999</v>
      </c>
      <c r="C221" s="20"/>
      <c r="D221" s="20"/>
      <c r="E221" s="20"/>
      <c r="F221" s="20"/>
      <c r="G221" s="20"/>
      <c r="H221" s="20"/>
      <c r="I221" s="21">
        <f t="shared" ref="I221" si="369">SUM(B221:H221)</f>
        <v>28.490350639999999</v>
      </c>
      <c r="J221" s="19">
        <f t="shared" si="339"/>
        <v>598</v>
      </c>
      <c r="K221" s="20"/>
      <c r="L221" s="20"/>
      <c r="M221" s="20"/>
      <c r="N221" s="20"/>
      <c r="O221" s="20"/>
      <c r="P221" s="20"/>
      <c r="Q221" s="21">
        <f t="shared" ref="Q221" si="370">SUM(J221:P221)</f>
        <v>598</v>
      </c>
    </row>
    <row r="222" spans="1:17" x14ac:dyDescent="0.35">
      <c r="A222" s="3">
        <v>45342</v>
      </c>
      <c r="B222" s="19">
        <f>27794347.64/1000000</f>
        <v>27.794347640000002</v>
      </c>
      <c r="C222" s="20"/>
      <c r="D222" s="20"/>
      <c r="E222" s="20"/>
      <c r="F222" s="20"/>
      <c r="G222" s="20"/>
      <c r="H222" s="20"/>
      <c r="I222" s="21">
        <f t="shared" ref="I222" si="371">SUM(B222:H222)</f>
        <v>27.794347640000002</v>
      </c>
      <c r="J222" s="19">
        <f t="shared" si="339"/>
        <v>598</v>
      </c>
      <c r="K222" s="20"/>
      <c r="L222" s="20"/>
      <c r="M222" s="20"/>
      <c r="N222" s="20"/>
      <c r="O222" s="20"/>
      <c r="P222" s="20"/>
      <c r="Q222" s="21">
        <f t="shared" ref="Q222" si="372">SUM(J222:P222)</f>
        <v>598</v>
      </c>
    </row>
    <row r="223" spans="1:17" x14ac:dyDescent="0.35">
      <c r="A223" s="3">
        <v>45343</v>
      </c>
      <c r="B223" s="19">
        <f>27794347.64/1000000</f>
        <v>27.794347640000002</v>
      </c>
      <c r="C223" s="20"/>
      <c r="D223" s="20"/>
      <c r="E223" s="20"/>
      <c r="F223" s="20"/>
      <c r="G223" s="20"/>
      <c r="H223" s="20"/>
      <c r="I223" s="21">
        <f t="shared" ref="I223" si="373">SUM(B223:H223)</f>
        <v>27.794347640000002</v>
      </c>
      <c r="J223" s="19">
        <f t="shared" si="339"/>
        <v>598</v>
      </c>
      <c r="K223" s="20"/>
      <c r="L223" s="20"/>
      <c r="M223" s="20"/>
      <c r="N223" s="20"/>
      <c r="O223" s="20"/>
      <c r="P223" s="20"/>
      <c r="Q223" s="21">
        <f t="shared" ref="Q223" si="374">SUM(J223:P223)</f>
        <v>598</v>
      </c>
    </row>
    <row r="224" spans="1:17" x14ac:dyDescent="0.35">
      <c r="A224" s="3">
        <v>45344</v>
      </c>
      <c r="B224" s="19">
        <f>26376344.44/1000000</f>
        <v>26.37634444</v>
      </c>
      <c r="C224" s="20"/>
      <c r="D224" s="20"/>
      <c r="E224" s="20"/>
      <c r="F224" s="20"/>
      <c r="G224" s="20"/>
      <c r="H224" s="20"/>
      <c r="I224" s="21">
        <f t="shared" ref="I224" si="375">SUM(B224:H224)</f>
        <v>26.37634444</v>
      </c>
      <c r="J224" s="19">
        <f t="shared" si="339"/>
        <v>598</v>
      </c>
      <c r="K224" s="20"/>
      <c r="L224" s="20"/>
      <c r="M224" s="20"/>
      <c r="N224" s="20"/>
      <c r="O224" s="20"/>
      <c r="P224" s="20"/>
      <c r="Q224" s="21">
        <f t="shared" ref="Q224" si="376">SUM(J224:P224)</f>
        <v>598</v>
      </c>
    </row>
    <row r="225" spans="1:17" x14ac:dyDescent="0.35">
      <c r="A225" s="3">
        <v>45348</v>
      </c>
      <c r="B225" s="19">
        <f>25009985.05/1000000</f>
        <v>25.009985050000001</v>
      </c>
      <c r="C225" s="20"/>
      <c r="D225" s="20"/>
      <c r="E225" s="20"/>
      <c r="F225" s="20"/>
      <c r="G225" s="20"/>
      <c r="H225" s="20"/>
      <c r="I225" s="21">
        <f t="shared" ref="I225" si="377">SUM(B225:H225)</f>
        <v>25.009985050000001</v>
      </c>
      <c r="J225" s="19">
        <f t="shared" si="339"/>
        <v>598</v>
      </c>
      <c r="K225" s="20"/>
      <c r="L225" s="20"/>
      <c r="M225" s="20"/>
      <c r="N225" s="20"/>
      <c r="O225" s="20"/>
      <c r="P225" s="20"/>
      <c r="Q225" s="21">
        <f t="shared" ref="Q225" si="378">SUM(J225:P225)</f>
        <v>598</v>
      </c>
    </row>
    <row r="226" spans="1:17" x14ac:dyDescent="0.35">
      <c r="A226" s="3">
        <v>45349</v>
      </c>
      <c r="B226" s="19">
        <f>24947952.76/1000000</f>
        <v>24.947952760000003</v>
      </c>
      <c r="C226" s="20"/>
      <c r="D226" s="20"/>
      <c r="E226" s="20"/>
      <c r="F226" s="20"/>
      <c r="G226" s="20"/>
      <c r="H226" s="20"/>
      <c r="I226" s="21">
        <f t="shared" ref="I226" si="379">SUM(B226:H226)</f>
        <v>24.947952760000003</v>
      </c>
      <c r="J226" s="19">
        <f t="shared" si="339"/>
        <v>598</v>
      </c>
      <c r="K226" s="20"/>
      <c r="L226" s="20"/>
      <c r="M226" s="20"/>
      <c r="N226" s="20"/>
      <c r="O226" s="20"/>
      <c r="P226" s="20"/>
      <c r="Q226" s="21">
        <f t="shared" ref="Q226" si="380">SUM(J226:P226)</f>
        <v>598</v>
      </c>
    </row>
    <row r="227" spans="1:17" x14ac:dyDescent="0.35">
      <c r="A227" s="3">
        <v>45350</v>
      </c>
      <c r="B227" s="19">
        <f>24947952.76/1000000</f>
        <v>24.947952760000003</v>
      </c>
      <c r="C227" s="20"/>
      <c r="D227" s="20"/>
      <c r="E227" s="20"/>
      <c r="F227" s="20"/>
      <c r="G227" s="20"/>
      <c r="H227" s="20"/>
      <c r="I227" s="21">
        <f t="shared" ref="I227" si="381">SUM(B227:H227)</f>
        <v>24.947952760000003</v>
      </c>
      <c r="J227" s="19">
        <f t="shared" si="339"/>
        <v>598</v>
      </c>
      <c r="K227" s="20"/>
      <c r="L227" s="20"/>
      <c r="M227" s="20"/>
      <c r="N227" s="20"/>
      <c r="O227" s="20"/>
      <c r="P227" s="20"/>
      <c r="Q227" s="21">
        <f t="shared" ref="Q227" si="382">SUM(J227:P227)</f>
        <v>598</v>
      </c>
    </row>
    <row r="228" spans="1:17" x14ac:dyDescent="0.35">
      <c r="A228" s="3">
        <v>45351</v>
      </c>
      <c r="B228" s="19">
        <f>24932699.79/1000000</f>
        <v>24.932699789999997</v>
      </c>
      <c r="C228" s="20"/>
      <c r="D228" s="20"/>
      <c r="E228" s="20"/>
      <c r="F228" s="20"/>
      <c r="G228" s="20"/>
      <c r="H228" s="20"/>
      <c r="I228" s="21">
        <f t="shared" ref="I228" si="383">SUM(B228:H228)</f>
        <v>24.932699789999997</v>
      </c>
      <c r="J228" s="19">
        <f t="shared" si="339"/>
        <v>598</v>
      </c>
      <c r="K228" s="20"/>
      <c r="L228" s="20"/>
      <c r="M228" s="20"/>
      <c r="N228" s="20"/>
      <c r="O228" s="20"/>
      <c r="P228" s="20"/>
      <c r="Q228" s="21">
        <f t="shared" ref="Q228" si="384">SUM(J228:P228)</f>
        <v>598</v>
      </c>
    </row>
    <row r="229" spans="1:17" x14ac:dyDescent="0.35">
      <c r="A229" s="3">
        <v>45352</v>
      </c>
      <c r="B229" s="19">
        <f>24931167.79/1000000</f>
        <v>24.93116779</v>
      </c>
      <c r="C229" s="20"/>
      <c r="D229" s="20"/>
      <c r="E229" s="20"/>
      <c r="F229" s="20"/>
      <c r="G229" s="20"/>
      <c r="H229" s="20"/>
      <c r="I229" s="21">
        <f t="shared" ref="I229" si="385">SUM(B229:H229)</f>
        <v>24.93116779</v>
      </c>
      <c r="J229" s="19">
        <f t="shared" si="339"/>
        <v>598</v>
      </c>
      <c r="K229" s="20"/>
      <c r="L229" s="20"/>
      <c r="M229" s="20"/>
      <c r="N229" s="20"/>
      <c r="O229" s="20"/>
      <c r="P229" s="20"/>
      <c r="Q229" s="21">
        <f t="shared" ref="Q229" si="386">SUM(J229:P229)</f>
        <v>598</v>
      </c>
    </row>
    <row r="230" spans="1:17" x14ac:dyDescent="0.35">
      <c r="A230" s="3">
        <v>45355</v>
      </c>
      <c r="B230" s="19">
        <f>24843381.79/1000000</f>
        <v>24.843381789999999</v>
      </c>
      <c r="C230" s="20"/>
      <c r="D230" s="20"/>
      <c r="E230" s="20"/>
      <c r="F230" s="20"/>
      <c r="G230" s="20"/>
      <c r="H230" s="20"/>
      <c r="I230" s="21">
        <f t="shared" ref="I230" si="387">SUM(B230:H230)</f>
        <v>24.843381789999999</v>
      </c>
      <c r="J230" s="19">
        <f t="shared" si="339"/>
        <v>598</v>
      </c>
      <c r="K230" s="20"/>
      <c r="L230" s="20"/>
      <c r="M230" s="20"/>
      <c r="N230" s="20"/>
      <c r="O230" s="20"/>
      <c r="P230" s="20"/>
      <c r="Q230" s="21">
        <f t="shared" ref="Q230" si="388">SUM(J230:P230)</f>
        <v>598</v>
      </c>
    </row>
    <row r="231" spans="1:17" x14ac:dyDescent="0.35">
      <c r="A231" s="3">
        <v>45356</v>
      </c>
      <c r="B231" s="19">
        <f>24873381.79/1000000</f>
        <v>24.87338179</v>
      </c>
      <c r="C231" s="20"/>
      <c r="D231" s="20"/>
      <c r="E231" s="20"/>
      <c r="F231" s="20"/>
      <c r="G231" s="20"/>
      <c r="H231" s="20"/>
      <c r="I231" s="21">
        <f t="shared" ref="I231" si="389">SUM(B231:H231)</f>
        <v>24.87338179</v>
      </c>
      <c r="J231" s="19">
        <f t="shared" si="339"/>
        <v>598</v>
      </c>
      <c r="K231" s="20"/>
      <c r="L231" s="20"/>
      <c r="M231" s="20"/>
      <c r="N231" s="20"/>
      <c r="O231" s="20"/>
      <c r="P231" s="20"/>
      <c r="Q231" s="21">
        <f t="shared" ref="Q231" si="390">SUM(J231:P231)</f>
        <v>598</v>
      </c>
    </row>
    <row r="232" spans="1:17" x14ac:dyDescent="0.35">
      <c r="A232" s="3">
        <v>45357</v>
      </c>
      <c r="B232" s="19">
        <f>24873381.79/1000000</f>
        <v>24.87338179</v>
      </c>
      <c r="C232" s="20"/>
      <c r="D232" s="20"/>
      <c r="E232" s="20"/>
      <c r="F232" s="20"/>
      <c r="G232" s="20"/>
      <c r="H232" s="20"/>
      <c r="I232" s="21">
        <f t="shared" ref="I232" si="391">SUM(B232:H232)</f>
        <v>24.87338179</v>
      </c>
      <c r="J232" s="19">
        <f t="shared" si="339"/>
        <v>598</v>
      </c>
      <c r="K232" s="20"/>
      <c r="L232" s="20"/>
      <c r="M232" s="20"/>
      <c r="N232" s="20"/>
      <c r="O232" s="20"/>
      <c r="P232" s="20"/>
      <c r="Q232" s="21">
        <f t="shared" ref="Q232" si="392">SUM(J232:P232)</f>
        <v>598</v>
      </c>
    </row>
    <row r="233" spans="1:17" x14ac:dyDescent="0.35">
      <c r="A233" s="3">
        <v>45358</v>
      </c>
      <c r="B233" s="19">
        <f>23613208.16/1000000</f>
        <v>23.613208159999999</v>
      </c>
      <c r="C233" s="20"/>
      <c r="D233" s="20"/>
      <c r="E233" s="20"/>
      <c r="F233" s="20"/>
      <c r="G233" s="20"/>
      <c r="H233" s="20"/>
      <c r="I233" s="21">
        <f t="shared" ref="I233" si="393">SUM(B233:H233)</f>
        <v>23.613208159999999</v>
      </c>
      <c r="J233" s="19">
        <f t="shared" si="339"/>
        <v>598</v>
      </c>
      <c r="K233" s="20"/>
      <c r="L233" s="20"/>
      <c r="M233" s="20"/>
      <c r="N233" s="20"/>
      <c r="O233" s="20"/>
      <c r="P233" s="20"/>
      <c r="Q233" s="21">
        <f t="shared" ref="Q233" si="394">SUM(J233:P233)</f>
        <v>598</v>
      </c>
    </row>
    <row r="234" spans="1:17" x14ac:dyDescent="0.35">
      <c r="A234" s="3">
        <v>45362</v>
      </c>
      <c r="B234" s="19">
        <f>23613208.16/1000000</f>
        <v>23.613208159999999</v>
      </c>
      <c r="C234" s="20"/>
      <c r="D234" s="20"/>
      <c r="E234" s="20"/>
      <c r="F234" s="20"/>
      <c r="G234" s="20"/>
      <c r="H234" s="20"/>
      <c r="I234" s="21">
        <f t="shared" ref="I234" si="395">SUM(B234:H234)</f>
        <v>23.613208159999999</v>
      </c>
      <c r="J234" s="19">
        <f t="shared" si="339"/>
        <v>598</v>
      </c>
      <c r="K234" s="20"/>
      <c r="L234" s="20"/>
      <c r="M234" s="20"/>
      <c r="N234" s="20"/>
      <c r="O234" s="20"/>
      <c r="P234" s="20"/>
      <c r="Q234" s="21">
        <f t="shared" ref="Q234" si="396">SUM(J234:P234)</f>
        <v>598</v>
      </c>
    </row>
    <row r="235" spans="1:17" x14ac:dyDescent="0.35">
      <c r="A235" s="3">
        <v>45363</v>
      </c>
      <c r="B235" s="19">
        <f>22453159.18/1000000</f>
        <v>22.45315918</v>
      </c>
      <c r="C235" s="20"/>
      <c r="D235" s="20"/>
      <c r="E235" s="20"/>
      <c r="F235" s="20"/>
      <c r="G235" s="20"/>
      <c r="H235" s="20"/>
      <c r="I235" s="21">
        <f t="shared" ref="I235" si="397">SUM(B235:H235)</f>
        <v>22.45315918</v>
      </c>
      <c r="J235" s="19">
        <f t="shared" si="339"/>
        <v>598</v>
      </c>
      <c r="K235" s="20"/>
      <c r="L235" s="20"/>
      <c r="M235" s="20"/>
      <c r="N235" s="20"/>
      <c r="O235" s="20"/>
      <c r="P235" s="20"/>
      <c r="Q235" s="21">
        <f t="shared" ref="Q235" si="398">SUM(J235:P235)</f>
        <v>598</v>
      </c>
    </row>
    <row r="236" spans="1:17" x14ac:dyDescent="0.35">
      <c r="A236" s="3">
        <v>45364</v>
      </c>
      <c r="B236" s="19">
        <f>22314648.44/1000000</f>
        <v>22.314648440000003</v>
      </c>
      <c r="C236" s="20"/>
      <c r="D236" s="20"/>
      <c r="E236" s="20"/>
      <c r="F236" s="20"/>
      <c r="G236" s="20"/>
      <c r="H236" s="20"/>
      <c r="I236" s="21">
        <f t="shared" ref="I236" si="399">SUM(B236:H236)</f>
        <v>22.314648440000003</v>
      </c>
      <c r="J236" s="19">
        <f t="shared" si="339"/>
        <v>598</v>
      </c>
      <c r="K236" s="20"/>
      <c r="L236" s="20"/>
      <c r="M236" s="20"/>
      <c r="N236" s="20"/>
      <c r="O236" s="20"/>
      <c r="P236" s="20"/>
      <c r="Q236" s="21">
        <f t="shared" ref="Q236" si="400">SUM(J236:P236)</f>
        <v>598</v>
      </c>
    </row>
    <row r="237" spans="1:17" x14ac:dyDescent="0.35">
      <c r="A237" s="3">
        <v>45365</v>
      </c>
      <c r="B237" s="19">
        <f>22314648.44/1000000</f>
        <v>22.314648440000003</v>
      </c>
      <c r="C237" s="20"/>
      <c r="D237" s="20"/>
      <c r="E237" s="20"/>
      <c r="F237" s="20"/>
      <c r="G237" s="20"/>
      <c r="H237" s="20"/>
      <c r="I237" s="21">
        <f t="shared" ref="I237" si="401">SUM(B237:H237)</f>
        <v>22.314648440000003</v>
      </c>
      <c r="J237" s="19">
        <f t="shared" si="339"/>
        <v>598</v>
      </c>
      <c r="K237" s="20"/>
      <c r="L237" s="20"/>
      <c r="M237" s="20"/>
      <c r="N237" s="20"/>
      <c r="O237" s="20"/>
      <c r="P237" s="20"/>
      <c r="Q237" s="21">
        <f t="shared" ref="Q237" si="402">SUM(J237:P237)</f>
        <v>598</v>
      </c>
    </row>
    <row r="238" spans="1:17" x14ac:dyDescent="0.35">
      <c r="A238" s="3">
        <v>45366</v>
      </c>
      <c r="B238" s="19">
        <f>22314648.44/1000000</f>
        <v>22.314648440000003</v>
      </c>
      <c r="C238" s="20"/>
      <c r="D238" s="20"/>
      <c r="E238" s="20"/>
      <c r="F238" s="20"/>
      <c r="G238" s="20"/>
      <c r="H238" s="20"/>
      <c r="I238" s="21">
        <f t="shared" ref="I238" si="403">SUM(B238:H238)</f>
        <v>22.314648440000003</v>
      </c>
      <c r="J238" s="19">
        <f t="shared" si="339"/>
        <v>598</v>
      </c>
      <c r="K238" s="20"/>
      <c r="L238" s="20"/>
      <c r="M238" s="20"/>
      <c r="N238" s="20"/>
      <c r="O238" s="20"/>
      <c r="P238" s="20"/>
      <c r="Q238" s="21">
        <f t="shared" ref="Q238" si="404">SUM(J238:P238)</f>
        <v>598</v>
      </c>
    </row>
    <row r="239" spans="1:17" x14ac:dyDescent="0.35">
      <c r="A239" s="3">
        <v>45369</v>
      </c>
      <c r="B239" s="19">
        <f>22236665.5/1000000</f>
        <v>22.236665500000001</v>
      </c>
      <c r="C239" s="20"/>
      <c r="D239" s="20"/>
      <c r="E239" s="20"/>
      <c r="F239" s="20"/>
      <c r="G239" s="20"/>
      <c r="H239" s="20"/>
      <c r="I239" s="21">
        <f t="shared" ref="I239" si="405">SUM(B239:H239)</f>
        <v>22.236665500000001</v>
      </c>
      <c r="J239" s="19">
        <f t="shared" si="339"/>
        <v>598</v>
      </c>
      <c r="K239" s="20"/>
      <c r="L239" s="20"/>
      <c r="M239" s="20"/>
      <c r="N239" s="20"/>
      <c r="O239" s="20"/>
      <c r="P239" s="20"/>
      <c r="Q239" s="21">
        <f t="shared" ref="Q239" si="406">SUM(J239:P239)</f>
        <v>598</v>
      </c>
    </row>
    <row r="240" spans="1:17" x14ac:dyDescent="0.35">
      <c r="A240" s="3">
        <v>45370</v>
      </c>
      <c r="B240" s="19">
        <f>41838444.19/1000000</f>
        <v>41.838444189999997</v>
      </c>
      <c r="C240" s="20"/>
      <c r="D240" s="20"/>
      <c r="E240" s="20"/>
      <c r="F240" s="20"/>
      <c r="G240" s="20"/>
      <c r="H240" s="20"/>
      <c r="I240" s="21">
        <f t="shared" ref="I240" si="407">SUM(B240:H240)</f>
        <v>41.838444189999997</v>
      </c>
      <c r="J240" s="19">
        <f t="shared" ref="J240:J247" si="408">(307000000+273000000)/1000000</f>
        <v>580</v>
      </c>
      <c r="K240" s="20"/>
      <c r="L240" s="20"/>
      <c r="M240" s="20"/>
      <c r="N240" s="20"/>
      <c r="O240" s="20"/>
      <c r="P240" s="20"/>
      <c r="Q240" s="21">
        <f t="shared" ref="Q240" si="409">SUM(J240:P240)</f>
        <v>580</v>
      </c>
    </row>
    <row r="241" spans="1:17" x14ac:dyDescent="0.35">
      <c r="A241" s="3">
        <v>45371</v>
      </c>
      <c r="B241" s="19">
        <f>23788050.68/1000000</f>
        <v>23.788050680000001</v>
      </c>
      <c r="C241" s="20"/>
      <c r="D241" s="20"/>
      <c r="E241" s="20"/>
      <c r="F241" s="20"/>
      <c r="G241" s="20"/>
      <c r="H241" s="20"/>
      <c r="I241" s="21">
        <f t="shared" ref="I241" si="410">SUM(B241:H241)</f>
        <v>23.788050680000001</v>
      </c>
      <c r="J241" s="19">
        <f t="shared" si="408"/>
        <v>580</v>
      </c>
      <c r="K241" s="20"/>
      <c r="L241" s="20"/>
      <c r="M241" s="20"/>
      <c r="N241" s="20"/>
      <c r="O241" s="20"/>
      <c r="P241" s="20"/>
      <c r="Q241" s="21">
        <f t="shared" ref="Q241" si="411">SUM(J241:P241)</f>
        <v>580</v>
      </c>
    </row>
    <row r="242" spans="1:17" x14ac:dyDescent="0.35">
      <c r="A242" s="3">
        <v>45372</v>
      </c>
      <c r="B242" s="19">
        <f>23594311.63/1000000</f>
        <v>23.59431163</v>
      </c>
      <c r="C242" s="20"/>
      <c r="D242" s="20"/>
      <c r="E242" s="20"/>
      <c r="F242" s="20"/>
      <c r="G242" s="20"/>
      <c r="H242" s="20"/>
      <c r="I242" s="21">
        <f t="shared" ref="I242" si="412">SUM(B242:H242)</f>
        <v>23.59431163</v>
      </c>
      <c r="J242" s="19">
        <f t="shared" si="408"/>
        <v>580</v>
      </c>
      <c r="K242" s="20"/>
      <c r="L242" s="20"/>
      <c r="M242" s="20"/>
      <c r="N242" s="20"/>
      <c r="O242" s="20"/>
      <c r="P242" s="20"/>
      <c r="Q242" s="21">
        <f t="shared" ref="Q242" si="413">SUM(J242:P242)</f>
        <v>580</v>
      </c>
    </row>
    <row r="243" spans="1:17" x14ac:dyDescent="0.35">
      <c r="A243" s="3">
        <v>45373</v>
      </c>
      <c r="B243" s="19">
        <f>22355380.59/1000000</f>
        <v>22.355380589999999</v>
      </c>
      <c r="C243" s="20"/>
      <c r="D243" s="20"/>
      <c r="E243" s="20"/>
      <c r="F243" s="20"/>
      <c r="G243" s="20"/>
      <c r="H243" s="20"/>
      <c r="I243" s="21">
        <f t="shared" ref="I243" si="414">SUM(B243:H243)</f>
        <v>22.355380589999999</v>
      </c>
      <c r="J243" s="19">
        <f t="shared" si="408"/>
        <v>580</v>
      </c>
      <c r="K243" s="20"/>
      <c r="L243" s="20"/>
      <c r="M243" s="20"/>
      <c r="N243" s="20"/>
      <c r="O243" s="20"/>
      <c r="P243" s="20"/>
      <c r="Q243" s="21">
        <f t="shared" ref="Q243" si="415">SUM(J243:P243)</f>
        <v>580</v>
      </c>
    </row>
    <row r="244" spans="1:17" x14ac:dyDescent="0.35">
      <c r="A244" s="3">
        <v>45376</v>
      </c>
      <c r="B244" s="19">
        <f>20969534.26/1000000</f>
        <v>20.969534260000003</v>
      </c>
      <c r="C244" s="20"/>
      <c r="D244" s="20"/>
      <c r="E244" s="20"/>
      <c r="F244" s="20"/>
      <c r="G244" s="20"/>
      <c r="H244" s="20"/>
      <c r="I244" s="21">
        <f t="shared" ref="I244" si="416">SUM(B244:H244)</f>
        <v>20.969534260000003</v>
      </c>
      <c r="J244" s="19">
        <f t="shared" si="408"/>
        <v>580</v>
      </c>
      <c r="K244" s="20"/>
      <c r="L244" s="20"/>
      <c r="M244" s="20"/>
      <c r="N244" s="20"/>
      <c r="O244" s="20"/>
      <c r="P244" s="20"/>
      <c r="Q244" s="21">
        <f t="shared" ref="Q244" si="417">SUM(J244:P244)</f>
        <v>580</v>
      </c>
    </row>
    <row r="245" spans="1:17" x14ac:dyDescent="0.35">
      <c r="A245" s="3">
        <v>45377</v>
      </c>
      <c r="B245" s="19">
        <f>20965829.33/1000000</f>
        <v>20.965829329999998</v>
      </c>
      <c r="C245" s="20"/>
      <c r="D245" s="20"/>
      <c r="E245" s="20"/>
      <c r="F245" s="20"/>
      <c r="G245" s="20"/>
      <c r="H245" s="20"/>
      <c r="I245" s="21">
        <f t="shared" ref="I245" si="418">SUM(B245:H245)</f>
        <v>20.965829329999998</v>
      </c>
      <c r="J245" s="19">
        <f t="shared" si="408"/>
        <v>580</v>
      </c>
      <c r="K245" s="20"/>
      <c r="L245" s="20"/>
      <c r="M245" s="20"/>
      <c r="N245" s="20"/>
      <c r="O245" s="20"/>
      <c r="P245" s="20"/>
      <c r="Q245" s="21">
        <f t="shared" ref="Q245" si="419">SUM(J245:P245)</f>
        <v>580</v>
      </c>
    </row>
    <row r="246" spans="1:17" x14ac:dyDescent="0.35">
      <c r="A246" s="3">
        <v>45378</v>
      </c>
      <c r="B246" s="19">
        <f>20965829.33/1000000</f>
        <v>20.965829329999998</v>
      </c>
      <c r="C246" s="20"/>
      <c r="D246" s="20"/>
      <c r="E246" s="20"/>
      <c r="F246" s="20"/>
      <c r="G246" s="20"/>
      <c r="H246" s="20"/>
      <c r="I246" s="21">
        <f t="shared" ref="I246" si="420">SUM(B246:H246)</f>
        <v>20.965829329999998</v>
      </c>
      <c r="J246" s="19">
        <f t="shared" si="408"/>
        <v>580</v>
      </c>
      <c r="K246" s="20"/>
      <c r="L246" s="20"/>
      <c r="M246" s="20"/>
      <c r="N246" s="20"/>
      <c r="O246" s="20"/>
      <c r="P246" s="20"/>
      <c r="Q246" s="21">
        <f t="shared" ref="Q246" si="421">SUM(J246:P246)</f>
        <v>580</v>
      </c>
    </row>
    <row r="247" spans="1:17" x14ac:dyDescent="0.35">
      <c r="A247" s="3">
        <v>45379</v>
      </c>
      <c r="B247" s="19">
        <f>45720235.85/1000000</f>
        <v>45.720235850000002</v>
      </c>
      <c r="C247" s="20"/>
      <c r="D247" s="20"/>
      <c r="E247" s="20"/>
      <c r="F247" s="20"/>
      <c r="G247" s="20"/>
      <c r="H247" s="20"/>
      <c r="I247" s="21">
        <f t="shared" ref="I247" si="422">SUM(B247:H247)</f>
        <v>45.720235850000002</v>
      </c>
      <c r="J247" s="19">
        <f t="shared" si="408"/>
        <v>580</v>
      </c>
      <c r="K247" s="20"/>
      <c r="L247" s="20"/>
      <c r="M247" s="20"/>
      <c r="N247" s="20"/>
      <c r="O247" s="20"/>
      <c r="P247" s="20"/>
      <c r="Q247" s="21">
        <f t="shared" ref="Q247" si="423">SUM(J247:P247)</f>
        <v>580</v>
      </c>
    </row>
    <row r="248" spans="1:17" x14ac:dyDescent="0.35">
      <c r="A248" s="3">
        <v>45380</v>
      </c>
      <c r="B248" s="19">
        <f>46110640.22/1000000</f>
        <v>46.110640220000001</v>
      </c>
      <c r="C248" s="20"/>
      <c r="D248" s="20"/>
      <c r="E248" s="20"/>
      <c r="F248" s="20"/>
      <c r="G248" s="20"/>
      <c r="H248" s="20"/>
      <c r="I248" s="21">
        <f t="shared" ref="I248" si="424">SUM(B248:H248)</f>
        <v>46.110640220000001</v>
      </c>
      <c r="J248" s="19">
        <f t="shared" ref="J248:J267" si="425">(307000000+302000000)/1000000</f>
        <v>609</v>
      </c>
      <c r="K248" s="20"/>
      <c r="L248" s="20"/>
      <c r="M248" s="20"/>
      <c r="N248" s="20"/>
      <c r="O248" s="20"/>
      <c r="P248" s="20"/>
      <c r="Q248" s="21">
        <f t="shared" ref="Q248" si="426">SUM(J248:P248)</f>
        <v>609</v>
      </c>
    </row>
    <row r="249" spans="1:17" x14ac:dyDescent="0.35">
      <c r="A249" s="3">
        <v>45383</v>
      </c>
      <c r="B249" s="19">
        <f>46108948.22/1000000</f>
        <v>46.108948220000002</v>
      </c>
      <c r="C249" s="20"/>
      <c r="D249" s="20"/>
      <c r="E249" s="20"/>
      <c r="F249" s="20"/>
      <c r="G249" s="20"/>
      <c r="H249" s="20"/>
      <c r="I249" s="21">
        <f t="shared" ref="I249" si="427">SUM(B249:H249)</f>
        <v>46.108948220000002</v>
      </c>
      <c r="J249" s="19">
        <f t="shared" si="425"/>
        <v>609</v>
      </c>
      <c r="K249" s="20"/>
      <c r="L249" s="20"/>
      <c r="M249" s="20"/>
      <c r="N249" s="20"/>
      <c r="O249" s="20"/>
      <c r="P249" s="20"/>
      <c r="Q249" s="21">
        <f t="shared" ref="Q249" si="428">SUM(J249:P249)</f>
        <v>609</v>
      </c>
    </row>
    <row r="250" spans="1:17" x14ac:dyDescent="0.35">
      <c r="A250" s="3">
        <v>45384</v>
      </c>
      <c r="B250" s="19">
        <f>46108948.22/1000000</f>
        <v>46.108948220000002</v>
      </c>
      <c r="C250" s="20"/>
      <c r="D250" s="20"/>
      <c r="E250" s="20"/>
      <c r="F250" s="20"/>
      <c r="G250" s="20"/>
      <c r="H250" s="20"/>
      <c r="I250" s="21">
        <f t="shared" ref="I250" si="429">SUM(B250:H250)</f>
        <v>46.108948220000002</v>
      </c>
      <c r="J250" s="19">
        <f t="shared" si="425"/>
        <v>609</v>
      </c>
      <c r="K250" s="20"/>
      <c r="L250" s="20"/>
      <c r="M250" s="20"/>
      <c r="N250" s="20"/>
      <c r="O250" s="20"/>
      <c r="P250" s="20"/>
      <c r="Q250" s="21">
        <f t="shared" ref="Q250" si="430">SUM(J250:P250)</f>
        <v>609</v>
      </c>
    </row>
    <row r="251" spans="1:17" x14ac:dyDescent="0.35">
      <c r="A251" s="3">
        <v>45385</v>
      </c>
      <c r="B251" s="19">
        <f>46108948.22/1000000</f>
        <v>46.108948220000002</v>
      </c>
      <c r="C251" s="20"/>
      <c r="D251" s="20"/>
      <c r="E251" s="20"/>
      <c r="F251" s="20"/>
      <c r="G251" s="20"/>
      <c r="H251" s="20"/>
      <c r="I251" s="21">
        <f t="shared" ref="I251" si="431">SUM(B251:H251)</f>
        <v>46.108948220000002</v>
      </c>
      <c r="J251" s="19">
        <f t="shared" si="425"/>
        <v>609</v>
      </c>
      <c r="K251" s="20"/>
      <c r="L251" s="20"/>
      <c r="M251" s="20"/>
      <c r="N251" s="20"/>
      <c r="O251" s="20"/>
      <c r="P251" s="20"/>
      <c r="Q251" s="21">
        <f t="shared" ref="Q251" si="432">SUM(J251:P251)</f>
        <v>609</v>
      </c>
    </row>
    <row r="252" spans="1:17" x14ac:dyDescent="0.35">
      <c r="A252" s="3">
        <v>45386</v>
      </c>
      <c r="B252" s="19">
        <f>45999116.54/1000000</f>
        <v>45.999116539999996</v>
      </c>
      <c r="C252" s="20"/>
      <c r="D252" s="20"/>
      <c r="E252" s="20"/>
      <c r="F252" s="20"/>
      <c r="G252" s="20"/>
      <c r="H252" s="20"/>
      <c r="I252" s="21">
        <f t="shared" ref="I252" si="433">SUM(B252:H252)</f>
        <v>45.999116539999996</v>
      </c>
      <c r="J252" s="19">
        <f t="shared" si="425"/>
        <v>609</v>
      </c>
      <c r="K252" s="20"/>
      <c r="L252" s="20"/>
      <c r="M252" s="20"/>
      <c r="N252" s="20"/>
      <c r="O252" s="20"/>
      <c r="P252" s="20"/>
      <c r="Q252" s="21">
        <f t="shared" ref="Q252" si="434">SUM(J252:P252)</f>
        <v>609</v>
      </c>
    </row>
    <row r="253" spans="1:17" x14ac:dyDescent="0.35">
      <c r="A253" s="3">
        <v>45387</v>
      </c>
      <c r="B253" s="19">
        <f>45999116.54/1000000</f>
        <v>45.999116539999996</v>
      </c>
      <c r="C253" s="20"/>
      <c r="D253" s="20"/>
      <c r="E253" s="20"/>
      <c r="F253" s="20"/>
      <c r="G253" s="20"/>
      <c r="H253" s="20"/>
      <c r="I253" s="21">
        <f t="shared" ref="I253" si="435">SUM(B253:H253)</f>
        <v>45.999116539999996</v>
      </c>
      <c r="J253" s="19">
        <f t="shared" si="425"/>
        <v>609</v>
      </c>
      <c r="K253" s="20"/>
      <c r="L253" s="20"/>
      <c r="M253" s="20"/>
      <c r="N253" s="20"/>
      <c r="O253" s="20"/>
      <c r="P253" s="20"/>
      <c r="Q253" s="21">
        <f t="shared" ref="Q253" si="436">SUM(J253:P253)</f>
        <v>609</v>
      </c>
    </row>
    <row r="254" spans="1:17" x14ac:dyDescent="0.35">
      <c r="A254" s="3">
        <v>45390</v>
      </c>
      <c r="B254" s="19">
        <f>45999116.54/1000000</f>
        <v>45.999116539999996</v>
      </c>
      <c r="C254" s="20"/>
      <c r="D254" s="20"/>
      <c r="E254" s="20"/>
      <c r="F254" s="20"/>
      <c r="G254" s="20"/>
      <c r="H254" s="20"/>
      <c r="I254" s="21">
        <f t="shared" ref="I254" si="437">SUM(B254:H254)</f>
        <v>45.999116539999996</v>
      </c>
      <c r="J254" s="19">
        <f t="shared" si="425"/>
        <v>609</v>
      </c>
      <c r="K254" s="20"/>
      <c r="L254" s="20"/>
      <c r="M254" s="20"/>
      <c r="N254" s="20"/>
      <c r="O254" s="20"/>
      <c r="P254" s="20"/>
      <c r="Q254" s="21">
        <f t="shared" ref="Q254" si="438">SUM(J254:P254)</f>
        <v>609</v>
      </c>
    </row>
    <row r="255" spans="1:17" x14ac:dyDescent="0.35">
      <c r="A255" s="3">
        <v>45391</v>
      </c>
      <c r="B255" s="19">
        <f>44461549.29/1000000</f>
        <v>44.461549290000001</v>
      </c>
      <c r="C255" s="20"/>
      <c r="D255" s="20"/>
      <c r="E255" s="20"/>
      <c r="F255" s="20"/>
      <c r="G255" s="20"/>
      <c r="H255" s="20"/>
      <c r="I255" s="21">
        <f t="shared" ref="I255" si="439">SUM(B255:H255)</f>
        <v>44.461549290000001</v>
      </c>
      <c r="J255" s="19">
        <f t="shared" si="425"/>
        <v>609</v>
      </c>
      <c r="K255" s="20"/>
      <c r="L255" s="20"/>
      <c r="M255" s="20"/>
      <c r="N255" s="20"/>
      <c r="O255" s="20"/>
      <c r="P255" s="20"/>
      <c r="Q255" s="21">
        <f t="shared" ref="Q255" si="440">SUM(J255:P255)</f>
        <v>609</v>
      </c>
    </row>
    <row r="256" spans="1:17" x14ac:dyDescent="0.35">
      <c r="A256" s="3">
        <v>45392</v>
      </c>
      <c r="B256" s="19">
        <f>44454326.56/1000000</f>
        <v>44.454326560000005</v>
      </c>
      <c r="C256" s="20"/>
      <c r="D256" s="20"/>
      <c r="E256" s="20"/>
      <c r="F256" s="20"/>
      <c r="G256" s="20"/>
      <c r="H256" s="20"/>
      <c r="I256" s="21">
        <f t="shared" ref="I256" si="441">SUM(B256:H256)</f>
        <v>44.454326560000005</v>
      </c>
      <c r="J256" s="19">
        <f t="shared" si="425"/>
        <v>609</v>
      </c>
      <c r="K256" s="20"/>
      <c r="L256" s="20"/>
      <c r="M256" s="20"/>
      <c r="N256" s="20"/>
      <c r="O256" s="20"/>
      <c r="P256" s="20"/>
      <c r="Q256" s="21">
        <f t="shared" ref="Q256" si="442">SUM(J256:P256)</f>
        <v>609</v>
      </c>
    </row>
    <row r="257" spans="1:17" x14ac:dyDescent="0.35">
      <c r="A257" s="3">
        <v>45393</v>
      </c>
      <c r="B257" s="19">
        <f>43712840.52/1000000</f>
        <v>43.71284052</v>
      </c>
      <c r="C257" s="20"/>
      <c r="D257" s="20"/>
      <c r="E257" s="20"/>
      <c r="F257" s="20"/>
      <c r="G257" s="20"/>
      <c r="H257" s="20"/>
      <c r="I257" s="21">
        <f t="shared" ref="I257" si="443">SUM(B257:H257)</f>
        <v>43.71284052</v>
      </c>
      <c r="J257" s="19">
        <f t="shared" si="425"/>
        <v>609</v>
      </c>
      <c r="K257" s="20"/>
      <c r="L257" s="20"/>
      <c r="M257" s="20"/>
      <c r="N257" s="20"/>
      <c r="O257" s="20"/>
      <c r="P257" s="20"/>
      <c r="Q257" s="21">
        <f t="shared" ref="Q257" si="444">SUM(J257:P257)</f>
        <v>609</v>
      </c>
    </row>
    <row r="258" spans="1:17" x14ac:dyDescent="0.35">
      <c r="A258" s="3">
        <v>45394</v>
      </c>
      <c r="B258" s="19">
        <f>43712840.52/1000000</f>
        <v>43.71284052</v>
      </c>
      <c r="C258" s="20"/>
      <c r="D258" s="20"/>
      <c r="E258" s="20"/>
      <c r="F258" s="20"/>
      <c r="G258" s="20"/>
      <c r="H258" s="20"/>
      <c r="I258" s="21">
        <f t="shared" ref="I258" si="445">SUM(B258:H258)</f>
        <v>43.71284052</v>
      </c>
      <c r="J258" s="19">
        <f t="shared" si="425"/>
        <v>609</v>
      </c>
      <c r="K258" s="20"/>
      <c r="L258" s="20"/>
      <c r="M258" s="20"/>
      <c r="N258" s="20"/>
      <c r="O258" s="20"/>
      <c r="P258" s="20"/>
      <c r="Q258" s="21">
        <f t="shared" ref="Q258" si="446">SUM(J258:P258)</f>
        <v>609</v>
      </c>
    </row>
    <row r="259" spans="1:17" x14ac:dyDescent="0.35">
      <c r="A259" s="3">
        <v>45397</v>
      </c>
      <c r="B259" s="19">
        <f>43712840.52/1000000</f>
        <v>43.71284052</v>
      </c>
      <c r="C259" s="20"/>
      <c r="D259" s="20"/>
      <c r="E259" s="20"/>
      <c r="F259" s="20"/>
      <c r="G259" s="20"/>
      <c r="H259" s="20"/>
      <c r="I259" s="21">
        <f t="shared" ref="I259" si="447">SUM(B259:H259)</f>
        <v>43.71284052</v>
      </c>
      <c r="J259" s="19">
        <f t="shared" si="425"/>
        <v>609</v>
      </c>
      <c r="K259" s="20"/>
      <c r="L259" s="20"/>
      <c r="M259" s="20"/>
      <c r="N259" s="20"/>
      <c r="O259" s="20"/>
      <c r="P259" s="20"/>
      <c r="Q259" s="21">
        <f t="shared" ref="Q259" si="448">SUM(J259:P259)</f>
        <v>609</v>
      </c>
    </row>
    <row r="260" spans="1:17" x14ac:dyDescent="0.35">
      <c r="A260" s="3">
        <v>45398</v>
      </c>
      <c r="B260" s="19">
        <f>27551669.52/1000000</f>
        <v>27.551669520000001</v>
      </c>
      <c r="C260" s="20"/>
      <c r="D260" s="20"/>
      <c r="E260" s="20"/>
      <c r="F260" s="20"/>
      <c r="G260" s="20"/>
      <c r="H260" s="20"/>
      <c r="I260" s="21">
        <f t="shared" ref="I260" si="449">SUM(B260:H260)</f>
        <v>27.551669520000001</v>
      </c>
      <c r="J260" s="19">
        <f t="shared" si="425"/>
        <v>609</v>
      </c>
      <c r="K260" s="20"/>
      <c r="L260" s="20"/>
      <c r="M260" s="20"/>
      <c r="N260" s="20"/>
      <c r="O260" s="20"/>
      <c r="P260" s="20"/>
      <c r="Q260" s="21">
        <f t="shared" ref="Q260" si="450">SUM(J260:P260)</f>
        <v>609</v>
      </c>
    </row>
    <row r="261" spans="1:17" x14ac:dyDescent="0.35">
      <c r="A261" s="3">
        <v>45399</v>
      </c>
      <c r="B261" s="19">
        <f>27435982.6/1000000</f>
        <v>27.435982600000003</v>
      </c>
      <c r="C261" s="20"/>
      <c r="D261" s="20"/>
      <c r="E261" s="20"/>
      <c r="F261" s="20"/>
      <c r="G261" s="20"/>
      <c r="H261" s="20"/>
      <c r="I261" s="21">
        <f t="shared" ref="I261" si="451">SUM(B261:H261)</f>
        <v>27.435982600000003</v>
      </c>
      <c r="J261" s="19">
        <f t="shared" si="425"/>
        <v>609</v>
      </c>
      <c r="K261" s="20"/>
      <c r="L261" s="20"/>
      <c r="M261" s="20"/>
      <c r="N261" s="20"/>
      <c r="O261" s="20"/>
      <c r="P261" s="20"/>
      <c r="Q261" s="21">
        <f t="shared" ref="Q261" si="452">SUM(J261:P261)</f>
        <v>609</v>
      </c>
    </row>
    <row r="262" spans="1:17" x14ac:dyDescent="0.35">
      <c r="A262" s="3">
        <v>45400</v>
      </c>
      <c r="B262" s="19">
        <f>27435982.6/1000000</f>
        <v>27.435982600000003</v>
      </c>
      <c r="C262" s="20"/>
      <c r="D262" s="20"/>
      <c r="E262" s="20"/>
      <c r="F262" s="20"/>
      <c r="G262" s="20"/>
      <c r="H262" s="20"/>
      <c r="I262" s="21">
        <f t="shared" ref="I262" si="453">SUM(B262:H262)</f>
        <v>27.435982600000003</v>
      </c>
      <c r="J262" s="19">
        <f t="shared" si="425"/>
        <v>609</v>
      </c>
      <c r="K262" s="20"/>
      <c r="L262" s="20"/>
      <c r="M262" s="20"/>
      <c r="N262" s="20"/>
      <c r="O262" s="20"/>
      <c r="P262" s="20"/>
      <c r="Q262" s="21">
        <f t="shared" ref="Q262" si="454">SUM(J262:P262)</f>
        <v>609</v>
      </c>
    </row>
    <row r="263" spans="1:17" x14ac:dyDescent="0.35">
      <c r="A263" s="3">
        <v>45401</v>
      </c>
      <c r="B263" s="19">
        <f>27851696.64/1000000</f>
        <v>27.85169664</v>
      </c>
      <c r="C263" s="20"/>
      <c r="D263" s="20"/>
      <c r="E263" s="20"/>
      <c r="F263" s="20"/>
      <c r="G263" s="20"/>
      <c r="H263" s="20"/>
      <c r="I263" s="21">
        <f t="shared" ref="I263" si="455">SUM(B263:H263)</f>
        <v>27.85169664</v>
      </c>
      <c r="J263" s="19">
        <f t="shared" si="425"/>
        <v>609</v>
      </c>
      <c r="K263" s="20"/>
      <c r="L263" s="20"/>
      <c r="M263" s="20"/>
      <c r="N263" s="20"/>
      <c r="O263" s="20"/>
      <c r="P263" s="20"/>
      <c r="Q263" s="21">
        <f t="shared" ref="Q263" si="456">SUM(J263:P263)</f>
        <v>609</v>
      </c>
    </row>
    <row r="264" spans="1:17" x14ac:dyDescent="0.35">
      <c r="A264" s="3">
        <v>45404</v>
      </c>
      <c r="B264" s="19">
        <f>27851696.64/1000000</f>
        <v>27.85169664</v>
      </c>
      <c r="C264" s="20"/>
      <c r="D264" s="20"/>
      <c r="E264" s="20"/>
      <c r="F264" s="20"/>
      <c r="G264" s="20"/>
      <c r="H264" s="20"/>
      <c r="I264" s="21">
        <f t="shared" ref="I264" si="457">SUM(B264:H264)</f>
        <v>27.85169664</v>
      </c>
      <c r="J264" s="19">
        <f t="shared" si="425"/>
        <v>609</v>
      </c>
      <c r="K264" s="20"/>
      <c r="L264" s="20"/>
      <c r="M264" s="20"/>
      <c r="N264" s="20"/>
      <c r="O264" s="20"/>
      <c r="P264" s="20"/>
      <c r="Q264" s="21">
        <f t="shared" ref="Q264" si="458">SUM(J264:P264)</f>
        <v>609</v>
      </c>
    </row>
    <row r="265" spans="1:17" x14ac:dyDescent="0.35">
      <c r="A265" s="3">
        <v>45405</v>
      </c>
      <c r="B265" s="19">
        <f>27851696.64/1000000</f>
        <v>27.85169664</v>
      </c>
      <c r="C265" s="20"/>
      <c r="D265" s="20"/>
      <c r="E265" s="20"/>
      <c r="F265" s="20"/>
      <c r="G265" s="20"/>
      <c r="H265" s="20"/>
      <c r="I265" s="21">
        <f t="shared" ref="I265" si="459">SUM(B265:H265)</f>
        <v>27.85169664</v>
      </c>
      <c r="J265" s="19">
        <f t="shared" si="425"/>
        <v>609</v>
      </c>
      <c r="K265" s="20"/>
      <c r="L265" s="20"/>
      <c r="M265" s="20"/>
      <c r="N265" s="20"/>
      <c r="O265" s="20"/>
      <c r="P265" s="20"/>
      <c r="Q265" s="21">
        <f t="shared" ref="Q265" si="460">SUM(J265:P265)</f>
        <v>609</v>
      </c>
    </row>
    <row r="266" spans="1:17" x14ac:dyDescent="0.35">
      <c r="A266" s="3">
        <v>45406</v>
      </c>
      <c r="B266" s="19">
        <f>25323186.34/1000000</f>
        <v>25.323186339999999</v>
      </c>
      <c r="C266" s="20"/>
      <c r="D266" s="20"/>
      <c r="E266" s="20"/>
      <c r="F266" s="20"/>
      <c r="G266" s="20"/>
      <c r="H266" s="20"/>
      <c r="I266" s="21">
        <f t="shared" ref="I266" si="461">SUM(B266:H266)</f>
        <v>25.323186339999999</v>
      </c>
      <c r="J266" s="19">
        <f t="shared" si="425"/>
        <v>609</v>
      </c>
      <c r="K266" s="20"/>
      <c r="L266" s="20"/>
      <c r="M266" s="20"/>
      <c r="N266" s="20"/>
      <c r="O266" s="20"/>
      <c r="P266" s="20"/>
      <c r="Q266" s="21">
        <f t="shared" ref="Q266" si="462">SUM(J266:P266)</f>
        <v>609</v>
      </c>
    </row>
    <row r="267" spans="1:17" x14ac:dyDescent="0.35">
      <c r="A267" s="3">
        <v>45407</v>
      </c>
      <c r="B267" s="19">
        <f>25323186.34/1000000</f>
        <v>25.323186339999999</v>
      </c>
      <c r="C267" s="20"/>
      <c r="D267" s="20"/>
      <c r="E267" s="20"/>
      <c r="F267" s="20"/>
      <c r="G267" s="20"/>
      <c r="H267" s="20"/>
      <c r="I267" s="21">
        <f t="shared" ref="I267" si="463">SUM(B267:H267)</f>
        <v>25.323186339999999</v>
      </c>
      <c r="J267" s="19">
        <f t="shared" si="425"/>
        <v>609</v>
      </c>
      <c r="K267" s="20"/>
      <c r="L267" s="20"/>
      <c r="M267" s="20"/>
      <c r="N267" s="20"/>
      <c r="O267" s="20"/>
      <c r="P267" s="20"/>
      <c r="Q267" s="21">
        <f t="shared" ref="Q267" si="464">SUM(J267:P267)</f>
        <v>609</v>
      </c>
    </row>
    <row r="268" spans="1:17" x14ac:dyDescent="0.35">
      <c r="A268" s="3">
        <v>45408</v>
      </c>
      <c r="B268" s="19">
        <f>625737045.83/1000000</f>
        <v>625.73704583000006</v>
      </c>
      <c r="C268" s="20"/>
      <c r="D268" s="20"/>
      <c r="E268" s="20"/>
      <c r="F268" s="20"/>
      <c r="G268" s="20"/>
      <c r="H268" s="20"/>
      <c r="I268" s="21">
        <f t="shared" ref="I268" si="465">SUM(B268:H268)</f>
        <v>625.73704583000006</v>
      </c>
      <c r="J268" s="19">
        <f t="shared" ref="J268:J274" si="466">(307000000+1996000000)/1000000</f>
        <v>2303</v>
      </c>
      <c r="K268" s="20"/>
      <c r="L268" s="20"/>
      <c r="M268" s="20"/>
      <c r="N268" s="20"/>
      <c r="O268" s="20"/>
      <c r="P268" s="20"/>
      <c r="Q268" s="21">
        <f t="shared" ref="Q268" si="467">SUM(J268:P268)</f>
        <v>2303</v>
      </c>
    </row>
    <row r="269" spans="1:17" x14ac:dyDescent="0.35">
      <c r="A269" s="3">
        <v>45409</v>
      </c>
      <c r="B269" s="19">
        <f>25706645.83/1000000</f>
        <v>25.706645829999999</v>
      </c>
      <c r="C269" s="20"/>
      <c r="D269" s="20"/>
      <c r="E269" s="20"/>
      <c r="F269" s="20"/>
      <c r="G269" s="20"/>
      <c r="H269" s="20"/>
      <c r="I269" s="21">
        <f t="shared" ref="I269" si="468">SUM(B269:H269)</f>
        <v>25.706645829999999</v>
      </c>
      <c r="J269" s="19">
        <f t="shared" si="466"/>
        <v>2303</v>
      </c>
      <c r="K269" s="20"/>
      <c r="L269" s="20"/>
      <c r="M269" s="20"/>
      <c r="N269" s="20"/>
      <c r="O269" s="20"/>
      <c r="P269" s="20"/>
      <c r="Q269" s="21">
        <f t="shared" ref="Q269" si="469">SUM(J269:P269)</f>
        <v>2303</v>
      </c>
    </row>
    <row r="270" spans="1:17" x14ac:dyDescent="0.35">
      <c r="A270" s="3">
        <v>45414</v>
      </c>
      <c r="B270" s="19">
        <f>25615764.88/1000000</f>
        <v>25.61576488</v>
      </c>
      <c r="C270" s="20"/>
      <c r="D270" s="20"/>
      <c r="E270" s="20"/>
      <c r="F270" s="20"/>
      <c r="G270" s="20"/>
      <c r="H270" s="20"/>
      <c r="I270" s="21">
        <f t="shared" ref="I270" si="470">SUM(B270:H270)</f>
        <v>25.61576488</v>
      </c>
      <c r="J270" s="19">
        <f t="shared" si="466"/>
        <v>2303</v>
      </c>
      <c r="K270" s="20"/>
      <c r="L270" s="20"/>
      <c r="M270" s="20"/>
      <c r="N270" s="20"/>
      <c r="O270" s="20"/>
      <c r="P270" s="20"/>
      <c r="Q270" s="21">
        <f t="shared" ref="Q270" si="471">SUM(J270:P270)</f>
        <v>2303</v>
      </c>
    </row>
    <row r="271" spans="1:17" x14ac:dyDescent="0.35">
      <c r="A271" s="3">
        <v>45415</v>
      </c>
      <c r="B271" s="19">
        <f>24842238.88/1000000</f>
        <v>24.84223888</v>
      </c>
      <c r="C271" s="20"/>
      <c r="D271" s="20"/>
      <c r="E271" s="20"/>
      <c r="F271" s="20"/>
      <c r="G271" s="20"/>
      <c r="H271" s="20"/>
      <c r="I271" s="21">
        <f t="shared" ref="I271" si="472">SUM(B271:H271)</f>
        <v>24.84223888</v>
      </c>
      <c r="J271" s="19">
        <f t="shared" si="466"/>
        <v>2303</v>
      </c>
      <c r="K271" s="20"/>
      <c r="L271" s="20"/>
      <c r="M271" s="20"/>
      <c r="N271" s="20"/>
      <c r="O271" s="20"/>
      <c r="P271" s="20"/>
      <c r="Q271" s="21">
        <f t="shared" ref="Q271" si="473">SUM(J271:P271)</f>
        <v>2303</v>
      </c>
    </row>
    <row r="272" spans="1:17" x14ac:dyDescent="0.35">
      <c r="A272" s="3">
        <v>45418</v>
      </c>
      <c r="B272" s="19">
        <f>24842238.88/1000000</f>
        <v>24.84223888</v>
      </c>
      <c r="C272" s="20"/>
      <c r="D272" s="20"/>
      <c r="E272" s="20"/>
      <c r="F272" s="20"/>
      <c r="G272" s="20"/>
      <c r="H272" s="20"/>
      <c r="I272" s="21">
        <f t="shared" ref="I272" si="474">SUM(B272:H272)</f>
        <v>24.84223888</v>
      </c>
      <c r="J272" s="19">
        <f t="shared" si="466"/>
        <v>2303</v>
      </c>
      <c r="K272" s="20"/>
      <c r="L272" s="20"/>
      <c r="M272" s="20"/>
      <c r="N272" s="20"/>
      <c r="O272" s="20"/>
      <c r="P272" s="20"/>
      <c r="Q272" s="21">
        <f t="shared" ref="Q272" si="475">SUM(J272:P272)</f>
        <v>2303</v>
      </c>
    </row>
    <row r="273" spans="1:17" x14ac:dyDescent="0.35">
      <c r="A273" s="3">
        <v>45419</v>
      </c>
      <c r="B273" s="19">
        <f>24842238.88/1000000</f>
        <v>24.84223888</v>
      </c>
      <c r="C273" s="20"/>
      <c r="D273" s="20"/>
      <c r="E273" s="20"/>
      <c r="F273" s="20"/>
      <c r="G273" s="20"/>
      <c r="H273" s="20"/>
      <c r="I273" s="21">
        <f t="shared" ref="I273" si="476">SUM(B273:H273)</f>
        <v>24.84223888</v>
      </c>
      <c r="J273" s="19">
        <f t="shared" si="466"/>
        <v>2303</v>
      </c>
      <c r="K273" s="20"/>
      <c r="L273" s="20"/>
      <c r="M273" s="20"/>
      <c r="N273" s="20"/>
      <c r="O273" s="20"/>
      <c r="P273" s="20"/>
      <c r="Q273" s="21">
        <f t="shared" ref="Q273" si="477">SUM(J273:P273)</f>
        <v>2303</v>
      </c>
    </row>
    <row r="274" spans="1:17" x14ac:dyDescent="0.35">
      <c r="A274" s="3">
        <v>45420</v>
      </c>
      <c r="B274" s="19">
        <f>22998310.3/1000000</f>
        <v>22.9983103</v>
      </c>
      <c r="C274" s="20"/>
      <c r="D274" s="20"/>
      <c r="E274" s="20"/>
      <c r="F274" s="20"/>
      <c r="G274" s="20"/>
      <c r="H274" s="20"/>
      <c r="I274" s="21">
        <f t="shared" ref="I274" si="478">SUM(B274:H274)</f>
        <v>22.9983103</v>
      </c>
      <c r="J274" s="19">
        <f t="shared" si="466"/>
        <v>2303</v>
      </c>
      <c r="K274" s="20"/>
      <c r="L274" s="20"/>
      <c r="M274" s="20"/>
      <c r="N274" s="20"/>
      <c r="O274" s="20"/>
      <c r="P274" s="20"/>
      <c r="Q274" s="21">
        <f t="shared" ref="Q274" si="479">SUM(J274:P274)</f>
        <v>2303</v>
      </c>
    </row>
    <row r="275" spans="1:17" x14ac:dyDescent="0.35">
      <c r="A275" s="3">
        <v>45425</v>
      </c>
      <c r="B275" s="19">
        <f>23994731.07/1000000</f>
        <v>23.99473107</v>
      </c>
      <c r="C275" s="20"/>
      <c r="D275" s="20"/>
      <c r="E275" s="20"/>
      <c r="F275" s="20"/>
      <c r="G275" s="20"/>
      <c r="H275" s="20"/>
      <c r="I275" s="21">
        <f t="shared" ref="I275" si="480">SUM(B275:H275)</f>
        <v>23.99473107</v>
      </c>
      <c r="J275" s="19">
        <f t="shared" ref="J275:J285" si="481">(307000000+2000000000)/1000000</f>
        <v>2307</v>
      </c>
      <c r="K275" s="20"/>
      <c r="L275" s="20"/>
      <c r="M275" s="20"/>
      <c r="N275" s="20"/>
      <c r="O275" s="20"/>
      <c r="P275" s="20"/>
      <c r="Q275" s="21">
        <f t="shared" ref="Q275" si="482">SUM(J275:P275)</f>
        <v>2307</v>
      </c>
    </row>
    <row r="276" spans="1:17" x14ac:dyDescent="0.35">
      <c r="A276" s="3">
        <v>45426</v>
      </c>
      <c r="B276" s="19">
        <f>23994731.07/1000000</f>
        <v>23.99473107</v>
      </c>
      <c r="C276" s="20"/>
      <c r="D276" s="20"/>
      <c r="E276" s="20"/>
      <c r="F276" s="20"/>
      <c r="G276" s="20"/>
      <c r="H276" s="20"/>
      <c r="I276" s="21">
        <f t="shared" ref="I276" si="483">SUM(B276:H276)</f>
        <v>23.99473107</v>
      </c>
      <c r="J276" s="19">
        <f t="shared" si="481"/>
        <v>2307</v>
      </c>
      <c r="K276" s="20"/>
      <c r="L276" s="20"/>
      <c r="M276" s="20"/>
      <c r="N276" s="20"/>
      <c r="O276" s="20"/>
      <c r="P276" s="20"/>
      <c r="Q276" s="21">
        <f t="shared" ref="Q276" si="484">SUM(J276:P276)</f>
        <v>2307</v>
      </c>
    </row>
    <row r="277" spans="1:17" x14ac:dyDescent="0.35">
      <c r="A277" s="3">
        <v>45427</v>
      </c>
      <c r="B277" s="19">
        <f>23994731.07/1000000</f>
        <v>23.99473107</v>
      </c>
      <c r="C277" s="20"/>
      <c r="D277" s="20"/>
      <c r="E277" s="20"/>
      <c r="F277" s="20"/>
      <c r="G277" s="20"/>
      <c r="H277" s="20"/>
      <c r="I277" s="21">
        <f t="shared" ref="I277" si="485">SUM(B277:H277)</f>
        <v>23.99473107</v>
      </c>
      <c r="J277" s="19">
        <f t="shared" si="481"/>
        <v>2307</v>
      </c>
      <c r="K277" s="20"/>
      <c r="L277" s="20"/>
      <c r="M277" s="20"/>
      <c r="N277" s="20"/>
      <c r="O277" s="20"/>
      <c r="P277" s="20"/>
      <c r="Q277" s="21">
        <f t="shared" ref="Q277" si="486">SUM(J277:P277)</f>
        <v>2307</v>
      </c>
    </row>
    <row r="278" spans="1:17" x14ac:dyDescent="0.35">
      <c r="A278" s="3">
        <v>45428</v>
      </c>
      <c r="B278" s="19">
        <f>23994731.07/1000000</f>
        <v>23.99473107</v>
      </c>
      <c r="C278" s="20"/>
      <c r="D278" s="20"/>
      <c r="E278" s="20"/>
      <c r="F278" s="20"/>
      <c r="G278" s="20"/>
      <c r="H278" s="20"/>
      <c r="I278" s="21">
        <f t="shared" ref="I278" si="487">SUM(B278:H278)</f>
        <v>23.99473107</v>
      </c>
      <c r="J278" s="19">
        <f t="shared" si="481"/>
        <v>2307</v>
      </c>
      <c r="K278" s="20"/>
      <c r="L278" s="20"/>
      <c r="M278" s="20"/>
      <c r="N278" s="20"/>
      <c r="O278" s="20"/>
      <c r="P278" s="20"/>
      <c r="Q278" s="21">
        <f t="shared" ref="Q278" si="488">SUM(J278:P278)</f>
        <v>2307</v>
      </c>
    </row>
    <row r="279" spans="1:17" x14ac:dyDescent="0.35">
      <c r="A279" s="3">
        <v>45429</v>
      </c>
      <c r="B279" s="19">
        <f>23972967.27/1000000</f>
        <v>23.972967269999998</v>
      </c>
      <c r="C279" s="20"/>
      <c r="D279" s="20"/>
      <c r="E279" s="20"/>
      <c r="F279" s="20"/>
      <c r="G279" s="20"/>
      <c r="H279" s="20"/>
      <c r="I279" s="21">
        <f t="shared" ref="I279" si="489">SUM(B279:H279)</f>
        <v>23.972967269999998</v>
      </c>
      <c r="J279" s="19">
        <f t="shared" si="481"/>
        <v>2307</v>
      </c>
      <c r="K279" s="20"/>
      <c r="L279" s="20"/>
      <c r="M279" s="20"/>
      <c r="N279" s="20"/>
      <c r="O279" s="20"/>
      <c r="P279" s="20"/>
      <c r="Q279" s="21">
        <f t="shared" ref="Q279" si="490">SUM(J279:P279)</f>
        <v>2307</v>
      </c>
    </row>
    <row r="280" spans="1:17" x14ac:dyDescent="0.35">
      <c r="A280" s="3">
        <v>45432</v>
      </c>
      <c r="B280" s="19">
        <f>23968977.27/1000000</f>
        <v>23.96897727</v>
      </c>
      <c r="C280" s="20"/>
      <c r="D280" s="20"/>
      <c r="E280" s="20"/>
      <c r="F280" s="20"/>
      <c r="G280" s="20"/>
      <c r="H280" s="20"/>
      <c r="I280" s="21">
        <f t="shared" ref="I280" si="491">SUM(B280:H280)</f>
        <v>23.96897727</v>
      </c>
      <c r="J280" s="19">
        <f t="shared" si="481"/>
        <v>2307</v>
      </c>
      <c r="K280" s="20"/>
      <c r="L280" s="20"/>
      <c r="M280" s="20"/>
      <c r="N280" s="20"/>
      <c r="O280" s="20"/>
      <c r="P280" s="20"/>
      <c r="Q280" s="21">
        <f t="shared" ref="Q280" si="492">SUM(J280:P280)</f>
        <v>2307</v>
      </c>
    </row>
    <row r="281" spans="1:17" x14ac:dyDescent="0.35">
      <c r="A281" s="3">
        <v>45433</v>
      </c>
      <c r="B281" s="19">
        <f>23960485.04/1000000</f>
        <v>23.960485039999998</v>
      </c>
      <c r="C281" s="20"/>
      <c r="D281" s="20"/>
      <c r="E281" s="20"/>
      <c r="F281" s="20"/>
      <c r="G281" s="20"/>
      <c r="H281" s="20"/>
      <c r="I281" s="21">
        <f t="shared" ref="I281" si="493">SUM(B281:H281)</f>
        <v>23.960485039999998</v>
      </c>
      <c r="J281" s="19">
        <f t="shared" si="481"/>
        <v>2307</v>
      </c>
      <c r="K281" s="20"/>
      <c r="L281" s="20"/>
      <c r="M281" s="20"/>
      <c r="N281" s="20"/>
      <c r="O281" s="20"/>
      <c r="P281" s="20"/>
      <c r="Q281" s="21">
        <f t="shared" ref="Q281" si="494">SUM(J281:P281)</f>
        <v>2307</v>
      </c>
    </row>
    <row r="282" spans="1:17" x14ac:dyDescent="0.35">
      <c r="A282" s="3">
        <v>45434</v>
      </c>
      <c r="B282" s="19">
        <f>26467785.04/1000000</f>
        <v>26.467785039999999</v>
      </c>
      <c r="C282" s="20"/>
      <c r="D282" s="20"/>
      <c r="E282" s="20"/>
      <c r="F282" s="20"/>
      <c r="G282" s="20"/>
      <c r="H282" s="20"/>
      <c r="I282" s="21">
        <f t="shared" ref="I282" si="495">SUM(B282:H282)</f>
        <v>26.467785039999999</v>
      </c>
      <c r="J282" s="19">
        <f t="shared" si="481"/>
        <v>2307</v>
      </c>
      <c r="K282" s="20"/>
      <c r="L282" s="20"/>
      <c r="M282" s="20"/>
      <c r="N282" s="20"/>
      <c r="O282" s="20"/>
      <c r="P282" s="20"/>
      <c r="Q282" s="21">
        <f t="shared" ref="Q282" si="496">SUM(J282:P282)</f>
        <v>2307</v>
      </c>
    </row>
    <row r="283" spans="1:17" x14ac:dyDescent="0.35">
      <c r="A283" s="3">
        <v>45435</v>
      </c>
      <c r="B283" s="19">
        <f>26467785.04/1000000</f>
        <v>26.467785039999999</v>
      </c>
      <c r="C283" s="20"/>
      <c r="D283" s="20"/>
      <c r="E283" s="20"/>
      <c r="F283" s="20"/>
      <c r="G283" s="20"/>
      <c r="H283" s="20"/>
      <c r="I283" s="21">
        <f t="shared" ref="I283" si="497">SUM(B283:H283)</f>
        <v>26.467785039999999</v>
      </c>
      <c r="J283" s="19">
        <f t="shared" si="481"/>
        <v>2307</v>
      </c>
      <c r="K283" s="20"/>
      <c r="L283" s="20"/>
      <c r="M283" s="20"/>
      <c r="N283" s="20"/>
      <c r="O283" s="20"/>
      <c r="P283" s="20"/>
      <c r="Q283" s="21">
        <f t="shared" ref="Q283" si="498">SUM(J283:P283)</f>
        <v>2307</v>
      </c>
    </row>
    <row r="284" spans="1:17" x14ac:dyDescent="0.35">
      <c r="A284" s="3">
        <v>45436</v>
      </c>
      <c r="B284" s="19">
        <f>23786691.24/1000000</f>
        <v>23.78669124</v>
      </c>
      <c r="C284" s="20"/>
      <c r="D284" s="20"/>
      <c r="E284" s="20"/>
      <c r="F284" s="20"/>
      <c r="G284" s="20"/>
      <c r="H284" s="20"/>
      <c r="I284" s="21">
        <f t="shared" ref="I284" si="499">SUM(B284:H284)</f>
        <v>23.78669124</v>
      </c>
      <c r="J284" s="19">
        <f t="shared" si="481"/>
        <v>2307</v>
      </c>
      <c r="K284" s="20"/>
      <c r="L284" s="20"/>
      <c r="M284" s="20"/>
      <c r="N284" s="20"/>
      <c r="O284" s="20"/>
      <c r="P284" s="20"/>
      <c r="Q284" s="21">
        <f t="shared" ref="Q284" si="500">SUM(J284:P284)</f>
        <v>2307</v>
      </c>
    </row>
    <row r="285" spans="1:17" x14ac:dyDescent="0.35">
      <c r="A285" s="3">
        <v>45439</v>
      </c>
      <c r="B285" s="19">
        <f>37592702.17/1000000</f>
        <v>37.592702170000003</v>
      </c>
      <c r="C285" s="20"/>
      <c r="D285" s="20"/>
      <c r="E285" s="20"/>
      <c r="F285" s="20"/>
      <c r="G285" s="20"/>
      <c r="H285" s="20"/>
      <c r="I285" s="21">
        <f t="shared" ref="I285" si="501">SUM(B285:H285)</f>
        <v>37.592702170000003</v>
      </c>
      <c r="J285" s="19">
        <f t="shared" si="481"/>
        <v>2307</v>
      </c>
      <c r="K285" s="20"/>
      <c r="L285" s="20"/>
      <c r="M285" s="20"/>
      <c r="N285" s="20"/>
      <c r="O285" s="20"/>
      <c r="P285" s="20"/>
      <c r="Q285" s="21">
        <f t="shared" ref="Q285" si="502">SUM(J285:P285)</f>
        <v>2307</v>
      </c>
    </row>
    <row r="286" spans="1:17" x14ac:dyDescent="0.35">
      <c r="A286" s="3">
        <v>45440</v>
      </c>
      <c r="B286" s="19">
        <f>(44823122.22+307000000)/1000000</f>
        <v>351.82312222000002</v>
      </c>
      <c r="C286" s="20"/>
      <c r="D286" s="20"/>
      <c r="E286" s="20"/>
      <c r="F286" s="20"/>
      <c r="G286" s="20"/>
      <c r="H286" s="20"/>
      <c r="I286" s="21">
        <f t="shared" ref="I286" si="503">SUM(B286:H286)</f>
        <v>351.82312222000002</v>
      </c>
      <c r="J286" s="19">
        <f>(2000000000)/1000000</f>
        <v>2000</v>
      </c>
      <c r="K286" s="20"/>
      <c r="L286" s="20"/>
      <c r="M286" s="20"/>
      <c r="N286" s="20"/>
      <c r="O286" s="20"/>
      <c r="P286" s="20"/>
      <c r="Q286" s="21">
        <f t="shared" ref="Q286" si="504">SUM(J286:P286)</f>
        <v>2000</v>
      </c>
    </row>
    <row r="287" spans="1:17" x14ac:dyDescent="0.35">
      <c r="A287" s="3">
        <v>45441</v>
      </c>
      <c r="B287" s="19">
        <f>(29620045.71+307000000)/1000000</f>
        <v>336.62004571</v>
      </c>
      <c r="C287" s="20"/>
      <c r="D287" s="20"/>
      <c r="E287" s="20"/>
      <c r="F287" s="20"/>
      <c r="G287" s="20"/>
      <c r="H287" s="20"/>
      <c r="I287" s="21">
        <f t="shared" ref="I287:I288" si="505">SUM(B287:H287)</f>
        <v>336.62004571</v>
      </c>
      <c r="J287" s="19">
        <f>(2027000000)/1000000</f>
        <v>2027</v>
      </c>
      <c r="K287" s="20"/>
      <c r="L287" s="20"/>
      <c r="M287" s="20"/>
      <c r="N287" s="20"/>
      <c r="O287" s="20"/>
      <c r="P287" s="20"/>
      <c r="Q287" s="21">
        <f t="shared" ref="Q287:Q288" si="506">SUM(J287:P287)</f>
        <v>2027</v>
      </c>
    </row>
    <row r="288" spans="1:17" x14ac:dyDescent="0.35">
      <c r="A288" s="3">
        <v>45442</v>
      </c>
      <c r="B288" s="19">
        <f>(29577745.71)/1000000</f>
        <v>29.577745710000002</v>
      </c>
      <c r="C288" s="20"/>
      <c r="D288" s="20"/>
      <c r="E288" s="20"/>
      <c r="F288" s="20"/>
      <c r="G288" s="20"/>
      <c r="H288" s="20"/>
      <c r="I288" s="21">
        <f t="shared" si="505"/>
        <v>29.577745710000002</v>
      </c>
      <c r="J288" s="19">
        <f t="shared" ref="J288:J302" si="507">(2027000000+307000000)/1000000</f>
        <v>2334</v>
      </c>
      <c r="K288" s="20"/>
      <c r="L288" s="20"/>
      <c r="M288" s="20"/>
      <c r="N288" s="20"/>
      <c r="O288" s="20"/>
      <c r="P288" s="20"/>
      <c r="Q288" s="21">
        <f t="shared" si="506"/>
        <v>2334</v>
      </c>
    </row>
    <row r="289" spans="1:17" x14ac:dyDescent="0.35">
      <c r="A289" s="3">
        <v>45443</v>
      </c>
      <c r="B289" s="19">
        <f>29507203.37/1000000</f>
        <v>29.507203370000003</v>
      </c>
      <c r="C289" s="20"/>
      <c r="D289" s="20"/>
      <c r="E289" s="20"/>
      <c r="F289" s="20"/>
      <c r="G289" s="20"/>
      <c r="H289" s="20"/>
      <c r="I289" s="21">
        <f t="shared" ref="I289" si="508">SUM(B289:H289)</f>
        <v>29.507203370000003</v>
      </c>
      <c r="J289" s="19">
        <f t="shared" si="507"/>
        <v>2334</v>
      </c>
      <c r="K289" s="20"/>
      <c r="L289" s="20"/>
      <c r="M289" s="20"/>
      <c r="N289" s="20"/>
      <c r="O289" s="20"/>
      <c r="P289" s="20"/>
      <c r="Q289" s="21">
        <f t="shared" ref="Q289" si="509">SUM(J289:P289)</f>
        <v>2334</v>
      </c>
    </row>
    <row r="290" spans="1:17" x14ac:dyDescent="0.35">
      <c r="A290" s="3">
        <v>45446</v>
      </c>
      <c r="B290" s="19">
        <f>29316081.64/1000000</f>
        <v>29.31608164</v>
      </c>
      <c r="C290" s="20"/>
      <c r="D290" s="20"/>
      <c r="E290" s="20"/>
      <c r="F290" s="20"/>
      <c r="G290" s="20"/>
      <c r="H290" s="20"/>
      <c r="I290" s="21">
        <f t="shared" ref="I290" si="510">SUM(B290:H290)</f>
        <v>29.31608164</v>
      </c>
      <c r="J290" s="19">
        <f t="shared" si="507"/>
        <v>2334</v>
      </c>
      <c r="K290" s="20"/>
      <c r="L290" s="20"/>
      <c r="M290" s="20"/>
      <c r="N290" s="20"/>
      <c r="O290" s="20"/>
      <c r="P290" s="20"/>
      <c r="Q290" s="21">
        <f t="shared" ref="Q290" si="511">SUM(J290:P290)</f>
        <v>2334</v>
      </c>
    </row>
    <row r="291" spans="1:17" x14ac:dyDescent="0.35">
      <c r="A291" s="3">
        <v>45447</v>
      </c>
      <c r="B291" s="19">
        <f>29316081.64/1000000</f>
        <v>29.31608164</v>
      </c>
      <c r="C291" s="20"/>
      <c r="D291" s="20"/>
      <c r="E291" s="20"/>
      <c r="F291" s="20"/>
      <c r="G291" s="20"/>
      <c r="H291" s="20"/>
      <c r="I291" s="21">
        <f t="shared" ref="I291" si="512">SUM(B291:H291)</f>
        <v>29.31608164</v>
      </c>
      <c r="J291" s="19">
        <f t="shared" si="507"/>
        <v>2334</v>
      </c>
      <c r="K291" s="20"/>
      <c r="L291" s="20"/>
      <c r="M291" s="20"/>
      <c r="N291" s="20"/>
      <c r="O291" s="20"/>
      <c r="P291" s="20"/>
      <c r="Q291" s="21">
        <f t="shared" ref="Q291" si="513">SUM(J291:P291)</f>
        <v>2334</v>
      </c>
    </row>
    <row r="292" spans="1:17" x14ac:dyDescent="0.35">
      <c r="A292" s="3">
        <v>45448</v>
      </c>
      <c r="B292" s="19">
        <f>29231081.64/1000000</f>
        <v>29.231081639999999</v>
      </c>
      <c r="C292" s="20"/>
      <c r="D292" s="20"/>
      <c r="E292" s="20"/>
      <c r="F292" s="20"/>
      <c r="G292" s="20"/>
      <c r="H292" s="20"/>
      <c r="I292" s="21">
        <f t="shared" ref="I292" si="514">SUM(B292:H292)</f>
        <v>29.231081639999999</v>
      </c>
      <c r="J292" s="19">
        <f t="shared" si="507"/>
        <v>2334</v>
      </c>
      <c r="K292" s="20"/>
      <c r="L292" s="20"/>
      <c r="M292" s="20"/>
      <c r="N292" s="20"/>
      <c r="O292" s="20"/>
      <c r="P292" s="20"/>
      <c r="Q292" s="21">
        <f t="shared" ref="Q292" si="515">SUM(J292:P292)</f>
        <v>2334</v>
      </c>
    </row>
    <row r="293" spans="1:17" x14ac:dyDescent="0.35">
      <c r="A293" s="3">
        <v>45449</v>
      </c>
      <c r="B293" s="19">
        <f>28990410.84/1000000</f>
        <v>28.990410839999999</v>
      </c>
      <c r="C293" s="20"/>
      <c r="D293" s="20"/>
      <c r="E293" s="20"/>
      <c r="F293" s="20"/>
      <c r="G293" s="20"/>
      <c r="H293" s="20"/>
      <c r="I293" s="21">
        <f t="shared" ref="I293" si="516">SUM(B293:H293)</f>
        <v>28.990410839999999</v>
      </c>
      <c r="J293" s="19">
        <f t="shared" si="507"/>
        <v>2334</v>
      </c>
      <c r="K293" s="20"/>
      <c r="L293" s="20"/>
      <c r="M293" s="20"/>
      <c r="N293" s="20"/>
      <c r="O293" s="20"/>
      <c r="P293" s="20"/>
      <c r="Q293" s="21">
        <f t="shared" ref="Q293" si="517">SUM(J293:P293)</f>
        <v>2334</v>
      </c>
    </row>
    <row r="294" spans="1:17" x14ac:dyDescent="0.35">
      <c r="A294" s="3">
        <v>45450</v>
      </c>
      <c r="B294" s="19">
        <f>26891901.28/1000000</f>
        <v>26.891901280000003</v>
      </c>
      <c r="C294" s="20"/>
      <c r="D294" s="20"/>
      <c r="E294" s="20"/>
      <c r="F294" s="20"/>
      <c r="G294" s="20"/>
      <c r="H294" s="20"/>
      <c r="I294" s="21">
        <f t="shared" ref="I294" si="518">SUM(B294:H294)</f>
        <v>26.891901280000003</v>
      </c>
      <c r="J294" s="19">
        <f t="shared" si="507"/>
        <v>2334</v>
      </c>
      <c r="K294" s="20"/>
      <c r="L294" s="20"/>
      <c r="M294" s="20"/>
      <c r="N294" s="20"/>
      <c r="O294" s="20"/>
      <c r="P294" s="20"/>
      <c r="Q294" s="21">
        <f t="shared" ref="Q294" si="519">SUM(J294:P294)</f>
        <v>2334</v>
      </c>
    </row>
    <row r="295" spans="1:17" x14ac:dyDescent="0.35">
      <c r="A295" s="3">
        <v>45453</v>
      </c>
      <c r="B295" s="19">
        <f>26866901.28/1000000</f>
        <v>26.86690128</v>
      </c>
      <c r="C295" s="20"/>
      <c r="D295" s="20"/>
      <c r="E295" s="20"/>
      <c r="F295" s="20"/>
      <c r="G295" s="20"/>
      <c r="H295" s="20"/>
      <c r="I295" s="21">
        <f t="shared" ref="I295" si="520">SUM(B295:H295)</f>
        <v>26.86690128</v>
      </c>
      <c r="J295" s="19">
        <f t="shared" si="507"/>
        <v>2334</v>
      </c>
      <c r="K295" s="20"/>
      <c r="L295" s="20"/>
      <c r="M295" s="20"/>
      <c r="N295" s="20"/>
      <c r="O295" s="20"/>
      <c r="P295" s="20"/>
      <c r="Q295" s="21">
        <f t="shared" ref="Q295" si="521">SUM(J295:P295)</f>
        <v>2334</v>
      </c>
    </row>
    <row r="296" spans="1:17" x14ac:dyDescent="0.35">
      <c r="A296" s="3">
        <v>45454</v>
      </c>
      <c r="B296" s="19">
        <f>26896476.28/1000000</f>
        <v>26.896476280000002</v>
      </c>
      <c r="C296" s="20"/>
      <c r="D296" s="20"/>
      <c r="E296" s="20"/>
      <c r="F296" s="20"/>
      <c r="G296" s="20"/>
      <c r="H296" s="20"/>
      <c r="I296" s="21">
        <f t="shared" ref="I296" si="522">SUM(B296:H296)</f>
        <v>26.896476280000002</v>
      </c>
      <c r="J296" s="19">
        <f t="shared" si="507"/>
        <v>2334</v>
      </c>
      <c r="K296" s="20"/>
      <c r="L296" s="20"/>
      <c r="M296" s="20"/>
      <c r="N296" s="20"/>
      <c r="O296" s="20"/>
      <c r="P296" s="20"/>
      <c r="Q296" s="21">
        <f t="shared" ref="Q296" si="523">SUM(J296:P296)</f>
        <v>2334</v>
      </c>
    </row>
    <row r="297" spans="1:17" x14ac:dyDescent="0.35">
      <c r="A297" s="3">
        <v>45456</v>
      </c>
      <c r="B297" s="19">
        <f>26878769.03/1000000</f>
        <v>26.878769030000001</v>
      </c>
      <c r="C297" s="20"/>
      <c r="D297" s="20"/>
      <c r="E297" s="20"/>
      <c r="F297" s="20"/>
      <c r="G297" s="20"/>
      <c r="H297" s="20"/>
      <c r="I297" s="21">
        <f t="shared" ref="I297" si="524">SUM(B297:H297)</f>
        <v>26.878769030000001</v>
      </c>
      <c r="J297" s="19">
        <f t="shared" si="507"/>
        <v>2334</v>
      </c>
      <c r="K297" s="20"/>
      <c r="L297" s="20"/>
      <c r="M297" s="20"/>
      <c r="N297" s="20"/>
      <c r="O297" s="20"/>
      <c r="P297" s="20"/>
      <c r="Q297" s="21">
        <f t="shared" ref="Q297" si="525">SUM(J297:P297)</f>
        <v>2334</v>
      </c>
    </row>
    <row r="298" spans="1:17" x14ac:dyDescent="0.35">
      <c r="A298" s="3">
        <v>45457</v>
      </c>
      <c r="B298" s="19">
        <f>31591337.34/1000000</f>
        <v>31.591337339999999</v>
      </c>
      <c r="C298" s="20"/>
      <c r="D298" s="20"/>
      <c r="E298" s="20"/>
      <c r="F298" s="20"/>
      <c r="G298" s="20"/>
      <c r="H298" s="20"/>
      <c r="I298" s="21">
        <f t="shared" ref="I298" si="526">SUM(B298:H298)</f>
        <v>31.591337339999999</v>
      </c>
      <c r="J298" s="19">
        <f t="shared" si="507"/>
        <v>2334</v>
      </c>
      <c r="K298" s="20"/>
      <c r="L298" s="20"/>
      <c r="M298" s="20"/>
      <c r="N298" s="20"/>
      <c r="O298" s="20"/>
      <c r="P298" s="20"/>
      <c r="Q298" s="21">
        <f t="shared" ref="Q298" si="527">SUM(J298:P298)</f>
        <v>2334</v>
      </c>
    </row>
    <row r="299" spans="1:17" x14ac:dyDescent="0.35">
      <c r="A299" s="3">
        <v>45460</v>
      </c>
      <c r="B299" s="19">
        <f>31570997.34/1000000</f>
        <v>31.570997339999998</v>
      </c>
      <c r="C299" s="20"/>
      <c r="D299" s="20"/>
      <c r="E299" s="20"/>
      <c r="F299" s="20"/>
      <c r="G299" s="20"/>
      <c r="H299" s="20"/>
      <c r="I299" s="21">
        <f t="shared" ref="I299" si="528">SUM(B299:H299)</f>
        <v>31.570997339999998</v>
      </c>
      <c r="J299" s="19">
        <f t="shared" si="507"/>
        <v>2334</v>
      </c>
      <c r="K299" s="20"/>
      <c r="L299" s="20"/>
      <c r="M299" s="20"/>
      <c r="N299" s="20"/>
      <c r="O299" s="20"/>
      <c r="P299" s="20"/>
      <c r="Q299" s="21">
        <f t="shared" ref="Q299" si="529">SUM(J299:P299)</f>
        <v>2334</v>
      </c>
    </row>
    <row r="300" spans="1:17" x14ac:dyDescent="0.35">
      <c r="A300" s="3">
        <v>45461</v>
      </c>
      <c r="B300" s="19">
        <f>31016670.34/1000000</f>
        <v>31.016670340000001</v>
      </c>
      <c r="C300" s="20"/>
      <c r="D300" s="20"/>
      <c r="E300" s="20"/>
      <c r="F300" s="20"/>
      <c r="G300" s="20"/>
      <c r="H300" s="20"/>
      <c r="I300" s="21">
        <f t="shared" ref="I300" si="530">SUM(B300:H300)</f>
        <v>31.016670340000001</v>
      </c>
      <c r="J300" s="19">
        <f t="shared" si="507"/>
        <v>2334</v>
      </c>
      <c r="K300" s="20"/>
      <c r="L300" s="20"/>
      <c r="M300" s="20"/>
      <c r="N300" s="20"/>
      <c r="O300" s="20"/>
      <c r="P300" s="20"/>
      <c r="Q300" s="21">
        <f t="shared" ref="Q300" si="531">SUM(J300:P300)</f>
        <v>2334</v>
      </c>
    </row>
    <row r="301" spans="1:17" x14ac:dyDescent="0.35">
      <c r="A301" s="3">
        <v>45462</v>
      </c>
      <c r="B301" s="19">
        <f>24808224.54/1000000</f>
        <v>24.808224539999998</v>
      </c>
      <c r="C301" s="20"/>
      <c r="D301" s="20"/>
      <c r="E301" s="20"/>
      <c r="F301" s="20"/>
      <c r="G301" s="20"/>
      <c r="H301" s="20"/>
      <c r="I301" s="21">
        <f t="shared" ref="I301" si="532">SUM(B301:H301)</f>
        <v>24.808224539999998</v>
      </c>
      <c r="J301" s="19">
        <f t="shared" si="507"/>
        <v>2334</v>
      </c>
      <c r="K301" s="20"/>
      <c r="L301" s="20"/>
      <c r="M301" s="20"/>
      <c r="N301" s="20"/>
      <c r="O301" s="20"/>
      <c r="P301" s="20"/>
      <c r="Q301" s="21">
        <f t="shared" ref="Q301" si="533">SUM(J301:P301)</f>
        <v>2334</v>
      </c>
    </row>
    <row r="302" spans="1:17" x14ac:dyDescent="0.35">
      <c r="A302" s="3">
        <v>45463</v>
      </c>
      <c r="B302" s="19">
        <f>77904023.12/1000000</f>
        <v>77.904023120000005</v>
      </c>
      <c r="C302" s="20"/>
      <c r="D302" s="20"/>
      <c r="E302" s="20"/>
      <c r="F302" s="20"/>
      <c r="G302" s="20"/>
      <c r="H302" s="20"/>
      <c r="I302" s="21">
        <f t="shared" ref="I302" si="534">SUM(B302:H302)</f>
        <v>77.904023120000005</v>
      </c>
      <c r="J302" s="19">
        <f t="shared" si="507"/>
        <v>2334</v>
      </c>
      <c r="K302" s="20"/>
      <c r="L302" s="20"/>
      <c r="M302" s="20"/>
      <c r="N302" s="20"/>
      <c r="O302" s="20"/>
      <c r="P302" s="20"/>
      <c r="Q302" s="21">
        <f t="shared" ref="Q302" si="535">SUM(J302:P302)</f>
        <v>2334</v>
      </c>
    </row>
    <row r="303" spans="1:17" x14ac:dyDescent="0.35">
      <c r="A303" s="3">
        <v>45464</v>
      </c>
      <c r="B303" s="19">
        <f>22958864.12/1000000</f>
        <v>22.958864120000001</v>
      </c>
      <c r="C303" s="20"/>
      <c r="D303" s="20"/>
      <c r="E303" s="20"/>
      <c r="F303" s="20"/>
      <c r="G303" s="20"/>
      <c r="H303" s="20"/>
      <c r="I303" s="21">
        <f t="shared" ref="I303" si="536">SUM(B303:H303)</f>
        <v>22.958864120000001</v>
      </c>
      <c r="J303" s="19">
        <f t="shared" ref="J303:J308" si="537">(2085000000+307000000)/1000000</f>
        <v>2392</v>
      </c>
      <c r="K303" s="20"/>
      <c r="L303" s="20"/>
      <c r="M303" s="20"/>
      <c r="N303" s="20"/>
      <c r="O303" s="20"/>
      <c r="P303" s="20"/>
      <c r="Q303" s="21">
        <f t="shared" ref="Q303" si="538">SUM(J303:P303)</f>
        <v>2392</v>
      </c>
    </row>
    <row r="304" spans="1:17" x14ac:dyDescent="0.35">
      <c r="A304" s="3">
        <v>45467</v>
      </c>
      <c r="B304" s="19">
        <f>19708896.7/1000000</f>
        <v>19.7088967</v>
      </c>
      <c r="C304" s="20"/>
      <c r="D304" s="20"/>
      <c r="E304" s="20"/>
      <c r="F304" s="20"/>
      <c r="G304" s="20"/>
      <c r="H304" s="20"/>
      <c r="I304" s="21">
        <f t="shared" ref="I304" si="539">SUM(B304:H304)</f>
        <v>19.7088967</v>
      </c>
      <c r="J304" s="19">
        <f t="shared" si="537"/>
        <v>2392</v>
      </c>
      <c r="K304" s="20"/>
      <c r="L304" s="20"/>
      <c r="M304" s="20"/>
      <c r="N304" s="20"/>
      <c r="O304" s="20"/>
      <c r="P304" s="20"/>
      <c r="Q304" s="21">
        <f t="shared" ref="Q304" si="540">SUM(J304:P304)</f>
        <v>2392</v>
      </c>
    </row>
    <row r="305" spans="1:17" x14ac:dyDescent="0.35">
      <c r="A305" s="3">
        <v>45468</v>
      </c>
      <c r="B305" s="19">
        <f>19708896.7/1000000</f>
        <v>19.7088967</v>
      </c>
      <c r="C305" s="20"/>
      <c r="D305" s="20"/>
      <c r="E305" s="20"/>
      <c r="F305" s="20"/>
      <c r="G305" s="20"/>
      <c r="H305" s="20"/>
      <c r="I305" s="21">
        <f t="shared" ref="I305" si="541">SUM(B305:H305)</f>
        <v>19.7088967</v>
      </c>
      <c r="J305" s="19">
        <f t="shared" si="537"/>
        <v>2392</v>
      </c>
      <c r="K305" s="20"/>
      <c r="L305" s="20"/>
      <c r="M305" s="20"/>
      <c r="N305" s="20"/>
      <c r="O305" s="20"/>
      <c r="P305" s="20"/>
      <c r="Q305" s="21">
        <f t="shared" ref="Q305" si="542">SUM(J305:P305)</f>
        <v>2392</v>
      </c>
    </row>
    <row r="306" spans="1:17" x14ac:dyDescent="0.35">
      <c r="A306" s="3">
        <v>45469</v>
      </c>
      <c r="B306" s="19">
        <f>19708896.7/1000000</f>
        <v>19.7088967</v>
      </c>
      <c r="C306" s="20"/>
      <c r="D306" s="20"/>
      <c r="E306" s="20"/>
      <c r="F306" s="20"/>
      <c r="G306" s="20"/>
      <c r="H306" s="20"/>
      <c r="I306" s="21">
        <f t="shared" ref="I306" si="543">SUM(B306:H306)</f>
        <v>19.7088967</v>
      </c>
      <c r="J306" s="19">
        <f t="shared" si="537"/>
        <v>2392</v>
      </c>
      <c r="K306" s="20"/>
      <c r="L306" s="20"/>
      <c r="M306" s="20"/>
      <c r="N306" s="20"/>
      <c r="O306" s="20"/>
      <c r="P306" s="20"/>
      <c r="Q306" s="21">
        <f t="shared" ref="Q306" si="544">SUM(J306:P306)</f>
        <v>2392</v>
      </c>
    </row>
    <row r="307" spans="1:17" x14ac:dyDescent="0.35">
      <c r="A307" s="3">
        <v>45470</v>
      </c>
      <c r="B307" s="19">
        <f>19708896.7/1000000</f>
        <v>19.7088967</v>
      </c>
      <c r="C307" s="20"/>
      <c r="D307" s="20"/>
      <c r="E307" s="20"/>
      <c r="F307" s="20"/>
      <c r="G307" s="20"/>
      <c r="H307" s="20"/>
      <c r="I307" s="21">
        <f t="shared" ref="I307" si="545">SUM(B307:H307)</f>
        <v>19.7088967</v>
      </c>
      <c r="J307" s="19">
        <f t="shared" si="537"/>
        <v>2392</v>
      </c>
      <c r="K307" s="20"/>
      <c r="L307" s="20"/>
      <c r="M307" s="20"/>
      <c r="N307" s="20"/>
      <c r="O307" s="20"/>
      <c r="P307" s="20"/>
      <c r="Q307" s="21">
        <f t="shared" ref="Q307" si="546">SUM(J307:P307)</f>
        <v>2392</v>
      </c>
    </row>
    <row r="308" spans="1:17" x14ac:dyDescent="0.35">
      <c r="A308" s="3">
        <v>45471</v>
      </c>
      <c r="B308" s="19">
        <f>81632393.95/1000000</f>
        <v>81.632393950000008</v>
      </c>
      <c r="C308" s="20"/>
      <c r="D308" s="20"/>
      <c r="E308" s="20"/>
      <c r="F308" s="20"/>
      <c r="G308" s="20"/>
      <c r="H308" s="20"/>
      <c r="I308" s="21">
        <f t="shared" ref="I308" si="547">SUM(B308:H308)</f>
        <v>81.632393950000008</v>
      </c>
      <c r="J308" s="19">
        <f t="shared" si="537"/>
        <v>2392</v>
      </c>
      <c r="K308" s="20"/>
      <c r="L308" s="20"/>
      <c r="M308" s="20"/>
      <c r="N308" s="20"/>
      <c r="O308" s="20"/>
      <c r="P308" s="20"/>
      <c r="Q308" s="21">
        <f t="shared" ref="Q308" si="548">SUM(J308:P308)</f>
        <v>2392</v>
      </c>
    </row>
    <row r="309" spans="1:17" x14ac:dyDescent="0.35">
      <c r="A309" s="3">
        <v>45474</v>
      </c>
      <c r="B309" s="19">
        <f>32162218.72/1000000</f>
        <v>32.162218719999998</v>
      </c>
      <c r="C309" s="20"/>
      <c r="D309" s="20"/>
      <c r="E309" s="20"/>
      <c r="F309" s="20"/>
      <c r="G309" s="20"/>
      <c r="H309" s="20"/>
      <c r="I309" s="21">
        <f t="shared" ref="I309" si="549">SUM(B309:H309)</f>
        <v>32.162218719999998</v>
      </c>
      <c r="J309" s="19">
        <f t="shared" ref="J309:J319" si="550">(2155000000+307000000)/1000000</f>
        <v>2462</v>
      </c>
      <c r="K309" s="20"/>
      <c r="L309" s="20"/>
      <c r="M309" s="20"/>
      <c r="N309" s="20"/>
      <c r="O309" s="20"/>
      <c r="P309" s="20"/>
      <c r="Q309" s="21">
        <f t="shared" ref="Q309" si="551">SUM(J309:P309)</f>
        <v>2462</v>
      </c>
    </row>
    <row r="310" spans="1:17" x14ac:dyDescent="0.35">
      <c r="A310" s="3">
        <v>45475</v>
      </c>
      <c r="B310" s="19">
        <f>32105314.56/1000000</f>
        <v>32.105314559999997</v>
      </c>
      <c r="C310" s="20"/>
      <c r="D310" s="20"/>
      <c r="E310" s="20"/>
      <c r="F310" s="20"/>
      <c r="G310" s="20"/>
      <c r="H310" s="20"/>
      <c r="I310" s="21">
        <f t="shared" ref="I310" si="552">SUM(B310:H310)</f>
        <v>32.105314559999997</v>
      </c>
      <c r="J310" s="19">
        <f t="shared" si="550"/>
        <v>2462</v>
      </c>
      <c r="K310" s="20"/>
      <c r="L310" s="20"/>
      <c r="M310" s="20"/>
      <c r="N310" s="20"/>
      <c r="O310" s="20"/>
      <c r="P310" s="20"/>
      <c r="Q310" s="21">
        <f t="shared" ref="Q310" si="553">SUM(J310:P310)</f>
        <v>2462</v>
      </c>
    </row>
    <row r="311" spans="1:17" x14ac:dyDescent="0.35">
      <c r="A311" s="3">
        <v>45476</v>
      </c>
      <c r="B311" s="19">
        <f>31885275.56/1000000</f>
        <v>31.88527556</v>
      </c>
      <c r="C311" s="20"/>
      <c r="D311" s="20"/>
      <c r="E311" s="20"/>
      <c r="F311" s="20"/>
      <c r="G311" s="20"/>
      <c r="H311" s="20"/>
      <c r="I311" s="21">
        <f t="shared" ref="I311" si="554">SUM(B311:H311)</f>
        <v>31.88527556</v>
      </c>
      <c r="J311" s="19">
        <f t="shared" si="550"/>
        <v>2462</v>
      </c>
      <c r="K311" s="20"/>
      <c r="L311" s="20"/>
      <c r="M311" s="20"/>
      <c r="N311" s="20"/>
      <c r="O311" s="20"/>
      <c r="P311" s="20"/>
      <c r="Q311" s="21">
        <f t="shared" ref="Q311" si="555">SUM(J311:P311)</f>
        <v>2462</v>
      </c>
    </row>
    <row r="312" spans="1:17" x14ac:dyDescent="0.35">
      <c r="A312" s="3">
        <v>45477</v>
      </c>
      <c r="B312" s="19">
        <f>31885275.56/1000000</f>
        <v>31.88527556</v>
      </c>
      <c r="C312" s="20"/>
      <c r="D312" s="20"/>
      <c r="E312" s="20"/>
      <c r="F312" s="20"/>
      <c r="G312" s="20"/>
      <c r="H312" s="20"/>
      <c r="I312" s="21">
        <f t="shared" ref="I312" si="556">SUM(B312:H312)</f>
        <v>31.88527556</v>
      </c>
      <c r="J312" s="19">
        <f t="shared" si="550"/>
        <v>2462</v>
      </c>
      <c r="K312" s="20"/>
      <c r="L312" s="20"/>
      <c r="M312" s="20"/>
      <c r="N312" s="20"/>
      <c r="O312" s="20"/>
      <c r="P312" s="20"/>
      <c r="Q312" s="21">
        <f t="shared" ref="Q312" si="557">SUM(J312:P312)</f>
        <v>2462</v>
      </c>
    </row>
    <row r="313" spans="1:17" x14ac:dyDescent="0.35">
      <c r="A313" s="3">
        <v>45478</v>
      </c>
      <c r="B313" s="19">
        <f>31885275.56/1000000</f>
        <v>31.88527556</v>
      </c>
      <c r="C313" s="20"/>
      <c r="D313" s="20"/>
      <c r="E313" s="20"/>
      <c r="F313" s="20"/>
      <c r="G313" s="20"/>
      <c r="H313" s="20"/>
      <c r="I313" s="21">
        <f t="shared" ref="I313" si="558">SUM(B313:H313)</f>
        <v>31.88527556</v>
      </c>
      <c r="J313" s="19">
        <f t="shared" si="550"/>
        <v>2462</v>
      </c>
      <c r="K313" s="20"/>
      <c r="L313" s="20"/>
      <c r="M313" s="20"/>
      <c r="N313" s="20"/>
      <c r="O313" s="20"/>
      <c r="P313" s="20"/>
      <c r="Q313" s="21">
        <f t="shared" ref="Q313" si="559">SUM(J313:P313)</f>
        <v>2462</v>
      </c>
    </row>
    <row r="314" spans="1:17" x14ac:dyDescent="0.35">
      <c r="A314" s="3">
        <v>45481</v>
      </c>
      <c r="B314" s="19">
        <f>31885275.56/1000000</f>
        <v>31.88527556</v>
      </c>
      <c r="C314" s="20"/>
      <c r="D314" s="20"/>
      <c r="E314" s="20"/>
      <c r="F314" s="20"/>
      <c r="G314" s="20"/>
      <c r="H314" s="20"/>
      <c r="I314" s="21">
        <f t="shared" ref="I314" si="560">SUM(B314:H314)</f>
        <v>31.88527556</v>
      </c>
      <c r="J314" s="19">
        <f t="shared" si="550"/>
        <v>2462</v>
      </c>
      <c r="K314" s="20"/>
      <c r="L314" s="20"/>
      <c r="M314" s="20"/>
      <c r="N314" s="20"/>
      <c r="O314" s="20"/>
      <c r="P314" s="20"/>
      <c r="Q314" s="21">
        <f t="shared" ref="Q314" si="561">SUM(J314:P314)</f>
        <v>2462</v>
      </c>
    </row>
    <row r="315" spans="1:17" x14ac:dyDescent="0.35">
      <c r="A315" s="3">
        <v>45482</v>
      </c>
      <c r="B315" s="19">
        <f>30455773.55/1000000</f>
        <v>30.45577355</v>
      </c>
      <c r="C315" s="20"/>
      <c r="D315" s="20"/>
      <c r="E315" s="20"/>
      <c r="F315" s="20"/>
      <c r="G315" s="20"/>
      <c r="H315" s="20"/>
      <c r="I315" s="21">
        <f t="shared" ref="I315" si="562">SUM(B315:H315)</f>
        <v>30.45577355</v>
      </c>
      <c r="J315" s="19">
        <f t="shared" si="550"/>
        <v>2462</v>
      </c>
      <c r="K315" s="20"/>
      <c r="L315" s="20"/>
      <c r="M315" s="20"/>
      <c r="N315" s="20"/>
      <c r="O315" s="20"/>
      <c r="P315" s="20"/>
      <c r="Q315" s="21">
        <f t="shared" ref="Q315" si="563">SUM(J315:P315)</f>
        <v>2462</v>
      </c>
    </row>
    <row r="316" spans="1:17" x14ac:dyDescent="0.35">
      <c r="A316" s="3">
        <v>45483</v>
      </c>
      <c r="B316" s="19">
        <f>30446673.55/1000000</f>
        <v>30.44667355</v>
      </c>
      <c r="C316" s="20"/>
      <c r="D316" s="20"/>
      <c r="E316" s="20"/>
      <c r="F316" s="20"/>
      <c r="G316" s="20"/>
      <c r="H316" s="20"/>
      <c r="I316" s="21">
        <f t="shared" ref="I316" si="564">SUM(B316:H316)</f>
        <v>30.44667355</v>
      </c>
      <c r="J316" s="19">
        <f t="shared" si="550"/>
        <v>2462</v>
      </c>
      <c r="K316" s="20"/>
      <c r="L316" s="20"/>
      <c r="M316" s="20"/>
      <c r="N316" s="20"/>
      <c r="O316" s="20"/>
      <c r="P316" s="20"/>
      <c r="Q316" s="21">
        <f t="shared" ref="Q316" si="565">SUM(J316:P316)</f>
        <v>2462</v>
      </c>
    </row>
    <row r="317" spans="1:17" x14ac:dyDescent="0.35">
      <c r="A317" s="3">
        <v>45484</v>
      </c>
      <c r="B317" s="19">
        <f>30446673.55/1000000</f>
        <v>30.44667355</v>
      </c>
      <c r="C317" s="20"/>
      <c r="D317" s="20"/>
      <c r="E317" s="20"/>
      <c r="F317" s="20"/>
      <c r="G317" s="20"/>
      <c r="H317" s="20"/>
      <c r="I317" s="21">
        <f t="shared" ref="I317" si="566">SUM(B317:H317)</f>
        <v>30.44667355</v>
      </c>
      <c r="J317" s="19">
        <f t="shared" si="550"/>
        <v>2462</v>
      </c>
      <c r="K317" s="20"/>
      <c r="L317" s="20"/>
      <c r="M317" s="20"/>
      <c r="N317" s="20"/>
      <c r="O317" s="20"/>
      <c r="P317" s="20"/>
      <c r="Q317" s="21">
        <f t="shared" ref="Q317" si="567">SUM(J317:P317)</f>
        <v>2462</v>
      </c>
    </row>
    <row r="318" spans="1:17" x14ac:dyDescent="0.35">
      <c r="A318" s="3">
        <v>45485</v>
      </c>
      <c r="B318" s="19">
        <f>30373589.17/1000000</f>
        <v>30.373589170000002</v>
      </c>
      <c r="C318" s="20"/>
      <c r="D318" s="20"/>
      <c r="E318" s="20"/>
      <c r="F318" s="20"/>
      <c r="G318" s="20"/>
      <c r="H318" s="20"/>
      <c r="I318" s="21">
        <f t="shared" ref="I318" si="568">SUM(B318:H318)</f>
        <v>30.373589170000002</v>
      </c>
      <c r="J318" s="19">
        <f t="shared" si="550"/>
        <v>2462</v>
      </c>
      <c r="K318" s="20"/>
      <c r="L318" s="20"/>
      <c r="M318" s="20"/>
      <c r="N318" s="20"/>
      <c r="O318" s="20"/>
      <c r="P318" s="20"/>
      <c r="Q318" s="21">
        <f t="shared" ref="Q318" si="569">SUM(J318:P318)</f>
        <v>2462</v>
      </c>
    </row>
    <row r="319" spans="1:17" x14ac:dyDescent="0.35">
      <c r="A319" s="3">
        <v>45488</v>
      </c>
      <c r="B319" s="19">
        <f>30373589.17/1000000</f>
        <v>30.373589170000002</v>
      </c>
      <c r="C319" s="20"/>
      <c r="D319" s="20"/>
      <c r="E319" s="20"/>
      <c r="F319" s="20"/>
      <c r="G319" s="20"/>
      <c r="H319" s="20"/>
      <c r="I319" s="21">
        <f t="shared" ref="I319" si="570">SUM(B319:H319)</f>
        <v>30.373589170000002</v>
      </c>
      <c r="J319" s="19">
        <f t="shared" si="550"/>
        <v>2462</v>
      </c>
      <c r="K319" s="20"/>
      <c r="L319" s="20"/>
      <c r="M319" s="20"/>
      <c r="N319" s="20"/>
      <c r="O319" s="20"/>
      <c r="P319" s="20"/>
      <c r="Q319" s="21">
        <f t="shared" ref="Q319" si="571">SUM(J319:P319)</f>
        <v>2462</v>
      </c>
    </row>
    <row r="320" spans="1:17" x14ac:dyDescent="0.35">
      <c r="A320" s="3">
        <v>45489</v>
      </c>
      <c r="B320" s="19">
        <f>55359654.74/1000000</f>
        <v>55.359654740000003</v>
      </c>
      <c r="C320" s="20"/>
      <c r="D320" s="20"/>
      <c r="E320" s="20"/>
      <c r="F320" s="20"/>
      <c r="G320" s="20"/>
      <c r="H320" s="20"/>
      <c r="I320" s="21">
        <f t="shared" ref="I320" si="572">SUM(B320:H320)</f>
        <v>55.359654740000003</v>
      </c>
      <c r="J320" s="19">
        <f t="shared" ref="J320:J327" si="573">(1835000000+307000000)/1000000</f>
        <v>2142</v>
      </c>
      <c r="K320" s="20"/>
      <c r="L320" s="20"/>
      <c r="M320" s="20"/>
      <c r="N320" s="20"/>
      <c r="O320" s="20"/>
      <c r="P320" s="20"/>
      <c r="Q320" s="21">
        <f t="shared" ref="Q320" si="574">SUM(J320:P320)</f>
        <v>2142</v>
      </c>
    </row>
    <row r="321" spans="1:17" x14ac:dyDescent="0.35">
      <c r="A321" s="3">
        <v>45490</v>
      </c>
      <c r="B321" s="19">
        <f>53957620.74/1000000</f>
        <v>53.957620740000003</v>
      </c>
      <c r="C321" s="20"/>
      <c r="D321" s="20"/>
      <c r="E321" s="20"/>
      <c r="F321" s="20"/>
      <c r="G321" s="20"/>
      <c r="H321" s="20"/>
      <c r="I321" s="21">
        <f t="shared" ref="I321" si="575">SUM(B321:H321)</f>
        <v>53.957620740000003</v>
      </c>
      <c r="J321" s="19">
        <f t="shared" si="573"/>
        <v>2142</v>
      </c>
      <c r="K321" s="20"/>
      <c r="L321" s="20"/>
      <c r="M321" s="20"/>
      <c r="N321" s="20"/>
      <c r="O321" s="20"/>
      <c r="P321" s="20"/>
      <c r="Q321" s="21">
        <f t="shared" ref="Q321" si="576">SUM(J321:P321)</f>
        <v>2142</v>
      </c>
    </row>
    <row r="322" spans="1:17" x14ac:dyDescent="0.35">
      <c r="A322" s="3">
        <v>45491</v>
      </c>
      <c r="B322" s="19">
        <f>53957620.74/1000000</f>
        <v>53.957620740000003</v>
      </c>
      <c r="C322" s="20"/>
      <c r="D322" s="20"/>
      <c r="E322" s="20"/>
      <c r="F322" s="20"/>
      <c r="G322" s="20"/>
      <c r="H322" s="20"/>
      <c r="I322" s="21">
        <f t="shared" ref="I322" si="577">SUM(B322:H322)</f>
        <v>53.957620740000003</v>
      </c>
      <c r="J322" s="19">
        <f t="shared" si="573"/>
        <v>2142</v>
      </c>
      <c r="K322" s="20"/>
      <c r="L322" s="20"/>
      <c r="M322" s="20"/>
      <c r="N322" s="20"/>
      <c r="O322" s="20"/>
      <c r="P322" s="20"/>
      <c r="Q322" s="21">
        <f t="shared" ref="Q322" si="578">SUM(J322:P322)</f>
        <v>2142</v>
      </c>
    </row>
    <row r="323" spans="1:17" x14ac:dyDescent="0.35">
      <c r="A323" s="3">
        <v>45492</v>
      </c>
      <c r="B323" s="19">
        <f>31799446.34/1000000</f>
        <v>31.799446339999999</v>
      </c>
      <c r="C323" s="20"/>
      <c r="D323" s="20"/>
      <c r="E323" s="20"/>
      <c r="F323" s="20"/>
      <c r="G323" s="20"/>
      <c r="H323" s="20"/>
      <c r="I323" s="21">
        <f t="shared" ref="I323" si="579">SUM(B323:H323)</f>
        <v>31.799446339999999</v>
      </c>
      <c r="J323" s="19">
        <f t="shared" si="573"/>
        <v>2142</v>
      </c>
      <c r="K323" s="20"/>
      <c r="L323" s="20"/>
      <c r="M323" s="20"/>
      <c r="N323" s="20"/>
      <c r="O323" s="20"/>
      <c r="P323" s="20"/>
      <c r="Q323" s="21">
        <f t="shared" ref="Q323" si="580">SUM(J323:P323)</f>
        <v>2142</v>
      </c>
    </row>
    <row r="324" spans="1:17" x14ac:dyDescent="0.35">
      <c r="A324" s="3">
        <v>45495</v>
      </c>
      <c r="B324" s="19">
        <f>31653156.34/1000000</f>
        <v>31.653156339999999</v>
      </c>
      <c r="C324" s="20"/>
      <c r="D324" s="20"/>
      <c r="E324" s="20"/>
      <c r="F324" s="20"/>
      <c r="G324" s="20"/>
      <c r="H324" s="20"/>
      <c r="I324" s="21">
        <f t="shared" ref="I324" si="581">SUM(B324:H324)</f>
        <v>31.653156339999999</v>
      </c>
      <c r="J324" s="19">
        <f t="shared" si="573"/>
        <v>2142</v>
      </c>
      <c r="K324" s="20"/>
      <c r="L324" s="20"/>
      <c r="M324" s="20"/>
      <c r="N324" s="20"/>
      <c r="O324" s="20"/>
      <c r="P324" s="20"/>
      <c r="Q324" s="21">
        <f t="shared" ref="Q324" si="582">SUM(J324:P324)</f>
        <v>2142</v>
      </c>
    </row>
    <row r="325" spans="1:17" x14ac:dyDescent="0.35">
      <c r="A325" s="3">
        <v>45496</v>
      </c>
      <c r="B325" s="19">
        <f>31653156.34/1000000</f>
        <v>31.653156339999999</v>
      </c>
      <c r="C325" s="20"/>
      <c r="D325" s="20"/>
      <c r="E325" s="20"/>
      <c r="F325" s="20"/>
      <c r="G325" s="20"/>
      <c r="H325" s="20"/>
      <c r="I325" s="21">
        <f t="shared" ref="I325" si="583">SUM(B325:H325)</f>
        <v>31.653156339999999</v>
      </c>
      <c r="J325" s="19">
        <f t="shared" si="573"/>
        <v>2142</v>
      </c>
      <c r="K325" s="20"/>
      <c r="L325" s="20"/>
      <c r="M325" s="20"/>
      <c r="N325" s="20"/>
      <c r="O325" s="20"/>
      <c r="P325" s="20"/>
      <c r="Q325" s="21">
        <f t="shared" ref="Q325" si="584">SUM(J325:P325)</f>
        <v>2142</v>
      </c>
    </row>
    <row r="326" spans="1:17" x14ac:dyDescent="0.35">
      <c r="A326" s="3">
        <v>45497</v>
      </c>
      <c r="B326" s="19">
        <f>28915120.94/1000000</f>
        <v>28.915120940000001</v>
      </c>
      <c r="C326" s="20"/>
      <c r="D326" s="20"/>
      <c r="E326" s="20"/>
      <c r="F326" s="20"/>
      <c r="G326" s="20"/>
      <c r="H326" s="20"/>
      <c r="I326" s="21">
        <f t="shared" ref="I326" si="585">SUM(B326:H326)</f>
        <v>28.915120940000001</v>
      </c>
      <c r="J326" s="19">
        <f t="shared" si="573"/>
        <v>2142</v>
      </c>
      <c r="K326" s="20"/>
      <c r="L326" s="20"/>
      <c r="M326" s="20"/>
      <c r="N326" s="20"/>
      <c r="O326" s="20"/>
      <c r="P326" s="20"/>
      <c r="Q326" s="21">
        <f t="shared" ref="Q326" si="586">SUM(J326:P326)</f>
        <v>2142</v>
      </c>
    </row>
    <row r="327" spans="1:17" x14ac:dyDescent="0.35">
      <c r="A327" s="3">
        <v>45498</v>
      </c>
      <c r="B327" s="19">
        <f>28915120.94/1000000</f>
        <v>28.915120940000001</v>
      </c>
      <c r="C327" s="20"/>
      <c r="D327" s="20"/>
      <c r="E327" s="20"/>
      <c r="F327" s="20"/>
      <c r="G327" s="20"/>
      <c r="H327" s="20"/>
      <c r="I327" s="21">
        <f t="shared" ref="I327" si="587">SUM(B327:H327)</f>
        <v>28.915120940000001</v>
      </c>
      <c r="J327" s="19">
        <f t="shared" si="573"/>
        <v>2142</v>
      </c>
      <c r="K327" s="20"/>
      <c r="L327" s="20"/>
      <c r="M327" s="20"/>
      <c r="N327" s="20"/>
      <c r="O327" s="20"/>
      <c r="P327" s="20"/>
      <c r="Q327" s="21">
        <f t="shared" ref="Q327" si="588">SUM(J327:P327)</f>
        <v>2142</v>
      </c>
    </row>
    <row r="328" spans="1:17" x14ac:dyDescent="0.35">
      <c r="A328" s="3">
        <v>45499</v>
      </c>
      <c r="B328" s="19">
        <f>28913086.94/1000000</f>
        <v>28.913086940000003</v>
      </c>
      <c r="C328" s="20"/>
      <c r="D328" s="20"/>
      <c r="E328" s="20"/>
      <c r="F328" s="20"/>
      <c r="G328" s="20"/>
      <c r="H328" s="20"/>
      <c r="I328" s="21">
        <f t="shared" ref="I328" si="589">SUM(B328:H328)</f>
        <v>28.913086940000003</v>
      </c>
      <c r="J328" s="19">
        <f>(1835000000+307000000)/1000000</f>
        <v>2142</v>
      </c>
      <c r="K328" s="20"/>
      <c r="L328" s="20"/>
      <c r="M328" s="20"/>
      <c r="N328" s="20"/>
      <c r="O328" s="20"/>
      <c r="P328" s="20"/>
      <c r="Q328" s="21">
        <f t="shared" ref="Q328" si="590">SUM(J328:P328)</f>
        <v>2142</v>
      </c>
    </row>
    <row r="329" spans="1:17" x14ac:dyDescent="0.35">
      <c r="A329" s="3">
        <v>45502</v>
      </c>
      <c r="B329" s="19">
        <f>33732752.66/1000000+307</f>
        <v>340.73275266000002</v>
      </c>
      <c r="C329" s="20"/>
      <c r="D329" s="20"/>
      <c r="E329" s="20"/>
      <c r="F329" s="20"/>
      <c r="G329" s="20"/>
      <c r="H329" s="20"/>
      <c r="I329" s="21">
        <f t="shared" ref="I329" si="591">SUM(B329:H329)</f>
        <v>340.73275266000002</v>
      </c>
      <c r="J329" s="19">
        <f>(1845000000)/1000000</f>
        <v>1845</v>
      </c>
      <c r="K329" s="20"/>
      <c r="L329" s="20"/>
      <c r="M329" s="20"/>
      <c r="N329" s="20"/>
      <c r="O329" s="20"/>
      <c r="P329" s="20"/>
      <c r="Q329" s="21">
        <f t="shared" ref="Q329" si="592">SUM(J329:P329)</f>
        <v>1845</v>
      </c>
    </row>
    <row r="330" spans="1:17" x14ac:dyDescent="0.35">
      <c r="A330" s="3">
        <v>45503</v>
      </c>
      <c r="B330" s="19">
        <f>33732752.66/1000000</f>
        <v>33.732752659999996</v>
      </c>
      <c r="C330" s="20"/>
      <c r="D330" s="20"/>
      <c r="E330" s="20"/>
      <c r="F330" s="20"/>
      <c r="G330" s="20"/>
      <c r="H330" s="20"/>
      <c r="I330" s="21">
        <f t="shared" ref="I330" si="593">SUM(B330:H330)</f>
        <v>33.732752659999996</v>
      </c>
      <c r="J330" s="19">
        <f>(1845000000+307000000)/1000000</f>
        <v>2152</v>
      </c>
      <c r="K330" s="20"/>
      <c r="L330" s="20"/>
      <c r="M330" s="20"/>
      <c r="N330" s="20"/>
      <c r="O330" s="20"/>
      <c r="P330" s="20"/>
      <c r="Q330" s="21">
        <f t="shared" ref="Q330" si="594">SUM(J330:P330)</f>
        <v>2152</v>
      </c>
    </row>
    <row r="331" spans="1:17" x14ac:dyDescent="0.35">
      <c r="A331" s="3">
        <v>45504</v>
      </c>
      <c r="B331" s="19">
        <f>26738900.2/1000000</f>
        <v>26.7389002</v>
      </c>
      <c r="C331" s="20"/>
      <c r="D331" s="20"/>
      <c r="E331" s="20"/>
      <c r="F331" s="20"/>
      <c r="G331" s="20"/>
      <c r="H331" s="20"/>
      <c r="I331" s="21">
        <f t="shared" ref="I331" si="595">SUM(B331:H331)</f>
        <v>26.7389002</v>
      </c>
      <c r="J331" s="19">
        <f>(1855000000+307000000)/1000000</f>
        <v>2162</v>
      </c>
      <c r="K331" s="20"/>
      <c r="L331" s="20"/>
      <c r="M331" s="20"/>
      <c r="N331" s="20"/>
      <c r="O331" s="20"/>
      <c r="P331" s="20"/>
      <c r="Q331" s="21">
        <f t="shared" ref="Q331" si="596">SUM(J331:P331)</f>
        <v>2162</v>
      </c>
    </row>
    <row r="332" spans="1:17" x14ac:dyDescent="0.35">
      <c r="A332" s="3">
        <v>45505</v>
      </c>
      <c r="B332" s="19">
        <f>26446752.27/1000000</f>
        <v>26.446752270000001</v>
      </c>
      <c r="C332" s="20"/>
      <c r="D332" s="20"/>
      <c r="E332" s="20"/>
      <c r="F332" s="20"/>
      <c r="G332" s="20"/>
      <c r="H332" s="20"/>
      <c r="I332" s="21">
        <f t="shared" ref="I332" si="597">SUM(B332:H332)</f>
        <v>26.446752270000001</v>
      </c>
      <c r="J332" s="19">
        <f>(1855000000+307000000)/1000000</f>
        <v>2162</v>
      </c>
      <c r="K332" s="20"/>
      <c r="L332" s="20"/>
      <c r="M332" s="20"/>
      <c r="N332" s="20"/>
      <c r="O332" s="20"/>
      <c r="P332" s="20"/>
      <c r="Q332" s="21">
        <f t="shared" ref="Q332" si="598">SUM(J332:P332)</f>
        <v>2162</v>
      </c>
    </row>
    <row r="333" spans="1:17" x14ac:dyDescent="0.35">
      <c r="A333" s="3">
        <v>45506</v>
      </c>
      <c r="B333" s="19">
        <f>30722660.08/1000000</f>
        <v>30.722660079999997</v>
      </c>
      <c r="C333" s="20"/>
      <c r="D333" s="20"/>
      <c r="E333" s="20"/>
      <c r="F333" s="20"/>
      <c r="G333" s="20"/>
      <c r="H333" s="20"/>
      <c r="I333" s="21">
        <f t="shared" ref="I333" si="599">SUM(B333:H333)</f>
        <v>30.722660079999997</v>
      </c>
      <c r="J333" s="19">
        <f t="shared" ref="J333:J348" si="600">(1865000000+307000000)/1000000</f>
        <v>2172</v>
      </c>
      <c r="K333" s="20"/>
      <c r="L333" s="20"/>
      <c r="M333" s="20"/>
      <c r="N333" s="20"/>
      <c r="O333" s="20"/>
      <c r="P333" s="20"/>
      <c r="Q333" s="21">
        <f t="shared" ref="Q333" si="601">SUM(J333:P333)</f>
        <v>2172</v>
      </c>
    </row>
    <row r="334" spans="1:17" x14ac:dyDescent="0.35">
      <c r="A334" s="3">
        <v>45509</v>
      </c>
      <c r="B334" s="19">
        <f>30483149/1000000</f>
        <v>30.483149000000001</v>
      </c>
      <c r="C334" s="20"/>
      <c r="D334" s="20"/>
      <c r="E334" s="20"/>
      <c r="F334" s="20"/>
      <c r="G334" s="20"/>
      <c r="H334" s="20"/>
      <c r="I334" s="21">
        <f t="shared" ref="I334" si="602">SUM(B334:H334)</f>
        <v>30.483149000000001</v>
      </c>
      <c r="J334" s="19">
        <f t="shared" si="600"/>
        <v>2172</v>
      </c>
      <c r="K334" s="20"/>
      <c r="L334" s="20"/>
      <c r="M334" s="20"/>
      <c r="N334" s="20"/>
      <c r="O334" s="20"/>
      <c r="P334" s="20"/>
      <c r="Q334" s="21">
        <f t="shared" ref="Q334" si="603">SUM(J334:P334)</f>
        <v>2172</v>
      </c>
    </row>
    <row r="335" spans="1:17" x14ac:dyDescent="0.35">
      <c r="A335" s="3">
        <v>45510</v>
      </c>
      <c r="B335" s="19">
        <f>30513149/1000000</f>
        <v>30.513148999999999</v>
      </c>
      <c r="C335" s="20"/>
      <c r="D335" s="20"/>
      <c r="E335" s="20"/>
      <c r="F335" s="20"/>
      <c r="G335" s="20"/>
      <c r="H335" s="20"/>
      <c r="I335" s="21">
        <f t="shared" ref="I335" si="604">SUM(B335:H335)</f>
        <v>30.513148999999999</v>
      </c>
      <c r="J335" s="19">
        <f t="shared" si="600"/>
        <v>2172</v>
      </c>
      <c r="K335" s="20"/>
      <c r="L335" s="20"/>
      <c r="M335" s="20"/>
      <c r="N335" s="20"/>
      <c r="O335" s="20"/>
      <c r="P335" s="20"/>
      <c r="Q335" s="21">
        <f t="shared" ref="Q335" si="605">SUM(J335:P335)</f>
        <v>2172</v>
      </c>
    </row>
    <row r="336" spans="1:17" x14ac:dyDescent="0.35">
      <c r="A336" s="3">
        <v>45511</v>
      </c>
      <c r="B336" s="19">
        <f>30513149/1000000</f>
        <v>30.513148999999999</v>
      </c>
      <c r="C336" s="20"/>
      <c r="D336" s="20"/>
      <c r="E336" s="20"/>
      <c r="F336" s="20"/>
      <c r="G336" s="20"/>
      <c r="H336" s="20"/>
      <c r="I336" s="21">
        <f t="shared" ref="I336" si="606">SUM(B336:H336)</f>
        <v>30.513148999999999</v>
      </c>
      <c r="J336" s="19">
        <f t="shared" si="600"/>
        <v>2172</v>
      </c>
      <c r="K336" s="20"/>
      <c r="L336" s="20"/>
      <c r="M336" s="20"/>
      <c r="N336" s="20"/>
      <c r="O336" s="20"/>
      <c r="P336" s="20"/>
      <c r="Q336" s="21">
        <f t="shared" ref="Q336" si="607">SUM(J336:P336)</f>
        <v>2172</v>
      </c>
    </row>
    <row r="337" spans="1:17" x14ac:dyDescent="0.35">
      <c r="A337" s="3">
        <v>45512</v>
      </c>
      <c r="B337" s="19">
        <f>30257385.14/1000000</f>
        <v>30.25738514</v>
      </c>
      <c r="C337" s="20"/>
      <c r="D337" s="20"/>
      <c r="E337" s="20"/>
      <c r="F337" s="20"/>
      <c r="G337" s="20"/>
      <c r="H337" s="20"/>
      <c r="I337" s="21">
        <f t="shared" ref="I337" si="608">SUM(B337:H337)</f>
        <v>30.25738514</v>
      </c>
      <c r="J337" s="19">
        <f t="shared" si="600"/>
        <v>2172</v>
      </c>
      <c r="K337" s="20"/>
      <c r="L337" s="20"/>
      <c r="M337" s="20"/>
      <c r="N337" s="20"/>
      <c r="O337" s="20"/>
      <c r="P337" s="20"/>
      <c r="Q337" s="21">
        <f t="shared" ref="Q337" si="609">SUM(J337:P337)</f>
        <v>2172</v>
      </c>
    </row>
    <row r="338" spans="1:17" x14ac:dyDescent="0.35">
      <c r="A338" s="3">
        <v>45513</v>
      </c>
      <c r="B338" s="19">
        <f>28675104.48/1000000</f>
        <v>28.675104480000002</v>
      </c>
      <c r="C338" s="20"/>
      <c r="D338" s="20"/>
      <c r="E338" s="20"/>
      <c r="F338" s="20"/>
      <c r="G338" s="20"/>
      <c r="H338" s="20"/>
      <c r="I338" s="21">
        <f t="shared" ref="I338" si="610">SUM(B338:H338)</f>
        <v>28.675104480000002</v>
      </c>
      <c r="J338" s="19">
        <f t="shared" si="600"/>
        <v>2172</v>
      </c>
      <c r="K338" s="20"/>
      <c r="L338" s="20"/>
      <c r="M338" s="20"/>
      <c r="N338" s="20"/>
      <c r="O338" s="20"/>
      <c r="P338" s="20"/>
      <c r="Q338" s="21">
        <f t="shared" ref="Q338" si="611">SUM(J338:P338)</f>
        <v>2172</v>
      </c>
    </row>
    <row r="339" spans="1:17" x14ac:dyDescent="0.35">
      <c r="A339" s="3">
        <v>45516</v>
      </c>
      <c r="B339" s="19">
        <f>28675104.48/1000000</f>
        <v>28.675104480000002</v>
      </c>
      <c r="C339" s="20"/>
      <c r="D339" s="20"/>
      <c r="E339" s="20"/>
      <c r="F339" s="20"/>
      <c r="G339" s="20"/>
      <c r="H339" s="20"/>
      <c r="I339" s="21">
        <f t="shared" ref="I339" si="612">SUM(B339:H339)</f>
        <v>28.675104480000002</v>
      </c>
      <c r="J339" s="19">
        <f t="shared" si="600"/>
        <v>2172</v>
      </c>
      <c r="K339" s="20"/>
      <c r="L339" s="20"/>
      <c r="M339" s="20"/>
      <c r="N339" s="20"/>
      <c r="O339" s="20"/>
      <c r="P339" s="20"/>
      <c r="Q339" s="21">
        <f t="shared" ref="Q339" si="613">SUM(J339:P339)</f>
        <v>2172</v>
      </c>
    </row>
    <row r="340" spans="1:17" x14ac:dyDescent="0.35">
      <c r="A340" s="3">
        <v>45517</v>
      </c>
      <c r="B340" s="19">
        <f>28675104.48/1000000</f>
        <v>28.675104480000002</v>
      </c>
      <c r="C340" s="20"/>
      <c r="D340" s="20"/>
      <c r="E340" s="20"/>
      <c r="F340" s="20"/>
      <c r="G340" s="20"/>
      <c r="H340" s="20"/>
      <c r="I340" s="21">
        <f t="shared" ref="I340" si="614">SUM(B340:H340)</f>
        <v>28.675104480000002</v>
      </c>
      <c r="J340" s="19">
        <f t="shared" si="600"/>
        <v>2172</v>
      </c>
      <c r="K340" s="20"/>
      <c r="L340" s="20"/>
      <c r="M340" s="20"/>
      <c r="N340" s="20"/>
      <c r="O340" s="20"/>
      <c r="P340" s="20"/>
      <c r="Q340" s="21">
        <f t="shared" ref="Q340" si="615">SUM(J340:P340)</f>
        <v>2172</v>
      </c>
    </row>
    <row r="341" spans="1:17" x14ac:dyDescent="0.35">
      <c r="A341" s="3">
        <v>45518</v>
      </c>
      <c r="B341" s="19">
        <f>28675104.48/1000000</f>
        <v>28.675104480000002</v>
      </c>
      <c r="C341" s="20"/>
      <c r="D341" s="20"/>
      <c r="E341" s="20"/>
      <c r="F341" s="20"/>
      <c r="G341" s="20"/>
      <c r="H341" s="20"/>
      <c r="I341" s="21">
        <f t="shared" ref="I341" si="616">SUM(B341:H341)</f>
        <v>28.675104480000002</v>
      </c>
      <c r="J341" s="19">
        <f t="shared" si="600"/>
        <v>2172</v>
      </c>
      <c r="K341" s="20"/>
      <c r="L341" s="20"/>
      <c r="M341" s="20"/>
      <c r="N341" s="20"/>
      <c r="O341" s="20"/>
      <c r="P341" s="20"/>
      <c r="Q341" s="21">
        <f t="shared" ref="Q341" si="617">SUM(J341:P341)</f>
        <v>2172</v>
      </c>
    </row>
    <row r="342" spans="1:17" x14ac:dyDescent="0.35">
      <c r="A342" s="3">
        <v>45519</v>
      </c>
      <c r="B342" s="19">
        <f>(19738934.28+1000+8528370.2)/1000000</f>
        <v>28.268304480000001</v>
      </c>
      <c r="C342" s="20"/>
      <c r="D342" s="20"/>
      <c r="E342" s="20"/>
      <c r="F342" s="20"/>
      <c r="G342" s="20"/>
      <c r="H342" s="20"/>
      <c r="I342" s="21">
        <f t="shared" ref="I342" si="618">SUM(B342:H342)</f>
        <v>28.268304480000001</v>
      </c>
      <c r="J342" s="19">
        <f t="shared" si="600"/>
        <v>2172</v>
      </c>
      <c r="K342" s="20"/>
      <c r="L342" s="20"/>
      <c r="M342" s="20"/>
      <c r="N342" s="20"/>
      <c r="O342" s="20"/>
      <c r="P342" s="20"/>
      <c r="Q342" s="21">
        <f t="shared" ref="Q342" si="619">SUM(J342:P342)</f>
        <v>2172</v>
      </c>
    </row>
    <row r="343" spans="1:17" x14ac:dyDescent="0.35">
      <c r="A343" s="3">
        <v>45520</v>
      </c>
      <c r="B343" s="19">
        <f>(19738934.28+1000+8528370.2)/1000000</f>
        <v>28.268304480000001</v>
      </c>
      <c r="C343" s="20"/>
      <c r="D343" s="20"/>
      <c r="E343" s="20"/>
      <c r="F343" s="20"/>
      <c r="G343" s="20"/>
      <c r="H343" s="20"/>
      <c r="I343" s="21">
        <f t="shared" ref="I343" si="620">SUM(B343:H343)</f>
        <v>28.268304480000001</v>
      </c>
      <c r="J343" s="19">
        <f t="shared" si="600"/>
        <v>2172</v>
      </c>
      <c r="K343" s="20"/>
      <c r="L343" s="20"/>
      <c r="M343" s="20"/>
      <c r="N343" s="20"/>
      <c r="O343" s="20"/>
      <c r="P343" s="20"/>
      <c r="Q343" s="21">
        <f t="shared" ref="Q343" si="621">SUM(J343:P343)</f>
        <v>2172</v>
      </c>
    </row>
    <row r="344" spans="1:17" x14ac:dyDescent="0.35">
      <c r="A344" s="3">
        <v>45523</v>
      </c>
      <c r="B344" s="19">
        <f>(19738934.28+1000+8528370.2)/1000000</f>
        <v>28.268304480000001</v>
      </c>
      <c r="C344" s="20"/>
      <c r="D344" s="20"/>
      <c r="E344" s="20"/>
      <c r="F344" s="20"/>
      <c r="G344" s="20"/>
      <c r="H344" s="20"/>
      <c r="I344" s="21">
        <f t="shared" ref="I344" si="622">SUM(B344:H344)</f>
        <v>28.268304480000001</v>
      </c>
      <c r="J344" s="19">
        <f t="shared" si="600"/>
        <v>2172</v>
      </c>
      <c r="K344" s="20"/>
      <c r="L344" s="20"/>
      <c r="M344" s="20"/>
      <c r="N344" s="20"/>
      <c r="O344" s="20"/>
      <c r="P344" s="20"/>
      <c r="Q344" s="21">
        <f t="shared" ref="Q344" si="623">SUM(J344:P344)</f>
        <v>2172</v>
      </c>
    </row>
    <row r="345" spans="1:17" x14ac:dyDescent="0.35">
      <c r="A345" s="3">
        <v>45524</v>
      </c>
      <c r="B345" s="19">
        <f>(19738934.28+1000+8524380.2)/1000000</f>
        <v>28.264314479999999</v>
      </c>
      <c r="C345" s="20"/>
      <c r="D345" s="20"/>
      <c r="E345" s="20"/>
      <c r="F345" s="20"/>
      <c r="G345" s="20"/>
      <c r="H345" s="20"/>
      <c r="I345" s="21">
        <f t="shared" ref="I345" si="624">SUM(B345:H345)</f>
        <v>28.264314479999999</v>
      </c>
      <c r="J345" s="19">
        <f t="shared" si="600"/>
        <v>2172</v>
      </c>
      <c r="K345" s="20"/>
      <c r="L345" s="20"/>
      <c r="M345" s="20"/>
      <c r="N345" s="20"/>
      <c r="O345" s="20"/>
      <c r="P345" s="20"/>
      <c r="Q345" s="21">
        <f t="shared" ref="Q345" si="625">SUM(J345:P345)</f>
        <v>2172</v>
      </c>
    </row>
    <row r="346" spans="1:17" x14ac:dyDescent="0.35">
      <c r="A346" s="3">
        <v>45525</v>
      </c>
      <c r="B346" s="19">
        <f>(19738934.28+1000+8422680.2)/1000000</f>
        <v>28.162614480000002</v>
      </c>
      <c r="C346" s="20"/>
      <c r="D346" s="20"/>
      <c r="E346" s="20"/>
      <c r="F346" s="20"/>
      <c r="G346" s="20"/>
      <c r="H346" s="20"/>
      <c r="I346" s="21">
        <f t="shared" ref="I346" si="626">SUM(B346:H346)</f>
        <v>28.162614480000002</v>
      </c>
      <c r="J346" s="19">
        <f t="shared" si="600"/>
        <v>2172</v>
      </c>
      <c r="K346" s="20"/>
      <c r="L346" s="20"/>
      <c r="M346" s="20"/>
      <c r="N346" s="20"/>
      <c r="O346" s="20"/>
      <c r="P346" s="20"/>
      <c r="Q346" s="21">
        <f t="shared" ref="Q346" si="627">SUM(J346:P346)</f>
        <v>2172</v>
      </c>
    </row>
    <row r="347" spans="1:17" x14ac:dyDescent="0.35">
      <c r="A347" s="3">
        <v>45526</v>
      </c>
      <c r="B347" s="19">
        <f>(19738934.28+1000+8422680.2)/1000000</f>
        <v>28.162614480000002</v>
      </c>
      <c r="C347" s="20"/>
      <c r="D347" s="20"/>
      <c r="E347" s="20"/>
      <c r="F347" s="20"/>
      <c r="G347" s="20"/>
      <c r="H347" s="20"/>
      <c r="I347" s="21">
        <f t="shared" ref="I347" si="628">SUM(B347:H347)</f>
        <v>28.162614480000002</v>
      </c>
      <c r="J347" s="19">
        <f t="shared" si="600"/>
        <v>2172</v>
      </c>
      <c r="K347" s="20"/>
      <c r="L347" s="20"/>
      <c r="M347" s="20"/>
      <c r="N347" s="20"/>
      <c r="O347" s="20"/>
      <c r="P347" s="20"/>
      <c r="Q347" s="21">
        <f t="shared" ref="Q347" si="629">SUM(J347:P347)</f>
        <v>2172</v>
      </c>
    </row>
    <row r="348" spans="1:17" x14ac:dyDescent="0.35">
      <c r="A348" s="3">
        <v>45527</v>
      </c>
      <c r="B348" s="19">
        <f>(19738934.28+1000+6181784.36)/1000000</f>
        <v>25.921718640000002</v>
      </c>
      <c r="C348" s="20"/>
      <c r="D348" s="20"/>
      <c r="E348" s="20"/>
      <c r="F348" s="20"/>
      <c r="G348" s="20"/>
      <c r="H348" s="20"/>
      <c r="I348" s="21">
        <f t="shared" ref="I348" si="630">SUM(B348:H348)</f>
        <v>25.921718640000002</v>
      </c>
      <c r="J348" s="19">
        <f t="shared" si="600"/>
        <v>2172</v>
      </c>
      <c r="K348" s="20"/>
      <c r="L348" s="20"/>
      <c r="M348" s="20"/>
      <c r="N348" s="20"/>
      <c r="O348" s="20"/>
      <c r="P348" s="20"/>
      <c r="Q348" s="21">
        <f t="shared" ref="Q348" si="631">SUM(J348:P348)</f>
        <v>2172</v>
      </c>
    </row>
    <row r="349" spans="1:17" x14ac:dyDescent="0.35">
      <c r="A349" s="3">
        <v>45530</v>
      </c>
      <c r="B349" s="19">
        <f>(18673442.48+1000+6181784.36)/1000000</f>
        <v>24.856226840000001</v>
      </c>
      <c r="C349" s="20"/>
      <c r="D349" s="20"/>
      <c r="E349" s="20"/>
      <c r="F349" s="20"/>
      <c r="G349" s="20"/>
      <c r="H349" s="20"/>
      <c r="I349" s="21">
        <f t="shared" ref="I349" si="632">SUM(B349:H349)</f>
        <v>24.856226840000001</v>
      </c>
      <c r="J349" s="19">
        <f t="shared" ref="J349:J354" si="633">(1875000000+307000000)/1000000</f>
        <v>2182</v>
      </c>
      <c r="K349" s="20"/>
      <c r="L349" s="20"/>
      <c r="M349" s="20"/>
      <c r="N349" s="20"/>
      <c r="O349" s="20"/>
      <c r="P349" s="20"/>
      <c r="Q349" s="21">
        <f t="shared" ref="Q349" si="634">SUM(J349:P349)</f>
        <v>2182</v>
      </c>
    </row>
    <row r="350" spans="1:17" x14ac:dyDescent="0.35">
      <c r="A350" s="3">
        <v>45531</v>
      </c>
      <c r="B350" s="19">
        <f>(18673442.48+1000+6161245.03)/1000000</f>
        <v>24.835687510000003</v>
      </c>
      <c r="C350" s="20"/>
      <c r="D350" s="20"/>
      <c r="E350" s="20"/>
      <c r="F350" s="20"/>
      <c r="G350" s="20"/>
      <c r="H350" s="20"/>
      <c r="I350" s="21">
        <f t="shared" ref="I350" si="635">SUM(B350:H350)</f>
        <v>24.835687510000003</v>
      </c>
      <c r="J350" s="19">
        <f t="shared" si="633"/>
        <v>2182</v>
      </c>
      <c r="K350" s="20"/>
      <c r="L350" s="20"/>
      <c r="M350" s="20"/>
      <c r="N350" s="20"/>
      <c r="O350" s="20"/>
      <c r="P350" s="20"/>
      <c r="Q350" s="21">
        <f t="shared" ref="Q350" si="636">SUM(J350:P350)</f>
        <v>2182</v>
      </c>
    </row>
    <row r="351" spans="1:17" x14ac:dyDescent="0.35">
      <c r="A351" s="3">
        <v>45532</v>
      </c>
      <c r="B351" s="19">
        <f>(18258578.27+1000+6161245.03)/1000000</f>
        <v>24.420823300000002</v>
      </c>
      <c r="C351" s="20"/>
      <c r="D351" s="20"/>
      <c r="E351" s="20"/>
      <c r="F351" s="20"/>
      <c r="G351" s="20"/>
      <c r="H351" s="20"/>
      <c r="I351" s="21">
        <f t="shared" ref="I351" si="637">SUM(B351:H351)</f>
        <v>24.420823300000002</v>
      </c>
      <c r="J351" s="19">
        <f t="shared" si="633"/>
        <v>2182</v>
      </c>
      <c r="K351" s="20"/>
      <c r="L351" s="20"/>
      <c r="M351" s="20"/>
      <c r="N351" s="20"/>
      <c r="O351" s="20"/>
      <c r="P351" s="20"/>
      <c r="Q351" s="21">
        <f t="shared" ref="Q351" si="638">SUM(J351:P351)</f>
        <v>2182</v>
      </c>
    </row>
    <row r="352" spans="1:17" x14ac:dyDescent="0.35">
      <c r="A352" s="3">
        <v>45533</v>
      </c>
      <c r="B352" s="19">
        <f>(18258578.27+1000+5993836.84)/1000000</f>
        <v>24.253415109999999</v>
      </c>
      <c r="C352" s="20"/>
      <c r="D352" s="20"/>
      <c r="E352" s="20"/>
      <c r="F352" s="20"/>
      <c r="G352" s="20"/>
      <c r="H352" s="20"/>
      <c r="I352" s="21">
        <f t="shared" ref="I352" si="639">SUM(B352:H352)</f>
        <v>24.253415109999999</v>
      </c>
      <c r="J352" s="19">
        <f t="shared" si="633"/>
        <v>2182</v>
      </c>
      <c r="K352" s="20"/>
      <c r="L352" s="20"/>
      <c r="M352" s="20"/>
      <c r="N352" s="20"/>
      <c r="O352" s="20"/>
      <c r="P352" s="20"/>
      <c r="Q352" s="21">
        <f t="shared" ref="Q352" si="640">SUM(J352:P352)</f>
        <v>2182</v>
      </c>
    </row>
    <row r="353" spans="1:17" x14ac:dyDescent="0.35">
      <c r="A353" s="3">
        <v>45534</v>
      </c>
      <c r="B353" s="19">
        <f>24128258.33/1000000</f>
        <v>24.128258329999998</v>
      </c>
      <c r="C353" s="20"/>
      <c r="D353" s="20"/>
      <c r="E353" s="20"/>
      <c r="F353" s="20"/>
      <c r="G353" s="20"/>
      <c r="H353" s="20"/>
      <c r="I353" s="21">
        <f t="shared" ref="I353" si="641">SUM(B353:H353)</f>
        <v>24.128258329999998</v>
      </c>
      <c r="J353" s="19">
        <f t="shared" si="633"/>
        <v>2182</v>
      </c>
      <c r="K353" s="20"/>
      <c r="L353" s="20"/>
      <c r="M353" s="20"/>
      <c r="N353" s="20"/>
      <c r="O353" s="20"/>
      <c r="P353" s="20"/>
      <c r="Q353" s="21">
        <f t="shared" ref="Q353" si="642">SUM(J353:P353)</f>
        <v>2182</v>
      </c>
    </row>
    <row r="354" spans="1:17" x14ac:dyDescent="0.35">
      <c r="A354" s="3">
        <v>45537</v>
      </c>
      <c r="B354" s="19">
        <f>29653342.66/1000000</f>
        <v>29.65334266</v>
      </c>
      <c r="C354" s="20"/>
      <c r="D354" s="20"/>
      <c r="E354" s="20"/>
      <c r="F354" s="20"/>
      <c r="G354" s="20"/>
      <c r="H354" s="20"/>
      <c r="I354" s="21">
        <f t="shared" ref="I354" si="643">SUM(B354:H354)</f>
        <v>29.65334266</v>
      </c>
      <c r="J354" s="19">
        <f t="shared" si="633"/>
        <v>2182</v>
      </c>
      <c r="K354" s="20"/>
      <c r="L354" s="20"/>
      <c r="M354" s="20"/>
      <c r="N354" s="20"/>
      <c r="O354" s="20"/>
      <c r="P354" s="20"/>
      <c r="Q354" s="21">
        <f t="shared" ref="Q354" si="644">SUM(J354:P354)</f>
        <v>2182</v>
      </c>
    </row>
    <row r="355" spans="1:17" x14ac:dyDescent="0.35">
      <c r="A355" s="3">
        <v>45538</v>
      </c>
      <c r="B355" s="19">
        <f>28672450.66/1000000</f>
        <v>28.672450659999999</v>
      </c>
      <c r="C355" s="20"/>
      <c r="D355" s="20"/>
      <c r="E355" s="20"/>
      <c r="F355" s="20"/>
      <c r="G355" s="20"/>
      <c r="H355" s="20"/>
      <c r="I355" s="21">
        <f t="shared" ref="I355" si="645">SUM(B355:H355)</f>
        <v>28.672450659999999</v>
      </c>
      <c r="J355" s="19">
        <f t="shared" ref="J355:J370" si="646">(1885000000+307000000)/1000000</f>
        <v>2192</v>
      </c>
      <c r="K355" s="20"/>
      <c r="L355" s="20"/>
      <c r="M355" s="20"/>
      <c r="N355" s="20"/>
      <c r="O355" s="20"/>
      <c r="P355" s="20"/>
      <c r="Q355" s="21">
        <f t="shared" ref="Q355" si="647">SUM(J355:P355)</f>
        <v>2192</v>
      </c>
    </row>
    <row r="356" spans="1:17" x14ac:dyDescent="0.35">
      <c r="A356" s="3">
        <v>45539</v>
      </c>
      <c r="B356" s="19">
        <f>28672450.66/1000000</f>
        <v>28.672450659999999</v>
      </c>
      <c r="C356" s="20"/>
      <c r="D356" s="20"/>
      <c r="E356" s="20"/>
      <c r="F356" s="20"/>
      <c r="G356" s="20"/>
      <c r="H356" s="20"/>
      <c r="I356" s="21">
        <f t="shared" ref="I356" si="648">SUM(B356:H356)</f>
        <v>28.672450659999999</v>
      </c>
      <c r="J356" s="19">
        <f t="shared" si="646"/>
        <v>2192</v>
      </c>
      <c r="K356" s="20"/>
      <c r="L356" s="20"/>
      <c r="M356" s="20"/>
      <c r="N356" s="20"/>
      <c r="O356" s="20"/>
      <c r="P356" s="20"/>
      <c r="Q356" s="21">
        <f t="shared" ref="Q356" si="649">SUM(J356:P356)</f>
        <v>2192</v>
      </c>
    </row>
    <row r="357" spans="1:17" x14ac:dyDescent="0.35">
      <c r="A357" s="3">
        <v>45540</v>
      </c>
      <c r="B357" s="19">
        <f>28304865.44/1000000</f>
        <v>28.30486544</v>
      </c>
      <c r="C357" s="20"/>
      <c r="D357" s="20"/>
      <c r="E357" s="20"/>
      <c r="F357" s="20"/>
      <c r="G357" s="20"/>
      <c r="H357" s="20"/>
      <c r="I357" s="21">
        <f t="shared" ref="I357" si="650">SUM(B357:H357)</f>
        <v>28.30486544</v>
      </c>
      <c r="J357" s="19">
        <f t="shared" si="646"/>
        <v>2192</v>
      </c>
      <c r="K357" s="20"/>
      <c r="L357" s="20"/>
      <c r="M357" s="20"/>
      <c r="N357" s="20"/>
      <c r="O357" s="20"/>
      <c r="P357" s="20"/>
      <c r="Q357" s="21">
        <f t="shared" ref="Q357" si="651">SUM(J357:P357)</f>
        <v>2192</v>
      </c>
    </row>
    <row r="358" spans="1:17" x14ac:dyDescent="0.35">
      <c r="A358" s="3">
        <v>45541</v>
      </c>
      <c r="B358" s="19">
        <f>28304865.44/1000000</f>
        <v>28.30486544</v>
      </c>
      <c r="C358" s="20"/>
      <c r="D358" s="20"/>
      <c r="E358" s="20"/>
      <c r="F358" s="20"/>
      <c r="G358" s="20"/>
      <c r="H358" s="20"/>
      <c r="I358" s="21">
        <f t="shared" ref="I358" si="652">SUM(B358:H358)</f>
        <v>28.30486544</v>
      </c>
      <c r="J358" s="19">
        <f t="shared" si="646"/>
        <v>2192</v>
      </c>
      <c r="K358" s="20"/>
      <c r="L358" s="20"/>
      <c r="M358" s="20"/>
      <c r="N358" s="20"/>
      <c r="O358" s="20"/>
      <c r="P358" s="20"/>
      <c r="Q358" s="21">
        <f t="shared" ref="Q358" si="653">SUM(J358:P358)</f>
        <v>2192</v>
      </c>
    </row>
    <row r="359" spans="1:17" x14ac:dyDescent="0.35">
      <c r="A359" s="3">
        <v>45544</v>
      </c>
      <c r="B359" s="19">
        <f>26674649.91/1000000</f>
        <v>26.674649909999999</v>
      </c>
      <c r="C359" s="20"/>
      <c r="D359" s="20"/>
      <c r="E359" s="20"/>
      <c r="F359" s="20"/>
      <c r="G359" s="20"/>
      <c r="H359" s="20"/>
      <c r="I359" s="21">
        <f t="shared" ref="I359" si="654">SUM(B359:H359)</f>
        <v>26.674649909999999</v>
      </c>
      <c r="J359" s="19">
        <f t="shared" si="646"/>
        <v>2192</v>
      </c>
      <c r="K359" s="20"/>
      <c r="L359" s="20"/>
      <c r="M359" s="20"/>
      <c r="N359" s="20"/>
      <c r="O359" s="20"/>
      <c r="P359" s="20"/>
      <c r="Q359" s="21">
        <f t="shared" ref="Q359" si="655">SUM(J359:P359)</f>
        <v>2192</v>
      </c>
    </row>
    <row r="360" spans="1:17" x14ac:dyDescent="0.35">
      <c r="A360" s="3">
        <v>45545</v>
      </c>
      <c r="B360" s="19">
        <f>33385916.61/1000000</f>
        <v>33.385916610000002</v>
      </c>
      <c r="C360" s="20"/>
      <c r="D360" s="20"/>
      <c r="E360" s="20"/>
      <c r="F360" s="20"/>
      <c r="G360" s="20"/>
      <c r="H360" s="20"/>
      <c r="I360" s="21">
        <f t="shared" ref="I360" si="656">SUM(B360:H360)</f>
        <v>33.385916610000002</v>
      </c>
      <c r="J360" s="19">
        <f t="shared" si="646"/>
        <v>2192</v>
      </c>
      <c r="K360" s="20"/>
      <c r="L360" s="20"/>
      <c r="M360" s="20"/>
      <c r="N360" s="20"/>
      <c r="O360" s="20"/>
      <c r="P360" s="20"/>
      <c r="Q360" s="21">
        <f t="shared" ref="Q360" si="657">SUM(J360:P360)</f>
        <v>2192</v>
      </c>
    </row>
    <row r="361" spans="1:17" x14ac:dyDescent="0.35">
      <c r="A361" s="3">
        <v>45546</v>
      </c>
      <c r="B361" s="19">
        <f>33385916.61/1000000</f>
        <v>33.385916610000002</v>
      </c>
      <c r="C361" s="20"/>
      <c r="D361" s="20"/>
      <c r="E361" s="20"/>
      <c r="F361" s="20"/>
      <c r="G361" s="20"/>
      <c r="H361" s="20"/>
      <c r="I361" s="21">
        <f t="shared" ref="I361" si="658">SUM(B361:H361)</f>
        <v>33.385916610000002</v>
      </c>
      <c r="J361" s="19">
        <f t="shared" si="646"/>
        <v>2192</v>
      </c>
      <c r="K361" s="20"/>
      <c r="L361" s="20"/>
      <c r="M361" s="20"/>
      <c r="N361" s="20"/>
      <c r="O361" s="20"/>
      <c r="P361" s="20"/>
      <c r="Q361" s="21">
        <f t="shared" ref="Q361" si="659">SUM(J361:P361)</f>
        <v>2192</v>
      </c>
    </row>
    <row r="362" spans="1:17" x14ac:dyDescent="0.35">
      <c r="A362" s="3">
        <v>45547</v>
      </c>
      <c r="B362" s="19">
        <f>33385916.61/1000000</f>
        <v>33.385916610000002</v>
      </c>
      <c r="C362" s="20"/>
      <c r="D362" s="20"/>
      <c r="E362" s="20"/>
      <c r="F362" s="20"/>
      <c r="G362" s="20"/>
      <c r="H362" s="20"/>
      <c r="I362" s="21">
        <f t="shared" ref="I362" si="660">SUM(B362:H362)</f>
        <v>33.385916610000002</v>
      </c>
      <c r="J362" s="19">
        <f t="shared" si="646"/>
        <v>2192</v>
      </c>
      <c r="K362" s="20"/>
      <c r="L362" s="20"/>
      <c r="M362" s="20"/>
      <c r="N362" s="20"/>
      <c r="O362" s="20"/>
      <c r="P362" s="20"/>
      <c r="Q362" s="21">
        <f t="shared" ref="Q362" si="661">SUM(J362:P362)</f>
        <v>2192</v>
      </c>
    </row>
    <row r="363" spans="1:17" x14ac:dyDescent="0.35">
      <c r="A363" s="3">
        <v>45548</v>
      </c>
      <c r="B363" s="19">
        <f>33285916.61/1000000</f>
        <v>33.285916610000001</v>
      </c>
      <c r="C363" s="20"/>
      <c r="D363" s="20"/>
      <c r="E363" s="20"/>
      <c r="F363" s="20"/>
      <c r="G363" s="20"/>
      <c r="H363" s="20"/>
      <c r="I363" s="21">
        <f t="shared" ref="I363" si="662">SUM(B363:H363)</f>
        <v>33.285916610000001</v>
      </c>
      <c r="J363" s="19">
        <f t="shared" si="646"/>
        <v>2192</v>
      </c>
      <c r="K363" s="20"/>
      <c r="L363" s="20"/>
      <c r="M363" s="20"/>
      <c r="N363" s="20"/>
      <c r="O363" s="20"/>
      <c r="P363" s="20"/>
      <c r="Q363" s="21">
        <f t="shared" ref="Q363" si="663">SUM(J363:P363)</f>
        <v>2192</v>
      </c>
    </row>
    <row r="364" spans="1:17" x14ac:dyDescent="0.35">
      <c r="A364" s="3">
        <v>45551</v>
      </c>
      <c r="B364" s="19">
        <f>33132308.19/1000000</f>
        <v>33.132308190000003</v>
      </c>
      <c r="C364" s="20"/>
      <c r="D364" s="20"/>
      <c r="E364" s="20"/>
      <c r="F364" s="20"/>
      <c r="G364" s="20"/>
      <c r="H364" s="20"/>
      <c r="I364" s="21">
        <f t="shared" ref="I364" si="664">SUM(B364:H364)</f>
        <v>33.132308190000003</v>
      </c>
      <c r="J364" s="19">
        <f t="shared" si="646"/>
        <v>2192</v>
      </c>
      <c r="K364" s="20"/>
      <c r="L364" s="20"/>
      <c r="M364" s="20"/>
      <c r="N364" s="20"/>
      <c r="O364" s="20"/>
      <c r="P364" s="20"/>
      <c r="Q364" s="21">
        <f t="shared" ref="Q364" si="665">SUM(J364:P364)</f>
        <v>2192</v>
      </c>
    </row>
    <row r="365" spans="1:17" x14ac:dyDescent="0.35">
      <c r="A365" s="3">
        <v>45552</v>
      </c>
      <c r="B365" s="19">
        <f>33093558.94/1000000</f>
        <v>33.093558940000001</v>
      </c>
      <c r="C365" s="20"/>
      <c r="D365" s="20"/>
      <c r="E365" s="20"/>
      <c r="F365" s="20"/>
      <c r="G365" s="20"/>
      <c r="H365" s="20"/>
      <c r="I365" s="21">
        <f t="shared" ref="I365" si="666">SUM(B365:H365)</f>
        <v>33.093558940000001</v>
      </c>
      <c r="J365" s="19">
        <f t="shared" si="646"/>
        <v>2192</v>
      </c>
      <c r="K365" s="20"/>
      <c r="L365" s="20"/>
      <c r="M365" s="20"/>
      <c r="N365" s="20"/>
      <c r="O365" s="20"/>
      <c r="P365" s="20"/>
      <c r="Q365" s="21">
        <f t="shared" ref="Q365" si="667">SUM(J365:P365)</f>
        <v>2192</v>
      </c>
    </row>
    <row r="366" spans="1:17" x14ac:dyDescent="0.35">
      <c r="A366" s="3">
        <v>45553</v>
      </c>
      <c r="B366" s="19">
        <f>33093558.94/1000000</f>
        <v>33.093558940000001</v>
      </c>
      <c r="C366" s="20"/>
      <c r="D366" s="20"/>
      <c r="E366" s="20"/>
      <c r="F366" s="20"/>
      <c r="G366" s="20"/>
      <c r="H366" s="20"/>
      <c r="I366" s="21">
        <f t="shared" ref="I366" si="668">SUM(B366:H366)</f>
        <v>33.093558940000001</v>
      </c>
      <c r="J366" s="19">
        <f t="shared" si="646"/>
        <v>2192</v>
      </c>
      <c r="K366" s="20"/>
      <c r="L366" s="20"/>
      <c r="M366" s="20"/>
      <c r="N366" s="20"/>
      <c r="O366" s="20"/>
      <c r="P366" s="20"/>
      <c r="Q366" s="21">
        <f t="shared" ref="Q366" si="669">SUM(J366:P366)</f>
        <v>2192</v>
      </c>
    </row>
    <row r="367" spans="1:17" x14ac:dyDescent="0.35">
      <c r="A367" s="3">
        <v>45554</v>
      </c>
      <c r="B367" s="19">
        <f>33071039.14/1000000</f>
        <v>33.071039140000003</v>
      </c>
      <c r="C367" s="20"/>
      <c r="D367" s="20"/>
      <c r="E367" s="20"/>
      <c r="F367" s="20"/>
      <c r="G367" s="20"/>
      <c r="H367" s="20"/>
      <c r="I367" s="21">
        <f t="shared" ref="I367" si="670">SUM(B367:H367)</f>
        <v>33.071039140000003</v>
      </c>
      <c r="J367" s="19">
        <f t="shared" si="646"/>
        <v>2192</v>
      </c>
      <c r="K367" s="20"/>
      <c r="L367" s="20"/>
      <c r="M367" s="20"/>
      <c r="N367" s="20"/>
      <c r="O367" s="20"/>
      <c r="P367" s="20"/>
      <c r="Q367" s="21">
        <f t="shared" ref="Q367" si="671">SUM(J367:P367)</f>
        <v>2192</v>
      </c>
    </row>
    <row r="368" spans="1:17" x14ac:dyDescent="0.35">
      <c r="A368" s="3">
        <v>45555</v>
      </c>
      <c r="B368" s="19">
        <f>33067049.14/1000000</f>
        <v>33.067049140000002</v>
      </c>
      <c r="C368" s="20"/>
      <c r="D368" s="20"/>
      <c r="E368" s="20"/>
      <c r="F368" s="20"/>
      <c r="G368" s="20"/>
      <c r="H368" s="20"/>
      <c r="I368" s="21">
        <f t="shared" ref="I368" si="672">SUM(B368:H368)</f>
        <v>33.067049140000002</v>
      </c>
      <c r="J368" s="19">
        <f t="shared" si="646"/>
        <v>2192</v>
      </c>
      <c r="K368" s="20"/>
      <c r="L368" s="20"/>
      <c r="M368" s="20"/>
      <c r="N368" s="20"/>
      <c r="O368" s="20"/>
      <c r="P368" s="20"/>
      <c r="Q368" s="21">
        <f t="shared" ref="Q368" si="673">SUM(J368:P368)</f>
        <v>2192</v>
      </c>
    </row>
    <row r="369" spans="1:17" x14ac:dyDescent="0.35">
      <c r="A369" s="3">
        <v>45558</v>
      </c>
      <c r="B369" s="19">
        <f>33067049.14/1000000</f>
        <v>33.067049140000002</v>
      </c>
      <c r="C369" s="20"/>
      <c r="D369" s="20"/>
      <c r="E369" s="20"/>
      <c r="F369" s="20"/>
      <c r="G369" s="20"/>
      <c r="H369" s="20"/>
      <c r="I369" s="21">
        <f t="shared" ref="I369" si="674">SUM(B369:H369)</f>
        <v>33.067049140000002</v>
      </c>
      <c r="J369" s="19">
        <f t="shared" si="646"/>
        <v>2192</v>
      </c>
      <c r="K369" s="20"/>
      <c r="L369" s="20"/>
      <c r="M369" s="20"/>
      <c r="N369" s="20"/>
      <c r="O369" s="20"/>
      <c r="P369" s="20"/>
      <c r="Q369" s="21">
        <f t="shared" ref="Q369" si="675">SUM(J369:P369)</f>
        <v>2192</v>
      </c>
    </row>
    <row r="370" spans="1:17" x14ac:dyDescent="0.35">
      <c r="A370" s="3">
        <v>45559</v>
      </c>
      <c r="B370" s="19">
        <f>(27301941.29+1000+3155214.64)/1000000</f>
        <v>30.45815593</v>
      </c>
      <c r="C370" s="20"/>
      <c r="D370" s="20"/>
      <c r="E370" s="20"/>
      <c r="F370" s="20"/>
      <c r="G370" s="20"/>
      <c r="H370" s="20"/>
      <c r="I370" s="21">
        <f t="shared" ref="I370" si="676">SUM(B370:H370)</f>
        <v>30.45815593</v>
      </c>
      <c r="J370" s="19">
        <f t="shared" si="646"/>
        <v>2192</v>
      </c>
      <c r="K370" s="20"/>
      <c r="L370" s="20"/>
      <c r="M370" s="20"/>
      <c r="N370" s="20"/>
      <c r="O370" s="20"/>
      <c r="P370" s="20"/>
      <c r="Q370" s="21">
        <f t="shared" ref="Q370" si="677">SUM(J370:P370)</f>
        <v>2192</v>
      </c>
    </row>
    <row r="371" spans="1:17" x14ac:dyDescent="0.35">
      <c r="A371" s="3">
        <v>45560</v>
      </c>
      <c r="B371" s="19">
        <f>(21600301.95+1000+3155214.64)/1000000</f>
        <v>24.75651659</v>
      </c>
      <c r="C371" s="20"/>
      <c r="D371" s="20"/>
      <c r="E371" s="20"/>
      <c r="F371" s="20"/>
      <c r="G371" s="20"/>
      <c r="H371" s="20"/>
      <c r="I371" s="21">
        <f t="shared" ref="I371" si="678">SUM(B371:H371)</f>
        <v>24.75651659</v>
      </c>
      <c r="J371" s="19">
        <f>(1895000000+307000000)/1000000</f>
        <v>2202</v>
      </c>
      <c r="K371" s="20"/>
      <c r="L371" s="20"/>
      <c r="M371" s="20"/>
      <c r="N371" s="20"/>
      <c r="O371" s="20"/>
      <c r="P371" s="20"/>
      <c r="Q371" s="21">
        <f t="shared" ref="Q371:Q376" si="679">SUM(J371:P371)</f>
        <v>2202</v>
      </c>
    </row>
    <row r="372" spans="1:17" x14ac:dyDescent="0.35">
      <c r="A372" s="3">
        <v>45561</v>
      </c>
      <c r="B372" s="19">
        <f>(21600301.95+1000+3129385.97)/1000000</f>
        <v>24.730687919999998</v>
      </c>
      <c r="C372" s="20"/>
      <c r="D372" s="20"/>
      <c r="E372" s="20"/>
      <c r="F372" s="20"/>
      <c r="G372" s="20"/>
      <c r="H372" s="20"/>
      <c r="I372" s="21">
        <f t="shared" ref="I372" si="680">SUM(B372:H372)</f>
        <v>24.730687919999998</v>
      </c>
      <c r="J372" s="19">
        <f>(1895000000+307000000)/1000000</f>
        <v>2202</v>
      </c>
      <c r="K372" s="20"/>
      <c r="L372" s="20"/>
      <c r="M372" s="20"/>
      <c r="N372" s="20"/>
      <c r="O372" s="20"/>
      <c r="P372" s="20"/>
      <c r="Q372" s="21">
        <f t="shared" si="679"/>
        <v>2202</v>
      </c>
    </row>
    <row r="373" spans="1:17" x14ac:dyDescent="0.35">
      <c r="A373" s="3">
        <v>45562</v>
      </c>
      <c r="B373" s="19">
        <f>(21600301.95+1000+3127351.97)/1000000</f>
        <v>24.728653919999999</v>
      </c>
      <c r="C373" s="20"/>
      <c r="D373" s="20"/>
      <c r="E373" s="20"/>
      <c r="F373" s="20"/>
      <c r="G373" s="20"/>
      <c r="H373" s="20"/>
      <c r="I373" s="21">
        <f t="shared" ref="I373" si="681">SUM(B373:H373)</f>
        <v>24.728653919999999</v>
      </c>
      <c r="J373" s="19">
        <f>(1895000000+307000000)/1000000</f>
        <v>2202</v>
      </c>
      <c r="K373" s="20"/>
      <c r="L373" s="20"/>
      <c r="M373" s="20"/>
      <c r="N373" s="20"/>
      <c r="O373" s="20"/>
      <c r="P373" s="20"/>
      <c r="Q373" s="21">
        <f t="shared" si="679"/>
        <v>2202</v>
      </c>
    </row>
    <row r="374" spans="1:17" x14ac:dyDescent="0.35">
      <c r="A374" s="3">
        <v>45565</v>
      </c>
      <c r="B374" s="19">
        <f>(25862801.95+73816386.86+307000000)/1000000</f>
        <v>406.67918881000003</v>
      </c>
      <c r="C374" s="20"/>
      <c r="D374" s="20"/>
      <c r="E374" s="20"/>
      <c r="F374" s="20"/>
      <c r="G374" s="20"/>
      <c r="H374" s="20"/>
      <c r="I374" s="21">
        <f t="shared" ref="I374" si="682">SUM(B374:H374)</f>
        <v>406.67918881000003</v>
      </c>
      <c r="J374" s="19">
        <f>(1900000000)/1000000</f>
        <v>1900</v>
      </c>
      <c r="K374" s="20"/>
      <c r="L374" s="20"/>
      <c r="M374" s="20"/>
      <c r="N374" s="20"/>
      <c r="O374" s="20"/>
      <c r="P374" s="20"/>
      <c r="Q374" s="21">
        <f t="shared" si="679"/>
        <v>1900</v>
      </c>
    </row>
    <row r="375" spans="1:17" x14ac:dyDescent="0.35">
      <c r="A375" s="3">
        <v>45566</v>
      </c>
      <c r="B375" s="19">
        <f>(25711205.95+3792862.67)/1000000</f>
        <v>29.504068619999998</v>
      </c>
      <c r="C375" s="20"/>
      <c r="D375" s="20"/>
      <c r="E375" s="20"/>
      <c r="F375" s="20"/>
      <c r="G375" s="20"/>
      <c r="H375" s="20"/>
      <c r="I375" s="21">
        <f t="shared" ref="I375" si="683">SUM(B375:H375)</f>
        <v>29.504068619999998</v>
      </c>
      <c r="J375" s="19">
        <f>(1970000000+307000000)/1000000</f>
        <v>2277</v>
      </c>
      <c r="K375" s="20"/>
      <c r="L375" s="20"/>
      <c r="M375" s="20"/>
      <c r="N375" s="20"/>
      <c r="O375" s="20"/>
      <c r="P375" s="20"/>
      <c r="Q375" s="21">
        <f t="shared" si="679"/>
        <v>2277</v>
      </c>
    </row>
    <row r="376" spans="1:17" x14ac:dyDescent="0.35">
      <c r="A376" s="3">
        <v>45567</v>
      </c>
      <c r="B376" s="19">
        <f>(25711205.95+3792862.67)/1000000</f>
        <v>29.504068619999998</v>
      </c>
      <c r="C376" s="20"/>
      <c r="D376" s="20"/>
      <c r="E376" s="20"/>
      <c r="F376" s="20"/>
      <c r="G376" s="20"/>
      <c r="H376" s="20"/>
      <c r="I376" s="21">
        <f t="shared" ref="I376" si="684">SUM(B376:H376)</f>
        <v>29.504068619999998</v>
      </c>
      <c r="J376" s="19">
        <f>(1970000000+307000000)/1000000</f>
        <v>2277</v>
      </c>
      <c r="K376" s="20"/>
      <c r="L376" s="20"/>
      <c r="M376" s="20"/>
      <c r="N376" s="20"/>
      <c r="O376" s="20"/>
      <c r="P376" s="20"/>
      <c r="Q376" s="21">
        <f t="shared" si="679"/>
        <v>2277</v>
      </c>
    </row>
    <row r="377" spans="1:17" x14ac:dyDescent="0.35">
      <c r="A377" s="3">
        <v>45568</v>
      </c>
      <c r="B377" s="19">
        <f>(16693992.84+3634527.67)/1000000</f>
        <v>20.328520509999997</v>
      </c>
      <c r="C377" s="20"/>
      <c r="D377" s="20"/>
      <c r="E377" s="20"/>
      <c r="F377" s="20"/>
      <c r="G377" s="20"/>
      <c r="H377" s="20"/>
      <c r="I377" s="21">
        <f t="shared" ref="I377" si="685">SUM(B377:H377)</f>
        <v>20.328520509999997</v>
      </c>
      <c r="J377" s="19">
        <f t="shared" ref="J377:J388" si="686">(1995000000+307000000)/1000000</f>
        <v>2302</v>
      </c>
      <c r="K377" s="20"/>
      <c r="L377" s="20"/>
      <c r="M377" s="20"/>
      <c r="N377" s="20"/>
      <c r="O377" s="20"/>
      <c r="P377" s="20"/>
      <c r="Q377" s="21">
        <f t="shared" ref="Q377" si="687">SUM(J377:P377)</f>
        <v>2302</v>
      </c>
    </row>
    <row r="378" spans="1:17" x14ac:dyDescent="0.35">
      <c r="A378" s="3">
        <v>45569</v>
      </c>
      <c r="B378" s="19">
        <f>20195076.22/1000000</f>
        <v>20.195076219999997</v>
      </c>
      <c r="C378" s="20"/>
      <c r="D378" s="20"/>
      <c r="E378" s="20"/>
      <c r="F378" s="20"/>
      <c r="G378" s="20"/>
      <c r="H378" s="20"/>
      <c r="I378" s="21">
        <f t="shared" ref="I378" si="688">SUM(B378:H378)</f>
        <v>20.195076219999997</v>
      </c>
      <c r="J378" s="19">
        <f t="shared" si="686"/>
        <v>2302</v>
      </c>
      <c r="K378" s="20"/>
      <c r="L378" s="20"/>
      <c r="M378" s="20"/>
      <c r="N378" s="20"/>
      <c r="O378" s="20"/>
      <c r="P378" s="20"/>
      <c r="Q378" s="21">
        <f t="shared" ref="Q378" si="689">SUM(J378:P378)</f>
        <v>2302</v>
      </c>
    </row>
    <row r="379" spans="1:17" x14ac:dyDescent="0.35">
      <c r="A379" s="3">
        <v>45572</v>
      </c>
      <c r="B379" s="19">
        <f>20119051.22/1000000</f>
        <v>20.119051219999999</v>
      </c>
      <c r="C379" s="20"/>
      <c r="D379" s="20"/>
      <c r="E379" s="20"/>
      <c r="F379" s="20"/>
      <c r="G379" s="20"/>
      <c r="H379" s="20"/>
      <c r="I379" s="21">
        <f t="shared" ref="I379" si="690">SUM(B379:H379)</f>
        <v>20.119051219999999</v>
      </c>
      <c r="J379" s="19">
        <f t="shared" si="686"/>
        <v>2302</v>
      </c>
      <c r="K379" s="20"/>
      <c r="L379" s="20"/>
      <c r="M379" s="20"/>
      <c r="N379" s="20"/>
      <c r="O379" s="20"/>
      <c r="P379" s="20"/>
      <c r="Q379" s="21">
        <f t="shared" ref="Q379" si="691">SUM(J379:P379)</f>
        <v>2302</v>
      </c>
    </row>
    <row r="380" spans="1:17" x14ac:dyDescent="0.35">
      <c r="A380" s="3">
        <v>45573</v>
      </c>
      <c r="B380" s="19">
        <f>20074051.22/1000000</f>
        <v>20.074051219999998</v>
      </c>
      <c r="C380" s="20"/>
      <c r="D380" s="20"/>
      <c r="E380" s="20"/>
      <c r="F380" s="20"/>
      <c r="G380" s="20"/>
      <c r="H380" s="20"/>
      <c r="I380" s="21">
        <f t="shared" ref="I380" si="692">SUM(B380:H380)</f>
        <v>20.074051219999998</v>
      </c>
      <c r="J380" s="19">
        <f t="shared" si="686"/>
        <v>2302</v>
      </c>
      <c r="K380" s="20"/>
      <c r="L380" s="20"/>
      <c r="M380" s="20"/>
      <c r="N380" s="20"/>
      <c r="O380" s="20"/>
      <c r="P380" s="20"/>
      <c r="Q380" s="21">
        <f t="shared" ref="Q380" si="693">SUM(J380:P380)</f>
        <v>2302</v>
      </c>
    </row>
    <row r="381" spans="1:17" x14ac:dyDescent="0.35">
      <c r="A381" s="3">
        <v>45574</v>
      </c>
      <c r="B381" s="19">
        <f>22729416.66/1000000</f>
        <v>22.729416660000002</v>
      </c>
      <c r="C381" s="20"/>
      <c r="D381" s="20"/>
      <c r="E381" s="20"/>
      <c r="F381" s="20"/>
      <c r="G381" s="20"/>
      <c r="H381" s="20"/>
      <c r="I381" s="21">
        <f t="shared" ref="I381" si="694">SUM(B381:H381)</f>
        <v>22.729416660000002</v>
      </c>
      <c r="J381" s="19">
        <f t="shared" si="686"/>
        <v>2302</v>
      </c>
      <c r="K381" s="20"/>
      <c r="L381" s="20"/>
      <c r="M381" s="20"/>
      <c r="N381" s="20"/>
      <c r="O381" s="20"/>
      <c r="P381" s="20"/>
      <c r="Q381" s="21">
        <f t="shared" ref="Q381" si="695">SUM(J381:P381)</f>
        <v>2302</v>
      </c>
    </row>
    <row r="382" spans="1:17" x14ac:dyDescent="0.35">
      <c r="A382" s="3">
        <v>45575</v>
      </c>
      <c r="B382" s="19">
        <f>22724504.95/1000000</f>
        <v>22.72450495</v>
      </c>
      <c r="C382" s="20"/>
      <c r="D382" s="20"/>
      <c r="E382" s="20"/>
      <c r="F382" s="20"/>
      <c r="G382" s="20"/>
      <c r="H382" s="20"/>
      <c r="I382" s="21">
        <f t="shared" ref="I382" si="696">SUM(B382:H382)</f>
        <v>22.72450495</v>
      </c>
      <c r="J382" s="19">
        <f t="shared" si="686"/>
        <v>2302</v>
      </c>
      <c r="K382" s="20"/>
      <c r="L382" s="20"/>
      <c r="M382" s="20"/>
      <c r="N382" s="20"/>
      <c r="O382" s="20"/>
      <c r="P382" s="20"/>
      <c r="Q382" s="21">
        <f t="shared" ref="Q382" si="697">SUM(J382:P382)</f>
        <v>2302</v>
      </c>
    </row>
    <row r="383" spans="1:17" x14ac:dyDescent="0.35">
      <c r="A383" s="3">
        <v>45576</v>
      </c>
      <c r="B383" s="19">
        <f>22421828.95/1000000</f>
        <v>22.421828949999998</v>
      </c>
      <c r="C383" s="20"/>
      <c r="D383" s="20"/>
      <c r="E383" s="20"/>
      <c r="F383" s="20"/>
      <c r="G383" s="20"/>
      <c r="H383" s="20"/>
      <c r="I383" s="21">
        <f t="shared" ref="I383" si="698">SUM(B383:H383)</f>
        <v>22.421828949999998</v>
      </c>
      <c r="J383" s="19">
        <f t="shared" si="686"/>
        <v>2302</v>
      </c>
      <c r="K383" s="20"/>
      <c r="L383" s="20"/>
      <c r="M383" s="20"/>
      <c r="N383" s="20"/>
      <c r="O383" s="20"/>
      <c r="P383" s="20"/>
      <c r="Q383" s="21">
        <f t="shared" ref="Q383" si="699">SUM(J383:P383)</f>
        <v>2302</v>
      </c>
    </row>
    <row r="384" spans="1:17" x14ac:dyDescent="0.35">
      <c r="A384" s="3">
        <v>45579</v>
      </c>
      <c r="B384" s="19">
        <f>22421828.95/1000000</f>
        <v>22.421828949999998</v>
      </c>
      <c r="C384" s="20"/>
      <c r="D384" s="20"/>
      <c r="E384" s="20"/>
      <c r="F384" s="20"/>
      <c r="G384" s="20"/>
      <c r="H384" s="20"/>
      <c r="I384" s="21">
        <f t="shared" ref="I384" si="700">SUM(B384:H384)</f>
        <v>22.421828949999998</v>
      </c>
      <c r="J384" s="19">
        <f t="shared" si="686"/>
        <v>2302</v>
      </c>
      <c r="K384" s="20"/>
      <c r="L384" s="20"/>
      <c r="M384" s="20"/>
      <c r="N384" s="20"/>
      <c r="O384" s="20"/>
      <c r="P384" s="20"/>
      <c r="Q384" s="21">
        <f t="shared" ref="Q384" si="701">SUM(J384:P384)</f>
        <v>2302</v>
      </c>
    </row>
    <row r="385" spans="1:17" x14ac:dyDescent="0.35">
      <c r="A385" s="3">
        <v>45580</v>
      </c>
      <c r="B385" s="19">
        <f>22421828.95/1000000</f>
        <v>22.421828949999998</v>
      </c>
      <c r="C385" s="20"/>
      <c r="D385" s="20"/>
      <c r="E385" s="20"/>
      <c r="F385" s="20"/>
      <c r="G385" s="20"/>
      <c r="H385" s="20"/>
      <c r="I385" s="21">
        <f t="shared" ref="I385" si="702">SUM(B385:H385)</f>
        <v>22.421828949999998</v>
      </c>
      <c r="J385" s="19">
        <f t="shared" si="686"/>
        <v>2302</v>
      </c>
      <c r="K385" s="20"/>
      <c r="L385" s="20"/>
      <c r="M385" s="20"/>
      <c r="N385" s="20"/>
      <c r="O385" s="20"/>
      <c r="P385" s="20"/>
      <c r="Q385" s="21">
        <f t="shared" ref="Q385" si="703">SUM(J385:P385)</f>
        <v>2302</v>
      </c>
    </row>
    <row r="386" spans="1:17" x14ac:dyDescent="0.35">
      <c r="A386" s="3">
        <v>45581</v>
      </c>
      <c r="B386" s="19">
        <f>20809144.95/1000000</f>
        <v>20.80914495</v>
      </c>
      <c r="C386" s="20"/>
      <c r="D386" s="20"/>
      <c r="E386" s="20"/>
      <c r="F386" s="20"/>
      <c r="G386" s="20"/>
      <c r="H386" s="20"/>
      <c r="I386" s="21">
        <f t="shared" ref="I386" si="704">SUM(B386:H386)</f>
        <v>20.80914495</v>
      </c>
      <c r="J386" s="19">
        <f t="shared" si="686"/>
        <v>2302</v>
      </c>
      <c r="K386" s="20"/>
      <c r="L386" s="20"/>
      <c r="M386" s="20"/>
      <c r="N386" s="20"/>
      <c r="O386" s="20"/>
      <c r="P386" s="20"/>
      <c r="Q386" s="21">
        <f t="shared" ref="Q386" si="705">SUM(J386:P386)</f>
        <v>2302</v>
      </c>
    </row>
    <row r="387" spans="1:17" x14ac:dyDescent="0.35">
      <c r="A387" s="3">
        <v>45582</v>
      </c>
      <c r="B387" s="19">
        <f>20793444.95/1000000</f>
        <v>20.793444949999998</v>
      </c>
      <c r="C387" s="20"/>
      <c r="D387" s="20"/>
      <c r="E387" s="20"/>
      <c r="F387" s="20"/>
      <c r="G387" s="20"/>
      <c r="H387" s="20"/>
      <c r="I387" s="21">
        <f t="shared" ref="I387" si="706">SUM(B387:H387)</f>
        <v>20.793444949999998</v>
      </c>
      <c r="J387" s="19">
        <f t="shared" si="686"/>
        <v>2302</v>
      </c>
      <c r="K387" s="20"/>
      <c r="L387" s="20"/>
      <c r="M387" s="20"/>
      <c r="N387" s="20"/>
      <c r="O387" s="20"/>
      <c r="P387" s="20"/>
      <c r="Q387" s="21">
        <f t="shared" ref="Q387" si="707">SUM(J387:P387)</f>
        <v>2302</v>
      </c>
    </row>
    <row r="388" spans="1:17" x14ac:dyDescent="0.35">
      <c r="A388" s="3">
        <v>45583</v>
      </c>
      <c r="B388" s="19">
        <f>20752765.97/1000000</f>
        <v>20.752765969999999</v>
      </c>
      <c r="C388" s="20"/>
      <c r="D388" s="20"/>
      <c r="E388" s="20"/>
      <c r="F388" s="20"/>
      <c r="G388" s="20"/>
      <c r="H388" s="20"/>
      <c r="I388" s="21">
        <f t="shared" ref="I388" si="708">SUM(B388:H388)</f>
        <v>20.752765969999999</v>
      </c>
      <c r="J388" s="19">
        <f t="shared" si="686"/>
        <v>2302</v>
      </c>
      <c r="K388" s="20"/>
      <c r="L388" s="20"/>
      <c r="M388" s="20"/>
      <c r="N388" s="20"/>
      <c r="O388" s="20"/>
      <c r="P388" s="20"/>
      <c r="Q388" s="21">
        <f t="shared" ref="Q388" si="709">SUM(J388:P388)</f>
        <v>2302</v>
      </c>
    </row>
    <row r="389" spans="1:17" x14ac:dyDescent="0.35">
      <c r="A389" s="3">
        <v>45586</v>
      </c>
      <c r="B389" s="19">
        <f>32946250.86/1000000</f>
        <v>32.946250859999999</v>
      </c>
      <c r="C389" s="20"/>
      <c r="D389" s="20"/>
      <c r="E389" s="20"/>
      <c r="F389" s="20"/>
      <c r="G389" s="20"/>
      <c r="H389" s="20"/>
      <c r="I389" s="21">
        <f t="shared" ref="I389" si="710">SUM(B389:H389)</f>
        <v>32.946250859999999</v>
      </c>
      <c r="J389" s="19">
        <f>(1945000000+307000000)/1000000</f>
        <v>2252</v>
      </c>
      <c r="K389" s="20"/>
      <c r="L389" s="20"/>
      <c r="M389" s="20"/>
      <c r="N389" s="20"/>
      <c r="O389" s="20"/>
      <c r="P389" s="20"/>
      <c r="Q389" s="21">
        <f t="shared" ref="Q389" si="711">SUM(J389:P389)</f>
        <v>2252</v>
      </c>
    </row>
    <row r="390" spans="1:17" x14ac:dyDescent="0.35">
      <c r="A390" s="3">
        <v>45587</v>
      </c>
      <c r="B390" s="19">
        <f>32850097.19/1000000</f>
        <v>32.85009719</v>
      </c>
      <c r="C390" s="20"/>
      <c r="D390" s="20"/>
      <c r="E390" s="20"/>
      <c r="F390" s="20"/>
      <c r="G390" s="20"/>
      <c r="H390" s="20"/>
      <c r="I390" s="21">
        <f t="shared" ref="I390" si="712">SUM(B390:H390)</f>
        <v>32.85009719</v>
      </c>
      <c r="J390" s="19">
        <f>(1945000000+307000000)/1000000</f>
        <v>2252</v>
      </c>
      <c r="K390" s="20"/>
      <c r="L390" s="20"/>
      <c r="M390" s="20"/>
      <c r="N390" s="20"/>
      <c r="O390" s="20"/>
      <c r="P390" s="20"/>
      <c r="Q390" s="21">
        <f t="shared" ref="Q390" si="713">SUM(J390:P390)</f>
        <v>2252</v>
      </c>
    </row>
    <row r="391" spans="1:17" x14ac:dyDescent="0.35">
      <c r="A391" s="3">
        <v>45588</v>
      </c>
      <c r="B391" s="19">
        <f>32815722.59/1000000</f>
        <v>32.81572259</v>
      </c>
      <c r="C391" s="20"/>
      <c r="D391" s="20"/>
      <c r="E391" s="20"/>
      <c r="F391" s="20"/>
      <c r="G391" s="20"/>
      <c r="H391" s="20"/>
      <c r="I391" s="21">
        <f t="shared" ref="I391" si="714">SUM(B391:H391)</f>
        <v>32.81572259</v>
      </c>
      <c r="J391" s="19">
        <f>(1945000000+307000000)/1000000</f>
        <v>2252</v>
      </c>
      <c r="K391" s="20"/>
      <c r="L391" s="20"/>
      <c r="M391" s="20"/>
      <c r="N391" s="20"/>
      <c r="O391" s="20"/>
      <c r="P391" s="20"/>
      <c r="Q391" s="21">
        <f t="shared" ref="Q391" si="715">SUM(J391:P391)</f>
        <v>2252</v>
      </c>
    </row>
    <row r="392" spans="1:17" x14ac:dyDescent="0.35">
      <c r="A392" s="3">
        <v>45589</v>
      </c>
      <c r="B392" s="19">
        <f>24974417.57/1000000</f>
        <v>24.97441757</v>
      </c>
      <c r="C392" s="20"/>
      <c r="D392" s="20"/>
      <c r="E392" s="20"/>
      <c r="F392" s="20"/>
      <c r="G392" s="20"/>
      <c r="H392" s="20"/>
      <c r="I392" s="21">
        <f t="shared" ref="I392" si="716">SUM(B392:H392)</f>
        <v>24.97441757</v>
      </c>
      <c r="J392" s="19">
        <f>(1945000000+307000000)/1000000</f>
        <v>2252</v>
      </c>
      <c r="K392" s="20"/>
      <c r="L392" s="20"/>
      <c r="M392" s="20"/>
      <c r="N392" s="20"/>
      <c r="O392" s="20"/>
      <c r="P392" s="20"/>
      <c r="Q392" s="21">
        <f t="shared" ref="Q392" si="717">SUM(J392:P392)</f>
        <v>2252</v>
      </c>
    </row>
    <row r="393" spans="1:17" x14ac:dyDescent="0.35">
      <c r="A393" s="3">
        <v>45590</v>
      </c>
      <c r="B393" s="19">
        <f>24974417.57/1000000</f>
        <v>24.97441757</v>
      </c>
      <c r="C393" s="20"/>
      <c r="D393" s="20"/>
      <c r="E393" s="20"/>
      <c r="F393" s="20"/>
      <c r="G393" s="20"/>
      <c r="H393" s="20"/>
      <c r="I393" s="21">
        <f t="shared" ref="I393" si="718">SUM(B393:H393)</f>
        <v>24.97441757</v>
      </c>
      <c r="J393" s="19">
        <f t="shared" ref="J393:J399" si="719">(1455000000+307000000)/1000000</f>
        <v>1762</v>
      </c>
      <c r="K393" s="20"/>
      <c r="L393" s="20"/>
      <c r="M393" s="20"/>
      <c r="N393" s="20"/>
      <c r="O393" s="20"/>
      <c r="P393" s="20"/>
      <c r="Q393" s="21">
        <f t="shared" ref="Q393" si="720">SUM(J393:P393)</f>
        <v>1762</v>
      </c>
    </row>
    <row r="394" spans="1:17" x14ac:dyDescent="0.35">
      <c r="A394" s="3">
        <v>45593</v>
      </c>
      <c r="B394" s="19">
        <f>24974417.57/1000000</f>
        <v>24.97441757</v>
      </c>
      <c r="C394" s="20"/>
      <c r="D394" s="20"/>
      <c r="E394" s="20"/>
      <c r="F394" s="20"/>
      <c r="G394" s="20"/>
      <c r="H394" s="20"/>
      <c r="I394" s="21">
        <f t="shared" ref="I394" si="721">SUM(B394:H394)</f>
        <v>24.97441757</v>
      </c>
      <c r="J394" s="19">
        <f t="shared" si="719"/>
        <v>1762</v>
      </c>
      <c r="K394" s="20"/>
      <c r="L394" s="20"/>
      <c r="M394" s="20"/>
      <c r="N394" s="20"/>
      <c r="O394" s="20"/>
      <c r="P394" s="20"/>
      <c r="Q394" s="21">
        <f t="shared" ref="Q394" si="722">SUM(J394:P394)</f>
        <v>1762</v>
      </c>
    </row>
    <row r="395" spans="1:17" x14ac:dyDescent="0.35">
      <c r="A395" s="3">
        <v>45594</v>
      </c>
      <c r="B395" s="19">
        <f>24960517.57/1000000</f>
        <v>24.96051757</v>
      </c>
      <c r="C395" s="20"/>
      <c r="D395" s="20"/>
      <c r="E395" s="20"/>
      <c r="F395" s="20"/>
      <c r="G395" s="20"/>
      <c r="H395" s="20"/>
      <c r="I395" s="21">
        <f t="shared" ref="I395" si="723">SUM(B395:H395)</f>
        <v>24.96051757</v>
      </c>
      <c r="J395" s="19">
        <f t="shared" si="719"/>
        <v>1762</v>
      </c>
      <c r="K395" s="20"/>
      <c r="L395" s="20"/>
      <c r="M395" s="20"/>
      <c r="N395" s="20"/>
      <c r="O395" s="20"/>
      <c r="P395" s="20"/>
      <c r="Q395" s="21">
        <f t="shared" ref="Q395" si="724">SUM(J395:P395)</f>
        <v>1762</v>
      </c>
    </row>
    <row r="396" spans="1:17" x14ac:dyDescent="0.35">
      <c r="A396" s="3">
        <v>45595</v>
      </c>
      <c r="B396" s="19">
        <f>24960517.57/1000000</f>
        <v>24.96051757</v>
      </c>
      <c r="C396" s="20"/>
      <c r="D396" s="20"/>
      <c r="E396" s="20"/>
      <c r="F396" s="20"/>
      <c r="G396" s="20"/>
      <c r="H396" s="20"/>
      <c r="I396" s="21">
        <f t="shared" ref="I396" si="725">SUM(B396:H396)</f>
        <v>24.96051757</v>
      </c>
      <c r="J396" s="19">
        <f t="shared" si="719"/>
        <v>1762</v>
      </c>
      <c r="K396" s="20"/>
      <c r="L396" s="20"/>
      <c r="M396" s="20"/>
      <c r="N396" s="20"/>
      <c r="O396" s="20"/>
      <c r="P396" s="20"/>
      <c r="Q396" s="21">
        <f t="shared" ref="Q396" si="726">SUM(J396:P396)</f>
        <v>1762</v>
      </c>
    </row>
    <row r="397" spans="1:17" x14ac:dyDescent="0.35">
      <c r="A397" s="3">
        <v>45596</v>
      </c>
      <c r="B397" s="19">
        <f>26415399.01/1000000</f>
        <v>26.415399010000002</v>
      </c>
      <c r="C397" s="20"/>
      <c r="D397" s="20"/>
      <c r="E397" s="20"/>
      <c r="F397" s="20"/>
      <c r="G397" s="20"/>
      <c r="H397" s="20"/>
      <c r="I397" s="21">
        <f t="shared" ref="I397" si="727">SUM(B397:H397)</f>
        <v>26.415399010000002</v>
      </c>
      <c r="J397" s="19">
        <f t="shared" si="719"/>
        <v>1762</v>
      </c>
      <c r="K397" s="20"/>
      <c r="L397" s="20"/>
      <c r="M397" s="20"/>
      <c r="N397" s="20"/>
      <c r="O397" s="20"/>
      <c r="P397" s="20"/>
      <c r="Q397" s="21">
        <f t="shared" ref="Q397" si="728">SUM(J397:P397)</f>
        <v>1762</v>
      </c>
    </row>
    <row r="398" spans="1:17" x14ac:dyDescent="0.35">
      <c r="A398" s="3">
        <v>45597</v>
      </c>
      <c r="B398" s="19">
        <f>26413532.01/1000000</f>
        <v>26.413532010000001</v>
      </c>
      <c r="C398" s="20"/>
      <c r="D398" s="20"/>
      <c r="E398" s="20"/>
      <c r="F398" s="20"/>
      <c r="G398" s="20"/>
      <c r="H398" s="20"/>
      <c r="I398" s="21">
        <f t="shared" ref="I398" si="729">SUM(B398:H398)</f>
        <v>26.413532010000001</v>
      </c>
      <c r="J398" s="19">
        <f t="shared" si="719"/>
        <v>1762</v>
      </c>
      <c r="K398" s="20"/>
      <c r="L398" s="20"/>
      <c r="M398" s="20"/>
      <c r="N398" s="20"/>
      <c r="O398" s="20"/>
      <c r="P398" s="20"/>
      <c r="Q398" s="21">
        <f t="shared" ref="Q398" si="730">SUM(J398:P398)</f>
        <v>1762</v>
      </c>
    </row>
    <row r="399" spans="1:17" x14ac:dyDescent="0.35">
      <c r="A399" s="3">
        <v>45598</v>
      </c>
      <c r="B399" s="19">
        <f>26413532.01/1000000</f>
        <v>26.413532010000001</v>
      </c>
      <c r="C399" s="20"/>
      <c r="D399" s="20"/>
      <c r="E399" s="20"/>
      <c r="F399" s="20"/>
      <c r="G399" s="20"/>
      <c r="H399" s="20"/>
      <c r="I399" s="21">
        <f t="shared" ref="I399" si="731">SUM(B399:H399)</f>
        <v>26.413532010000001</v>
      </c>
      <c r="J399" s="19">
        <f t="shared" si="719"/>
        <v>1762</v>
      </c>
      <c r="K399" s="20"/>
      <c r="L399" s="20"/>
      <c r="M399" s="20"/>
      <c r="N399" s="20"/>
      <c r="O399" s="20"/>
      <c r="P399" s="20"/>
      <c r="Q399" s="21">
        <f t="shared" ref="Q399" si="732">SUM(J399:P399)</f>
        <v>1762</v>
      </c>
    </row>
    <row r="400" spans="1:17" x14ac:dyDescent="0.35">
      <c r="A400" s="3">
        <v>45601</v>
      </c>
      <c r="B400" s="19">
        <f>(24225677.86 +5179692.84)/1000000</f>
        <v>29.405370699999999</v>
      </c>
      <c r="C400" s="20"/>
      <c r="D400" s="20"/>
      <c r="E400" s="20"/>
      <c r="F400" s="20"/>
      <c r="G400" s="20"/>
      <c r="H400" s="20"/>
      <c r="I400" s="21">
        <f t="shared" ref="I400" si="733">SUM(B400:H400)</f>
        <v>29.405370699999999</v>
      </c>
      <c r="J400" s="19">
        <f t="shared" ref="J400:J418" si="734">(1470000000+307000000)/1000000</f>
        <v>1777</v>
      </c>
      <c r="K400" s="20"/>
      <c r="L400" s="20"/>
      <c r="M400" s="20"/>
      <c r="N400" s="20"/>
      <c r="O400" s="20"/>
      <c r="P400" s="20"/>
      <c r="Q400" s="21">
        <f t="shared" ref="Q400" si="735">SUM(J400:P400)</f>
        <v>1777</v>
      </c>
    </row>
    <row r="401" spans="1:17" x14ac:dyDescent="0.35">
      <c r="A401" s="3">
        <v>45602</v>
      </c>
      <c r="B401" s="19">
        <f>(24225677.86 +5209692.84)/1000000</f>
        <v>29.4353707</v>
      </c>
      <c r="C401" s="20"/>
      <c r="D401" s="20"/>
      <c r="E401" s="20"/>
      <c r="F401" s="20"/>
      <c r="G401" s="20"/>
      <c r="H401" s="20"/>
      <c r="I401" s="21">
        <f t="shared" ref="I401" si="736">SUM(B401:H401)</f>
        <v>29.4353707</v>
      </c>
      <c r="J401" s="19">
        <f t="shared" si="734"/>
        <v>1777</v>
      </c>
      <c r="K401" s="20"/>
      <c r="L401" s="20"/>
      <c r="M401" s="20"/>
      <c r="N401" s="20"/>
      <c r="O401" s="20"/>
      <c r="P401" s="20"/>
      <c r="Q401" s="21">
        <f t="shared" ref="Q401" si="737">SUM(J401:P401)</f>
        <v>1777</v>
      </c>
    </row>
    <row r="402" spans="1:17" x14ac:dyDescent="0.35">
      <c r="A402" s="3">
        <v>45603</v>
      </c>
      <c r="B402" s="19">
        <f>29435370.7/1000000</f>
        <v>29.4353707</v>
      </c>
      <c r="C402" s="20"/>
      <c r="D402" s="20"/>
      <c r="E402" s="20"/>
      <c r="F402" s="20"/>
      <c r="G402" s="20"/>
      <c r="H402" s="20"/>
      <c r="I402" s="21">
        <f t="shared" ref="I402" si="738">SUM(B402:H402)</f>
        <v>29.4353707</v>
      </c>
      <c r="J402" s="19">
        <f t="shared" si="734"/>
        <v>1777</v>
      </c>
      <c r="K402" s="20"/>
      <c r="L402" s="20"/>
      <c r="M402" s="20"/>
      <c r="N402" s="20"/>
      <c r="O402" s="20"/>
      <c r="P402" s="20"/>
      <c r="Q402" s="21">
        <f t="shared" ref="Q402" si="739">SUM(J402:P402)</f>
        <v>1777</v>
      </c>
    </row>
    <row r="403" spans="1:17" x14ac:dyDescent="0.35">
      <c r="A403" s="3">
        <v>45604</v>
      </c>
      <c r="B403" s="19">
        <f>27827511.14/1000000</f>
        <v>27.827511140000002</v>
      </c>
      <c r="C403" s="20"/>
      <c r="D403" s="20"/>
      <c r="E403" s="20"/>
      <c r="F403" s="20"/>
      <c r="G403" s="20"/>
      <c r="H403" s="20"/>
      <c r="I403" s="21">
        <f t="shared" ref="I403" si="740">SUM(B403:H403)</f>
        <v>27.827511140000002</v>
      </c>
      <c r="J403" s="19">
        <f t="shared" si="734"/>
        <v>1777</v>
      </c>
      <c r="K403" s="20"/>
      <c r="L403" s="20"/>
      <c r="M403" s="20"/>
      <c r="N403" s="20"/>
      <c r="O403" s="20"/>
      <c r="P403" s="20"/>
      <c r="Q403" s="21">
        <f t="shared" ref="Q403" si="741">SUM(J403:P403)</f>
        <v>1777</v>
      </c>
    </row>
    <row r="404" spans="1:17" x14ac:dyDescent="0.35">
      <c r="A404" s="3">
        <v>45607</v>
      </c>
      <c r="B404" s="19">
        <f>26620722.3/1000000</f>
        <v>26.620722300000001</v>
      </c>
      <c r="C404" s="20"/>
      <c r="D404" s="20"/>
      <c r="E404" s="20"/>
      <c r="F404" s="20"/>
      <c r="G404" s="20"/>
      <c r="H404" s="20"/>
      <c r="I404" s="21">
        <f t="shared" ref="I404" si="742">SUM(B404:H404)</f>
        <v>26.620722300000001</v>
      </c>
      <c r="J404" s="19">
        <f t="shared" si="734"/>
        <v>1777</v>
      </c>
      <c r="K404" s="20"/>
      <c r="L404" s="20"/>
      <c r="M404" s="20"/>
      <c r="N404" s="20"/>
      <c r="O404" s="20"/>
      <c r="P404" s="20"/>
      <c r="Q404" s="21">
        <f t="shared" ref="Q404" si="743">SUM(J404:P404)</f>
        <v>1777</v>
      </c>
    </row>
    <row r="405" spans="1:17" x14ac:dyDescent="0.35">
      <c r="A405" s="3">
        <v>45608</v>
      </c>
      <c r="B405" s="19">
        <f>26620722.3/1000000</f>
        <v>26.620722300000001</v>
      </c>
      <c r="C405" s="20"/>
      <c r="D405" s="20"/>
      <c r="E405" s="20"/>
      <c r="F405" s="20"/>
      <c r="G405" s="20"/>
      <c r="H405" s="20"/>
      <c r="I405" s="21">
        <f t="shared" ref="I405" si="744">SUM(B405:H405)</f>
        <v>26.620722300000001</v>
      </c>
      <c r="J405" s="19">
        <f t="shared" si="734"/>
        <v>1777</v>
      </c>
      <c r="K405" s="20"/>
      <c r="L405" s="20"/>
      <c r="M405" s="20"/>
      <c r="N405" s="20"/>
      <c r="O405" s="20"/>
      <c r="P405" s="20"/>
      <c r="Q405" s="21">
        <f t="shared" ref="Q405" si="745">SUM(J405:P405)</f>
        <v>1777</v>
      </c>
    </row>
    <row r="406" spans="1:17" x14ac:dyDescent="0.35">
      <c r="A406" s="3">
        <v>45609</v>
      </c>
      <c r="B406" s="19">
        <f>26620722.3/1000000</f>
        <v>26.620722300000001</v>
      </c>
      <c r="C406" s="20"/>
      <c r="D406" s="20"/>
      <c r="E406" s="20"/>
      <c r="F406" s="20"/>
      <c r="G406" s="20"/>
      <c r="H406" s="20"/>
      <c r="I406" s="21">
        <f t="shared" ref="I406" si="746">SUM(B406:H406)</f>
        <v>26.620722300000001</v>
      </c>
      <c r="J406" s="19">
        <f t="shared" si="734"/>
        <v>1777</v>
      </c>
      <c r="K406" s="20"/>
      <c r="L406" s="20"/>
      <c r="M406" s="20"/>
      <c r="N406" s="20"/>
      <c r="O406" s="20"/>
      <c r="P406" s="20"/>
      <c r="Q406" s="21">
        <f t="shared" ref="Q406" si="747">SUM(J406:P406)</f>
        <v>1777</v>
      </c>
    </row>
    <row r="407" spans="1:17" x14ac:dyDescent="0.35">
      <c r="A407" s="3">
        <v>45610</v>
      </c>
      <c r="B407" s="19">
        <f>26568687.06/1000000</f>
        <v>26.568687059999998</v>
      </c>
      <c r="C407" s="20"/>
      <c r="D407" s="20"/>
      <c r="E407" s="20"/>
      <c r="F407" s="20"/>
      <c r="G407" s="20"/>
      <c r="H407" s="20"/>
      <c r="I407" s="21">
        <f t="shared" ref="I407" si="748">SUM(B407:H407)</f>
        <v>26.568687059999998</v>
      </c>
      <c r="J407" s="19">
        <f t="shared" si="734"/>
        <v>1777</v>
      </c>
      <c r="K407" s="20"/>
      <c r="L407" s="20"/>
      <c r="M407" s="20"/>
      <c r="N407" s="20"/>
      <c r="O407" s="20"/>
      <c r="P407" s="20"/>
      <c r="Q407" s="21">
        <f t="shared" ref="Q407" si="749">SUM(J407:P407)</f>
        <v>1777</v>
      </c>
    </row>
    <row r="408" spans="1:17" x14ac:dyDescent="0.35">
      <c r="A408" s="3">
        <v>45611</v>
      </c>
      <c r="B408" s="19">
        <f>26548347.06/1000000</f>
        <v>26.548347059999998</v>
      </c>
      <c r="C408" s="20"/>
      <c r="D408" s="20"/>
      <c r="E408" s="20"/>
      <c r="F408" s="20"/>
      <c r="G408" s="20"/>
      <c r="H408" s="20"/>
      <c r="I408" s="21">
        <f t="shared" ref="I408" si="750">SUM(B408:H408)</f>
        <v>26.548347059999998</v>
      </c>
      <c r="J408" s="19">
        <f t="shared" si="734"/>
        <v>1777</v>
      </c>
      <c r="K408" s="20"/>
      <c r="L408" s="20"/>
      <c r="M408" s="20"/>
      <c r="N408" s="20"/>
      <c r="O408" s="20"/>
      <c r="P408" s="20"/>
      <c r="Q408" s="21">
        <f t="shared" ref="Q408" si="751">SUM(J408:P408)</f>
        <v>1777</v>
      </c>
    </row>
    <row r="409" spans="1:17" x14ac:dyDescent="0.35">
      <c r="A409" s="3">
        <v>45614</v>
      </c>
      <c r="B409" s="19">
        <f>26548347.06/1000000</f>
        <v>26.548347059999998</v>
      </c>
      <c r="C409" s="20"/>
      <c r="D409" s="20"/>
      <c r="E409" s="20"/>
      <c r="F409" s="20"/>
      <c r="G409" s="20"/>
      <c r="H409" s="20"/>
      <c r="I409" s="21">
        <f t="shared" ref="I409" si="752">SUM(B409:H409)</f>
        <v>26.548347059999998</v>
      </c>
      <c r="J409" s="19">
        <f t="shared" si="734"/>
        <v>1777</v>
      </c>
      <c r="K409" s="20"/>
      <c r="L409" s="20"/>
      <c r="M409" s="20"/>
      <c r="N409" s="20"/>
      <c r="O409" s="20"/>
      <c r="P409" s="20"/>
      <c r="Q409" s="21">
        <f t="shared" ref="Q409" si="753">SUM(J409:P409)</f>
        <v>1777</v>
      </c>
    </row>
    <row r="410" spans="1:17" x14ac:dyDescent="0.35">
      <c r="A410" s="3">
        <v>45615</v>
      </c>
      <c r="B410" s="19">
        <f>26414800.85/1000000</f>
        <v>26.414800850000002</v>
      </c>
      <c r="C410" s="20"/>
      <c r="D410" s="20"/>
      <c r="E410" s="20"/>
      <c r="F410" s="20"/>
      <c r="G410" s="20"/>
      <c r="H410" s="20"/>
      <c r="I410" s="21">
        <f t="shared" ref="I410" si="754">SUM(B410:H410)</f>
        <v>26.414800850000002</v>
      </c>
      <c r="J410" s="19">
        <f t="shared" si="734"/>
        <v>1777</v>
      </c>
      <c r="K410" s="20"/>
      <c r="L410" s="20"/>
      <c r="M410" s="20"/>
      <c r="N410" s="20"/>
      <c r="O410" s="20"/>
      <c r="P410" s="20"/>
      <c r="Q410" s="21">
        <f t="shared" ref="Q410" si="755">SUM(J410:P410)</f>
        <v>1777</v>
      </c>
    </row>
    <row r="411" spans="1:17" x14ac:dyDescent="0.35">
      <c r="A411" s="3">
        <v>45616</v>
      </c>
      <c r="B411" s="19">
        <f>26407999.45/1000000</f>
        <v>26.407999449999998</v>
      </c>
      <c r="C411" s="20"/>
      <c r="D411" s="20"/>
      <c r="E411" s="20"/>
      <c r="F411" s="20"/>
      <c r="G411" s="20"/>
      <c r="H411" s="20"/>
      <c r="I411" s="21">
        <f t="shared" ref="I411" si="756">SUM(B411:H411)</f>
        <v>26.407999449999998</v>
      </c>
      <c r="J411" s="19">
        <f t="shared" si="734"/>
        <v>1777</v>
      </c>
      <c r="K411" s="20"/>
      <c r="L411" s="20"/>
      <c r="M411" s="20"/>
      <c r="N411" s="20"/>
      <c r="O411" s="20"/>
      <c r="P411" s="20"/>
      <c r="Q411" s="21">
        <f t="shared" ref="Q411" si="757">SUM(J411:P411)</f>
        <v>1777</v>
      </c>
    </row>
    <row r="412" spans="1:17" x14ac:dyDescent="0.35">
      <c r="A412" s="3">
        <v>45617</v>
      </c>
      <c r="B412" s="19">
        <f>26407999.45/1000000</f>
        <v>26.407999449999998</v>
      </c>
      <c r="C412" s="20"/>
      <c r="D412" s="20"/>
      <c r="E412" s="20"/>
      <c r="F412" s="20"/>
      <c r="G412" s="20"/>
      <c r="H412" s="20"/>
      <c r="I412" s="21">
        <f t="shared" ref="I412" si="758">SUM(B412:H412)</f>
        <v>26.407999449999998</v>
      </c>
      <c r="J412" s="19">
        <f t="shared" si="734"/>
        <v>1777</v>
      </c>
      <c r="K412" s="20"/>
      <c r="L412" s="20"/>
      <c r="M412" s="20"/>
      <c r="N412" s="20"/>
      <c r="O412" s="20"/>
      <c r="P412" s="20"/>
      <c r="Q412" s="21">
        <f t="shared" ref="Q412" si="759">SUM(J412:P412)</f>
        <v>1777</v>
      </c>
    </row>
    <row r="413" spans="1:17" x14ac:dyDescent="0.35">
      <c r="A413" s="3">
        <v>45618</v>
      </c>
      <c r="B413" s="19">
        <f>23627254.82/1000000</f>
        <v>23.627254820000001</v>
      </c>
      <c r="C413" s="20"/>
      <c r="D413" s="20"/>
      <c r="E413" s="20"/>
      <c r="F413" s="20"/>
      <c r="G413" s="20"/>
      <c r="H413" s="20"/>
      <c r="I413" s="21">
        <f t="shared" ref="I413" si="760">SUM(B413:H413)</f>
        <v>23.627254820000001</v>
      </c>
      <c r="J413" s="19">
        <f t="shared" si="734"/>
        <v>1777</v>
      </c>
      <c r="K413" s="20"/>
      <c r="L413" s="20"/>
      <c r="M413" s="20"/>
      <c r="N413" s="20"/>
      <c r="O413" s="20"/>
      <c r="P413" s="20"/>
      <c r="Q413" s="21">
        <f t="shared" ref="Q413" si="761">SUM(J413:P413)</f>
        <v>1777</v>
      </c>
    </row>
    <row r="414" spans="1:17" x14ac:dyDescent="0.35">
      <c r="A414" s="3">
        <v>45621</v>
      </c>
      <c r="B414" s="19">
        <f>22083323.62/1000000</f>
        <v>22.083323620000002</v>
      </c>
      <c r="C414" s="20"/>
      <c r="D414" s="20"/>
      <c r="E414" s="20"/>
      <c r="F414" s="20"/>
      <c r="G414" s="20"/>
      <c r="H414" s="20"/>
      <c r="I414" s="21">
        <f t="shared" ref="I414" si="762">SUM(B414:H414)</f>
        <v>22.083323620000002</v>
      </c>
      <c r="J414" s="19">
        <f t="shared" si="734"/>
        <v>1777</v>
      </c>
      <c r="K414" s="20"/>
      <c r="L414" s="20"/>
      <c r="M414" s="20"/>
      <c r="N414" s="20"/>
      <c r="O414" s="20"/>
      <c r="P414" s="20"/>
      <c r="Q414" s="21">
        <f t="shared" ref="Q414" si="763">SUM(J414:P414)</f>
        <v>1777</v>
      </c>
    </row>
    <row r="415" spans="1:17" x14ac:dyDescent="0.35">
      <c r="A415" s="3">
        <v>45622</v>
      </c>
      <c r="B415" s="19">
        <f>22083323.62/1000000</f>
        <v>22.083323620000002</v>
      </c>
      <c r="C415" s="20"/>
      <c r="D415" s="20"/>
      <c r="E415" s="20"/>
      <c r="F415" s="20"/>
      <c r="G415" s="20"/>
      <c r="H415" s="20"/>
      <c r="I415" s="21">
        <f t="shared" ref="I415" si="764">SUM(B415:H415)</f>
        <v>22.083323620000002</v>
      </c>
      <c r="J415" s="19">
        <f t="shared" si="734"/>
        <v>1777</v>
      </c>
      <c r="K415" s="20"/>
      <c r="L415" s="20"/>
      <c r="M415" s="20"/>
      <c r="N415" s="20"/>
      <c r="O415" s="20"/>
      <c r="P415" s="20"/>
      <c r="Q415" s="21">
        <f t="shared" ref="Q415" si="765">SUM(J415:P415)</f>
        <v>1777</v>
      </c>
    </row>
    <row r="416" spans="1:17" x14ac:dyDescent="0.35">
      <c r="A416" s="3">
        <v>45623</v>
      </c>
      <c r="B416" s="19">
        <f>22083323.62/1000000</f>
        <v>22.083323620000002</v>
      </c>
      <c r="C416" s="20"/>
      <c r="D416" s="20"/>
      <c r="E416" s="20"/>
      <c r="F416" s="20"/>
      <c r="G416" s="20"/>
      <c r="H416" s="20"/>
      <c r="I416" s="21">
        <f t="shared" ref="I416" si="766">SUM(B416:H416)</f>
        <v>22.083323620000002</v>
      </c>
      <c r="J416" s="19">
        <f t="shared" si="734"/>
        <v>1777</v>
      </c>
      <c r="K416" s="20"/>
      <c r="L416" s="20"/>
      <c r="M416" s="20"/>
      <c r="N416" s="20"/>
      <c r="O416" s="20"/>
      <c r="P416" s="20"/>
      <c r="Q416" s="21">
        <f t="shared" ref="Q416" si="767">SUM(J416:P416)</f>
        <v>1777</v>
      </c>
    </row>
    <row r="417" spans="1:17" x14ac:dyDescent="0.35">
      <c r="A417" s="3">
        <v>45624</v>
      </c>
      <c r="B417" s="19">
        <f>22083323.62/1000000</f>
        <v>22.083323620000002</v>
      </c>
      <c r="C417" s="20"/>
      <c r="D417" s="20"/>
      <c r="E417" s="20"/>
      <c r="F417" s="20"/>
      <c r="G417" s="20"/>
      <c r="H417" s="20"/>
      <c r="I417" s="21">
        <f t="shared" ref="I417" si="768">SUM(B417:H417)</f>
        <v>22.083323620000002</v>
      </c>
      <c r="J417" s="19">
        <f t="shared" si="734"/>
        <v>1777</v>
      </c>
      <c r="K417" s="20"/>
      <c r="L417" s="20"/>
      <c r="M417" s="20"/>
      <c r="N417" s="20"/>
      <c r="O417" s="20"/>
      <c r="P417" s="20"/>
      <c r="Q417" s="21">
        <f t="shared" ref="Q417" si="769">SUM(J417:P417)</f>
        <v>1777</v>
      </c>
    </row>
    <row r="418" spans="1:17" x14ac:dyDescent="0.35">
      <c r="A418" s="3">
        <v>45625</v>
      </c>
      <c r="B418" s="19">
        <f>22007897.36/1000000</f>
        <v>22.007897359999998</v>
      </c>
      <c r="C418" s="20"/>
      <c r="D418" s="20"/>
      <c r="E418" s="20"/>
      <c r="F418" s="20"/>
      <c r="G418" s="20"/>
      <c r="H418" s="20"/>
      <c r="I418" s="21">
        <f t="shared" ref="I418" si="770">SUM(B418:H418)</f>
        <v>22.007897359999998</v>
      </c>
      <c r="J418" s="19">
        <f t="shared" si="734"/>
        <v>1777</v>
      </c>
      <c r="K418" s="20"/>
      <c r="L418" s="20"/>
      <c r="M418" s="20"/>
      <c r="N418" s="20"/>
      <c r="O418" s="20"/>
      <c r="P418" s="20"/>
      <c r="Q418" s="21">
        <f t="shared" ref="Q418" si="771">SUM(J418:P418)</f>
        <v>1777</v>
      </c>
    </row>
    <row r="419" spans="1:17" x14ac:dyDescent="0.35">
      <c r="A419" s="3">
        <v>45628</v>
      </c>
      <c r="B419" s="19">
        <f>32723809.07/1000000</f>
        <v>32.723809070000001</v>
      </c>
      <c r="C419" s="20"/>
      <c r="D419" s="20"/>
      <c r="E419" s="20"/>
      <c r="F419" s="20"/>
      <c r="G419" s="20"/>
      <c r="H419" s="20"/>
      <c r="I419" s="21">
        <f t="shared" ref="I419" si="772">SUM(B419:H419)</f>
        <v>32.723809070000001</v>
      </c>
      <c r="J419" s="19">
        <f>(1480000000+307000000)/1000000</f>
        <v>1787</v>
      </c>
      <c r="K419" s="20"/>
      <c r="L419" s="20"/>
      <c r="M419" s="20"/>
      <c r="N419" s="20"/>
      <c r="O419" s="20"/>
      <c r="P419" s="20"/>
      <c r="Q419" s="21">
        <f t="shared" ref="Q419" si="773">SUM(J419:P419)</f>
        <v>1787</v>
      </c>
    </row>
    <row r="420" spans="1:17" x14ac:dyDescent="0.35">
      <c r="A420" s="3">
        <v>45629</v>
      </c>
      <c r="B420" s="19">
        <f>32501909.07/1000000</f>
        <v>32.501909070000004</v>
      </c>
      <c r="C420" s="20"/>
      <c r="D420" s="20"/>
      <c r="E420" s="20"/>
      <c r="F420" s="20"/>
      <c r="G420" s="20"/>
      <c r="H420" s="20"/>
      <c r="I420" s="21">
        <f t="shared" ref="I420" si="774">SUM(B420:H420)</f>
        <v>32.501909070000004</v>
      </c>
      <c r="J420" s="19">
        <f>(1480000000+307000000)/1000000</f>
        <v>1787</v>
      </c>
      <c r="K420" s="20"/>
      <c r="L420" s="20"/>
      <c r="M420" s="20"/>
      <c r="N420" s="20"/>
      <c r="O420" s="20"/>
      <c r="P420" s="20"/>
      <c r="Q420" s="21">
        <f t="shared" ref="Q420" si="775">SUM(J420:P420)</f>
        <v>1787</v>
      </c>
    </row>
    <row r="421" spans="1:17" x14ac:dyDescent="0.35">
      <c r="A421" s="3">
        <v>45630</v>
      </c>
      <c r="B421" s="19">
        <f>32501909.07/1000000</f>
        <v>32.501909070000004</v>
      </c>
      <c r="C421" s="20"/>
      <c r="D421" s="20"/>
      <c r="E421" s="20"/>
      <c r="F421" s="20"/>
      <c r="G421" s="20"/>
      <c r="H421" s="20"/>
      <c r="I421" s="21">
        <f t="shared" ref="I421" si="776">SUM(B421:H421)</f>
        <v>32.501909070000004</v>
      </c>
      <c r="J421" s="19">
        <f>(1480000000+307000000)/1000000</f>
        <v>1787</v>
      </c>
      <c r="K421" s="20"/>
      <c r="L421" s="20"/>
      <c r="M421" s="20"/>
      <c r="N421" s="20"/>
      <c r="O421" s="20"/>
      <c r="P421" s="20"/>
      <c r="Q421" s="21">
        <f t="shared" ref="Q421" si="777">SUM(J421:P421)</f>
        <v>1787</v>
      </c>
    </row>
    <row r="422" spans="1:17" x14ac:dyDescent="0.35">
      <c r="A422" s="3">
        <v>45631</v>
      </c>
      <c r="B422" s="19">
        <f>32059616.45/1000000</f>
        <v>32.05961645</v>
      </c>
      <c r="C422" s="20"/>
      <c r="D422" s="20"/>
      <c r="E422" s="20"/>
      <c r="F422" s="20"/>
      <c r="G422" s="20"/>
      <c r="H422" s="20"/>
      <c r="I422" s="21">
        <f t="shared" ref="I422" si="778">SUM(B422:H422)</f>
        <v>32.05961645</v>
      </c>
      <c r="J422" s="19">
        <f t="shared" ref="J422:J433" si="779">(1500000000+307000000)/1000000</f>
        <v>1807</v>
      </c>
      <c r="K422" s="20"/>
      <c r="L422" s="20"/>
      <c r="M422" s="20"/>
      <c r="N422" s="20"/>
      <c r="O422" s="20"/>
      <c r="P422" s="20"/>
      <c r="Q422" s="21">
        <f t="shared" ref="Q422" si="780">SUM(J422:P422)</f>
        <v>1807</v>
      </c>
    </row>
    <row r="423" spans="1:17" x14ac:dyDescent="0.35">
      <c r="A423" s="3">
        <v>45632</v>
      </c>
      <c r="B423" s="19">
        <f>32029211.12/1000000</f>
        <v>32.029211119999999</v>
      </c>
      <c r="C423" s="20"/>
      <c r="D423" s="20"/>
      <c r="E423" s="20"/>
      <c r="F423" s="20"/>
      <c r="G423" s="20"/>
      <c r="H423" s="20"/>
      <c r="I423" s="21">
        <f t="shared" ref="I423" si="781">SUM(B423:H423)</f>
        <v>32.029211119999999</v>
      </c>
      <c r="J423" s="19">
        <f t="shared" si="779"/>
        <v>1807</v>
      </c>
      <c r="K423" s="20"/>
      <c r="L423" s="20"/>
      <c r="M423" s="20"/>
      <c r="N423" s="20"/>
      <c r="O423" s="20"/>
      <c r="P423" s="20"/>
      <c r="Q423" s="21">
        <f t="shared" ref="Q423" si="782">SUM(J423:P423)</f>
        <v>1807</v>
      </c>
    </row>
    <row r="424" spans="1:17" x14ac:dyDescent="0.35">
      <c r="A424" s="3">
        <v>45635</v>
      </c>
      <c r="B424" s="19">
        <f>30609773.87/1000000</f>
        <v>30.609773870000001</v>
      </c>
      <c r="C424" s="20"/>
      <c r="D424" s="20"/>
      <c r="E424" s="20"/>
      <c r="F424" s="20"/>
      <c r="G424" s="20"/>
      <c r="H424" s="20"/>
      <c r="I424" s="21">
        <f t="shared" ref="I424" si="783">SUM(B424:H424)</f>
        <v>30.609773870000001</v>
      </c>
      <c r="J424" s="19">
        <f t="shared" si="779"/>
        <v>1807</v>
      </c>
      <c r="K424" s="20"/>
      <c r="L424" s="20"/>
      <c r="M424" s="20"/>
      <c r="N424" s="20"/>
      <c r="O424" s="20"/>
      <c r="P424" s="20"/>
      <c r="Q424" s="21">
        <f t="shared" ref="Q424" si="784">SUM(J424:P424)</f>
        <v>1807</v>
      </c>
    </row>
    <row r="425" spans="1:17" x14ac:dyDescent="0.35">
      <c r="A425" s="3">
        <v>45636</v>
      </c>
      <c r="B425" s="19">
        <f>30583747.21/1000000</f>
        <v>30.583747210000002</v>
      </c>
      <c r="C425" s="20"/>
      <c r="D425" s="20"/>
      <c r="E425" s="20"/>
      <c r="F425" s="20"/>
      <c r="G425" s="20"/>
      <c r="H425" s="20"/>
      <c r="I425" s="21">
        <f t="shared" ref="I425" si="785">SUM(B425:H425)</f>
        <v>30.583747210000002</v>
      </c>
      <c r="J425" s="19">
        <f t="shared" si="779"/>
        <v>1807</v>
      </c>
      <c r="K425" s="20"/>
      <c r="L425" s="20"/>
      <c r="M425" s="20"/>
      <c r="N425" s="20"/>
      <c r="O425" s="20"/>
      <c r="P425" s="20"/>
      <c r="Q425" s="21">
        <f t="shared" ref="Q425" si="786">SUM(J425:P425)</f>
        <v>1807</v>
      </c>
    </row>
    <row r="426" spans="1:17" x14ac:dyDescent="0.35">
      <c r="A426" s="3">
        <v>45637</v>
      </c>
      <c r="B426" s="19">
        <f>30564338.09/1000000</f>
        <v>30.56433809</v>
      </c>
      <c r="C426" s="20"/>
      <c r="D426" s="20"/>
      <c r="E426" s="20"/>
      <c r="F426" s="20"/>
      <c r="G426" s="20"/>
      <c r="H426" s="20"/>
      <c r="I426" s="21">
        <f t="shared" ref="I426" si="787">SUM(B426:H426)</f>
        <v>30.56433809</v>
      </c>
      <c r="J426" s="19">
        <f t="shared" si="779"/>
        <v>1807</v>
      </c>
      <c r="K426" s="20"/>
      <c r="L426" s="20"/>
      <c r="M426" s="20"/>
      <c r="N426" s="20"/>
      <c r="O426" s="20"/>
      <c r="P426" s="20"/>
      <c r="Q426" s="21">
        <f t="shared" ref="Q426" si="788">SUM(J426:P426)</f>
        <v>1807</v>
      </c>
    </row>
    <row r="427" spans="1:17" x14ac:dyDescent="0.35">
      <c r="A427" s="3">
        <v>45638</v>
      </c>
      <c r="B427" s="19">
        <f>33011638.09/1000000</f>
        <v>33.011638089999998</v>
      </c>
      <c r="C427" s="20"/>
      <c r="D427" s="20"/>
      <c r="E427" s="20"/>
      <c r="F427" s="20"/>
      <c r="G427" s="20"/>
      <c r="H427" s="20"/>
      <c r="I427" s="21">
        <f t="shared" ref="I427" si="789">SUM(B427:H427)</f>
        <v>33.011638089999998</v>
      </c>
      <c r="J427" s="19">
        <f t="shared" si="779"/>
        <v>1807</v>
      </c>
      <c r="K427" s="20"/>
      <c r="L427" s="20"/>
      <c r="M427" s="20"/>
      <c r="N427" s="20"/>
      <c r="O427" s="20"/>
      <c r="P427" s="20"/>
      <c r="Q427" s="21">
        <f t="shared" ref="Q427" si="790">SUM(J427:P427)</f>
        <v>1807</v>
      </c>
    </row>
    <row r="428" spans="1:17" x14ac:dyDescent="0.35">
      <c r="A428" s="3">
        <v>45639</v>
      </c>
      <c r="B428" s="19">
        <f>33011638.09/1000000</f>
        <v>33.011638089999998</v>
      </c>
      <c r="C428" s="20"/>
      <c r="D428" s="20"/>
      <c r="E428" s="20"/>
      <c r="F428" s="20"/>
      <c r="G428" s="20"/>
      <c r="H428" s="20"/>
      <c r="I428" s="21">
        <f t="shared" ref="I428" si="791">SUM(B428:H428)</f>
        <v>33.011638089999998</v>
      </c>
      <c r="J428" s="19">
        <f t="shared" si="779"/>
        <v>1807</v>
      </c>
      <c r="K428" s="20"/>
      <c r="L428" s="20"/>
      <c r="M428" s="20"/>
      <c r="N428" s="20"/>
      <c r="O428" s="20"/>
      <c r="P428" s="20"/>
      <c r="Q428" s="21">
        <f t="shared" ref="Q428" si="792">SUM(J428:P428)</f>
        <v>1807</v>
      </c>
    </row>
    <row r="429" spans="1:17" x14ac:dyDescent="0.35">
      <c r="A429" s="3">
        <v>45642</v>
      </c>
      <c r="B429" s="19">
        <f>33011638.09/1000000</f>
        <v>33.011638089999998</v>
      </c>
      <c r="C429" s="20"/>
      <c r="D429" s="20"/>
      <c r="E429" s="20"/>
      <c r="F429" s="20"/>
      <c r="G429" s="20"/>
      <c r="H429" s="20"/>
      <c r="I429" s="21">
        <f t="shared" ref="I429" si="793">SUM(B429:H429)</f>
        <v>33.011638089999998</v>
      </c>
      <c r="J429" s="19">
        <f t="shared" si="779"/>
        <v>1807</v>
      </c>
      <c r="K429" s="20"/>
      <c r="L429" s="20"/>
      <c r="M429" s="20"/>
      <c r="N429" s="20"/>
      <c r="O429" s="20"/>
      <c r="P429" s="20"/>
      <c r="Q429" s="21">
        <f t="shared" ref="Q429" si="794">SUM(J429:P429)</f>
        <v>1807</v>
      </c>
    </row>
    <row r="430" spans="1:17" x14ac:dyDescent="0.35">
      <c r="A430" s="3">
        <v>45643</v>
      </c>
      <c r="B430" s="19">
        <f>33011638.09/1000000</f>
        <v>33.011638089999998</v>
      </c>
      <c r="C430" s="20"/>
      <c r="D430" s="20"/>
      <c r="E430" s="20"/>
      <c r="F430" s="20"/>
      <c r="G430" s="20"/>
      <c r="H430" s="20"/>
      <c r="I430" s="21">
        <f t="shared" ref="I430" si="795">SUM(B430:H430)</f>
        <v>33.011638089999998</v>
      </c>
      <c r="J430" s="19">
        <f t="shared" si="779"/>
        <v>1807</v>
      </c>
      <c r="K430" s="20"/>
      <c r="L430" s="20"/>
      <c r="M430" s="20"/>
      <c r="N430" s="20"/>
      <c r="O430" s="20"/>
      <c r="P430" s="20"/>
      <c r="Q430" s="21">
        <f t="shared" ref="Q430" si="796">SUM(J430:P430)</f>
        <v>1807</v>
      </c>
    </row>
    <row r="431" spans="1:17" x14ac:dyDescent="0.35">
      <c r="A431" s="3">
        <v>45644</v>
      </c>
      <c r="B431" s="19">
        <f>33000009.97/1000000</f>
        <v>33.000009970000001</v>
      </c>
      <c r="C431" s="20"/>
      <c r="D431" s="20"/>
      <c r="E431" s="20"/>
      <c r="F431" s="20"/>
      <c r="G431" s="20"/>
      <c r="H431" s="20"/>
      <c r="I431" s="21">
        <f t="shared" ref="I431" si="797">SUM(B431:H431)</f>
        <v>33.000009970000001</v>
      </c>
      <c r="J431" s="19">
        <f t="shared" si="779"/>
        <v>1807</v>
      </c>
      <c r="K431" s="20"/>
      <c r="L431" s="20"/>
      <c r="M431" s="20"/>
      <c r="N431" s="20"/>
      <c r="O431" s="20"/>
      <c r="P431" s="20"/>
      <c r="Q431" s="21">
        <f t="shared" ref="Q431" si="798">SUM(J431:P431)</f>
        <v>1807</v>
      </c>
    </row>
    <row r="432" spans="1:17" x14ac:dyDescent="0.35">
      <c r="A432" s="3">
        <v>45645</v>
      </c>
      <c r="B432" s="19">
        <f>33000009.97/1000000</f>
        <v>33.000009970000001</v>
      </c>
      <c r="C432" s="20"/>
      <c r="D432" s="20"/>
      <c r="E432" s="20"/>
      <c r="F432" s="20"/>
      <c r="G432" s="20"/>
      <c r="H432" s="20"/>
      <c r="I432" s="21">
        <f t="shared" ref="I432" si="799">SUM(B432:H432)</f>
        <v>33.000009970000001</v>
      </c>
      <c r="J432" s="19">
        <f t="shared" si="779"/>
        <v>1807</v>
      </c>
      <c r="K432" s="20"/>
      <c r="L432" s="20"/>
      <c r="M432" s="20"/>
      <c r="N432" s="20"/>
      <c r="O432" s="20"/>
      <c r="P432" s="20"/>
      <c r="Q432" s="21">
        <f t="shared" ref="Q432" si="800">SUM(J432:P432)</f>
        <v>1807</v>
      </c>
    </row>
    <row r="433" spans="1:17" x14ac:dyDescent="0.35">
      <c r="A433" s="3">
        <v>45646</v>
      </c>
      <c r="B433" s="19">
        <f>32935807.71/1000000</f>
        <v>32.935807709999999</v>
      </c>
      <c r="C433" s="20"/>
      <c r="D433" s="20"/>
      <c r="E433" s="20"/>
      <c r="F433" s="20"/>
      <c r="G433" s="20"/>
      <c r="H433" s="20"/>
      <c r="I433" s="21">
        <f t="shared" ref="I433" si="801">SUM(B433:H433)</f>
        <v>32.935807709999999</v>
      </c>
      <c r="J433" s="19">
        <f t="shared" si="779"/>
        <v>1807</v>
      </c>
      <c r="K433" s="20"/>
      <c r="L433" s="20"/>
      <c r="M433" s="20"/>
      <c r="N433" s="20"/>
      <c r="O433" s="20"/>
      <c r="P433" s="20"/>
      <c r="Q433" s="21">
        <f t="shared" ref="Q433" si="802">SUM(J433:P433)</f>
        <v>1807</v>
      </c>
    </row>
    <row r="434" spans="1:17" x14ac:dyDescent="0.35">
      <c r="A434" s="3">
        <v>45649</v>
      </c>
      <c r="B434" s="19">
        <f>27222540.45/1000000</f>
        <v>27.22254045</v>
      </c>
      <c r="C434" s="20"/>
      <c r="D434" s="20"/>
      <c r="E434" s="20"/>
      <c r="F434" s="20"/>
      <c r="G434" s="20"/>
      <c r="H434" s="20"/>
      <c r="I434" s="21">
        <f t="shared" ref="I434" si="803">SUM(B434:H434)</f>
        <v>27.22254045</v>
      </c>
      <c r="J434" s="19">
        <f>(1080000000+307000000)/1000000</f>
        <v>1387</v>
      </c>
      <c r="K434" s="20"/>
      <c r="L434" s="20"/>
      <c r="M434" s="20"/>
      <c r="N434" s="20"/>
      <c r="O434" s="20"/>
      <c r="P434" s="20"/>
      <c r="Q434" s="21">
        <f t="shared" ref="Q434" si="804">SUM(J434:P434)</f>
        <v>1387</v>
      </c>
    </row>
    <row r="435" spans="1:17" x14ac:dyDescent="0.35">
      <c r="A435" s="3">
        <v>45650</v>
      </c>
      <c r="B435" s="19">
        <f>19604696.81/1000000</f>
        <v>19.60469681</v>
      </c>
      <c r="C435" s="20"/>
      <c r="D435" s="20"/>
      <c r="E435" s="20"/>
      <c r="F435" s="20"/>
      <c r="G435" s="20"/>
      <c r="H435" s="20"/>
      <c r="I435" s="21">
        <f t="shared" ref="I435" si="805">SUM(B435:H435)</f>
        <v>19.60469681</v>
      </c>
      <c r="J435" s="19">
        <f>(1080000000+307000000)/1000000</f>
        <v>1387</v>
      </c>
      <c r="K435" s="20"/>
      <c r="L435" s="20"/>
      <c r="M435" s="20"/>
      <c r="N435" s="20"/>
      <c r="O435" s="20"/>
      <c r="P435" s="20"/>
      <c r="Q435" s="21">
        <f t="shared" ref="Q435" si="806">SUM(J435:P435)</f>
        <v>1387</v>
      </c>
    </row>
    <row r="436" spans="1:17" x14ac:dyDescent="0.35">
      <c r="A436" s="3">
        <v>45651</v>
      </c>
      <c r="B436" s="19">
        <f>19604256.56/1000000</f>
        <v>19.60425656</v>
      </c>
      <c r="C436" s="20"/>
      <c r="D436" s="20"/>
      <c r="E436" s="20"/>
      <c r="F436" s="20"/>
      <c r="G436" s="20"/>
      <c r="H436" s="20"/>
      <c r="I436" s="21">
        <f t="shared" ref="I436" si="807">SUM(B436:H436)</f>
        <v>19.60425656</v>
      </c>
      <c r="J436" s="19">
        <f>(1080000000+307000000)/1000000</f>
        <v>1387</v>
      </c>
      <c r="K436" s="20"/>
      <c r="L436" s="20"/>
      <c r="M436" s="20"/>
      <c r="N436" s="20"/>
      <c r="O436" s="20"/>
      <c r="P436" s="20"/>
      <c r="Q436" s="21">
        <f t="shared" ref="Q436" si="808">SUM(J436:P436)</f>
        <v>1387</v>
      </c>
    </row>
    <row r="437" spans="1:17" x14ac:dyDescent="0.35">
      <c r="A437" s="3">
        <v>45652</v>
      </c>
      <c r="B437" s="19">
        <f>19604256.56/1000000</f>
        <v>19.60425656</v>
      </c>
      <c r="C437" s="20"/>
      <c r="D437" s="20"/>
      <c r="E437" s="20"/>
      <c r="F437" s="20"/>
      <c r="G437" s="20"/>
      <c r="H437" s="20"/>
      <c r="I437" s="21">
        <f t="shared" ref="I437" si="809">SUM(B437:H437)</f>
        <v>19.60425656</v>
      </c>
      <c r="J437" s="19">
        <f>(1080000000+307000000)/1000000</f>
        <v>1387</v>
      </c>
      <c r="K437" s="20"/>
      <c r="L437" s="20"/>
      <c r="M437" s="20"/>
      <c r="N437" s="20"/>
      <c r="O437" s="20"/>
      <c r="P437" s="20"/>
      <c r="Q437" s="21">
        <f t="shared" ref="Q437" si="810">SUM(J437:P437)</f>
        <v>1387</v>
      </c>
    </row>
    <row r="438" spans="1:17" x14ac:dyDescent="0.35">
      <c r="A438" s="3">
        <v>45653</v>
      </c>
      <c r="B438" s="19">
        <f>32232671.87/1000000</f>
        <v>32.232671870000004</v>
      </c>
      <c r="C438" s="20"/>
      <c r="D438" s="20"/>
      <c r="E438" s="20"/>
      <c r="F438" s="20"/>
      <c r="G438" s="20"/>
      <c r="H438" s="20"/>
      <c r="I438" s="21">
        <f t="shared" ref="I438" si="811">SUM(B438:H438)</f>
        <v>32.232671870000004</v>
      </c>
      <c r="J438" s="19">
        <f t="shared" ref="J438:J443" si="812">(1091000000+307000000)/1000000</f>
        <v>1398</v>
      </c>
      <c r="K438" s="20"/>
      <c r="L438" s="20"/>
      <c r="M438" s="20"/>
      <c r="N438" s="20"/>
      <c r="O438" s="20"/>
      <c r="P438" s="20"/>
      <c r="Q438" s="21">
        <f t="shared" ref="Q438" si="813">SUM(J438:P438)</f>
        <v>1398</v>
      </c>
    </row>
    <row r="439" spans="1:17" x14ac:dyDescent="0.35">
      <c r="A439" s="3">
        <v>45654</v>
      </c>
      <c r="B439" s="19">
        <f>32196721.87/1000000</f>
        <v>32.196721869999998</v>
      </c>
      <c r="C439" s="20"/>
      <c r="D439" s="20"/>
      <c r="E439" s="20"/>
      <c r="F439" s="20"/>
      <c r="G439" s="20"/>
      <c r="H439" s="20"/>
      <c r="I439" s="21">
        <f t="shared" ref="I439" si="814">SUM(B439:H439)</f>
        <v>32.196721869999998</v>
      </c>
      <c r="J439" s="19">
        <f t="shared" si="812"/>
        <v>1398</v>
      </c>
      <c r="K439" s="20"/>
      <c r="L439" s="20"/>
      <c r="M439" s="20"/>
      <c r="N439" s="20"/>
      <c r="O439" s="20"/>
      <c r="P439" s="20"/>
      <c r="Q439" s="21">
        <f t="shared" ref="Q439" si="815">SUM(J439:P439)</f>
        <v>1398</v>
      </c>
    </row>
    <row r="440" spans="1:17" x14ac:dyDescent="0.35">
      <c r="A440" s="3">
        <v>45666</v>
      </c>
      <c r="B440" s="19">
        <f>(20101335.27+11853079.14)/1000000</f>
        <v>31.954414410000002</v>
      </c>
      <c r="C440" s="20"/>
      <c r="D440" s="20"/>
      <c r="E440" s="20"/>
      <c r="F440" s="20"/>
      <c r="G440" s="20"/>
      <c r="H440" s="20"/>
      <c r="I440" s="21">
        <f t="shared" ref="I440" si="816">SUM(B440:H440)</f>
        <v>31.954414410000002</v>
      </c>
      <c r="J440" s="19">
        <f t="shared" si="812"/>
        <v>1398</v>
      </c>
      <c r="K440" s="20"/>
      <c r="L440" s="20"/>
      <c r="M440" s="20"/>
      <c r="N440" s="20"/>
      <c r="O440" s="20"/>
      <c r="P440" s="20"/>
      <c r="Q440" s="21">
        <f t="shared" ref="Q440" si="817">SUM(J440:P440)</f>
        <v>1398</v>
      </c>
    </row>
    <row r="441" spans="1:17" x14ac:dyDescent="0.35">
      <c r="A441" s="3">
        <v>45667</v>
      </c>
      <c r="B441" s="19">
        <f>31761870.62/1000000</f>
        <v>31.76187062</v>
      </c>
      <c r="C441" s="20"/>
      <c r="D441" s="20"/>
      <c r="E441" s="20"/>
      <c r="F441" s="20"/>
      <c r="G441" s="20"/>
      <c r="H441" s="20"/>
      <c r="I441" s="21">
        <f t="shared" ref="I441" si="818">SUM(B441:H441)</f>
        <v>31.76187062</v>
      </c>
      <c r="J441" s="19">
        <f t="shared" si="812"/>
        <v>1398</v>
      </c>
      <c r="K441" s="20"/>
      <c r="L441" s="20"/>
      <c r="M441" s="20"/>
      <c r="N441" s="20"/>
      <c r="O441" s="20"/>
      <c r="P441" s="20"/>
      <c r="Q441" s="21">
        <f t="shared" ref="Q441" si="819">SUM(J441:P441)</f>
        <v>1398</v>
      </c>
    </row>
    <row r="442" spans="1:17" x14ac:dyDescent="0.35">
      <c r="A442" s="3">
        <v>45670</v>
      </c>
      <c r="B442" s="19">
        <f>31443551.62/1000000</f>
        <v>31.443551620000001</v>
      </c>
      <c r="C442" s="20"/>
      <c r="D442" s="20"/>
      <c r="E442" s="20"/>
      <c r="F442" s="20"/>
      <c r="G442" s="20"/>
      <c r="H442" s="20"/>
      <c r="I442" s="21">
        <f t="shared" ref="I442" si="820">SUM(B442:H442)</f>
        <v>31.443551620000001</v>
      </c>
      <c r="J442" s="19">
        <f t="shared" si="812"/>
        <v>1398</v>
      </c>
      <c r="K442" s="20"/>
      <c r="L442" s="20"/>
      <c r="M442" s="20"/>
      <c r="N442" s="20"/>
      <c r="O442" s="20"/>
      <c r="P442" s="20"/>
      <c r="Q442" s="21">
        <f t="shared" ref="Q442" si="821">SUM(J442:P442)</f>
        <v>1398</v>
      </c>
    </row>
    <row r="443" spans="1:17" x14ac:dyDescent="0.35">
      <c r="A443" s="3">
        <v>45671</v>
      </c>
      <c r="B443" s="19">
        <f>31355539.64/1000000</f>
        <v>31.35553964</v>
      </c>
      <c r="C443" s="20"/>
      <c r="D443" s="20"/>
      <c r="E443" s="20"/>
      <c r="F443" s="20"/>
      <c r="G443" s="20"/>
      <c r="H443" s="20"/>
      <c r="I443" s="21">
        <f t="shared" ref="I443" si="822">SUM(B443:H443)</f>
        <v>31.35553964</v>
      </c>
      <c r="J443" s="19">
        <f t="shared" si="812"/>
        <v>1398</v>
      </c>
      <c r="K443" s="20"/>
      <c r="L443" s="20"/>
      <c r="M443" s="20"/>
      <c r="N443" s="20"/>
      <c r="O443" s="20"/>
      <c r="P443" s="20"/>
      <c r="Q443" s="21">
        <f t="shared" ref="Q443" si="823">SUM(J443:P443)</f>
        <v>1398</v>
      </c>
    </row>
    <row r="444" spans="1:17" x14ac:dyDescent="0.35">
      <c r="A444" s="3">
        <v>45672</v>
      </c>
      <c r="B444" s="19">
        <f t="shared" ref="B444:B450" si="824">39256903.78/1000000</f>
        <v>39.256903780000002</v>
      </c>
      <c r="C444" s="20"/>
      <c r="D444" s="20"/>
      <c r="E444" s="20"/>
      <c r="F444" s="20"/>
      <c r="G444" s="20"/>
      <c r="H444" s="20"/>
      <c r="I444" s="21">
        <f t="shared" ref="I444" si="825">SUM(B444:H444)</f>
        <v>39.256903780000002</v>
      </c>
      <c r="J444" s="19">
        <f>920000000/1000000</f>
        <v>920</v>
      </c>
      <c r="K444" s="20"/>
      <c r="L444" s="20"/>
      <c r="M444" s="20"/>
      <c r="N444" s="20"/>
      <c r="O444" s="20"/>
      <c r="P444" s="20"/>
      <c r="Q444" s="21">
        <f t="shared" ref="Q444" si="826">SUM(J444:P444)</f>
        <v>920</v>
      </c>
    </row>
    <row r="445" spans="1:17" x14ac:dyDescent="0.35">
      <c r="A445" s="3">
        <v>45673</v>
      </c>
      <c r="B445" s="19">
        <f t="shared" si="824"/>
        <v>39.256903780000002</v>
      </c>
      <c r="C445" s="20"/>
      <c r="D445" s="20"/>
      <c r="E445" s="20"/>
      <c r="F445" s="20"/>
      <c r="G445" s="20"/>
      <c r="H445" s="20"/>
      <c r="I445" s="21">
        <f t="shared" ref="I445" si="827">SUM(B445:H445)</f>
        <v>39.256903780000002</v>
      </c>
      <c r="J445" s="19">
        <f t="shared" ref="J445:J465" si="828">1227000000/1000000</f>
        <v>1227</v>
      </c>
      <c r="K445" s="20"/>
      <c r="L445" s="20"/>
      <c r="M445" s="20"/>
      <c r="N445" s="20"/>
      <c r="O445" s="20"/>
      <c r="P445" s="20"/>
      <c r="Q445" s="21">
        <f t="shared" ref="Q445" si="829">SUM(J445:P445)</f>
        <v>1227</v>
      </c>
    </row>
    <row r="446" spans="1:17" x14ac:dyDescent="0.35">
      <c r="A446" s="3">
        <v>45674</v>
      </c>
      <c r="B446" s="19">
        <f t="shared" si="824"/>
        <v>39.256903780000002</v>
      </c>
      <c r="C446" s="20"/>
      <c r="D446" s="20"/>
      <c r="E446" s="20"/>
      <c r="F446" s="20"/>
      <c r="G446" s="20"/>
      <c r="H446" s="20"/>
      <c r="I446" s="21">
        <f t="shared" ref="I446" si="830">SUM(B446:H446)</f>
        <v>39.256903780000002</v>
      </c>
      <c r="J446" s="19">
        <f t="shared" si="828"/>
        <v>1227</v>
      </c>
      <c r="K446" s="20"/>
      <c r="L446" s="20"/>
      <c r="M446" s="20"/>
      <c r="N446" s="20"/>
      <c r="O446" s="20"/>
      <c r="P446" s="20"/>
      <c r="Q446" s="21">
        <f t="shared" ref="Q446" si="831">SUM(J446:P446)</f>
        <v>1227</v>
      </c>
    </row>
    <row r="447" spans="1:17" x14ac:dyDescent="0.35">
      <c r="A447" s="3">
        <v>45677</v>
      </c>
      <c r="B447" s="19">
        <f t="shared" si="824"/>
        <v>39.256903780000002</v>
      </c>
      <c r="C447" s="20"/>
      <c r="D447" s="20"/>
      <c r="E447" s="20"/>
      <c r="F447" s="20"/>
      <c r="G447" s="20"/>
      <c r="H447" s="20"/>
      <c r="I447" s="21">
        <f t="shared" ref="I447" si="832">SUM(B447:H447)</f>
        <v>39.256903780000002</v>
      </c>
      <c r="J447" s="19">
        <f t="shared" si="828"/>
        <v>1227</v>
      </c>
      <c r="K447" s="20"/>
      <c r="L447" s="20"/>
      <c r="M447" s="20"/>
      <c r="N447" s="20"/>
      <c r="O447" s="20"/>
      <c r="P447" s="20"/>
      <c r="Q447" s="21">
        <f t="shared" ref="Q447" si="833">SUM(J447:P447)</f>
        <v>1227</v>
      </c>
    </row>
    <row r="448" spans="1:17" x14ac:dyDescent="0.35">
      <c r="A448" s="3">
        <v>45678</v>
      </c>
      <c r="B448" s="19">
        <f t="shared" si="824"/>
        <v>39.256903780000002</v>
      </c>
      <c r="C448" s="20"/>
      <c r="D448" s="20"/>
      <c r="E448" s="20"/>
      <c r="F448" s="20"/>
      <c r="G448" s="20"/>
      <c r="H448" s="20"/>
      <c r="I448" s="21">
        <f t="shared" ref="I448" si="834">SUM(B448:H448)</f>
        <v>39.256903780000002</v>
      </c>
      <c r="J448" s="19">
        <f t="shared" si="828"/>
        <v>1227</v>
      </c>
      <c r="K448" s="20"/>
      <c r="L448" s="20"/>
      <c r="M448" s="20"/>
      <c r="N448" s="20"/>
      <c r="O448" s="20"/>
      <c r="P448" s="20"/>
      <c r="Q448" s="21">
        <f t="shared" ref="Q448" si="835">SUM(J448:P448)</f>
        <v>1227</v>
      </c>
    </row>
    <row r="449" spans="1:17" x14ac:dyDescent="0.35">
      <c r="A449" s="3">
        <v>45679</v>
      </c>
      <c r="B449" s="19">
        <f t="shared" si="824"/>
        <v>39.256903780000002</v>
      </c>
      <c r="C449" s="20"/>
      <c r="D449" s="20"/>
      <c r="E449" s="20"/>
      <c r="F449" s="20"/>
      <c r="G449" s="20"/>
      <c r="H449" s="20"/>
      <c r="I449" s="21">
        <f t="shared" ref="I449" si="836">SUM(B449:H449)</f>
        <v>39.256903780000002</v>
      </c>
      <c r="J449" s="19">
        <f t="shared" si="828"/>
        <v>1227</v>
      </c>
      <c r="K449" s="20"/>
      <c r="L449" s="20"/>
      <c r="M449" s="20"/>
      <c r="N449" s="20"/>
      <c r="O449" s="20"/>
      <c r="P449" s="20"/>
      <c r="Q449" s="21">
        <f t="shared" ref="Q449" si="837">SUM(J449:P449)</f>
        <v>1227</v>
      </c>
    </row>
    <row r="450" spans="1:17" x14ac:dyDescent="0.35">
      <c r="A450" s="3">
        <v>45680</v>
      </c>
      <c r="B450" s="19">
        <f t="shared" si="824"/>
        <v>39.256903780000002</v>
      </c>
      <c r="C450" s="20"/>
      <c r="D450" s="20"/>
      <c r="E450" s="20"/>
      <c r="F450" s="20"/>
      <c r="G450" s="20"/>
      <c r="H450" s="20"/>
      <c r="I450" s="21">
        <f t="shared" ref="I450" si="838">SUM(B450:H450)</f>
        <v>39.256903780000002</v>
      </c>
      <c r="J450" s="19">
        <f t="shared" si="828"/>
        <v>1227</v>
      </c>
      <c r="K450" s="20"/>
      <c r="L450" s="20"/>
      <c r="M450" s="20"/>
      <c r="N450" s="20"/>
      <c r="O450" s="20"/>
      <c r="P450" s="20"/>
      <c r="Q450" s="21">
        <f t="shared" ref="Q450" si="839">SUM(J450:P450)</f>
        <v>1227</v>
      </c>
    </row>
    <row r="451" spans="1:17" x14ac:dyDescent="0.35">
      <c r="A451" s="3">
        <v>45681</v>
      </c>
      <c r="B451" s="19">
        <f>38214221.2/1000000</f>
        <v>38.214221200000004</v>
      </c>
      <c r="C451" s="20"/>
      <c r="D451" s="20"/>
      <c r="E451" s="20"/>
      <c r="F451" s="20"/>
      <c r="G451" s="20"/>
      <c r="H451" s="20"/>
      <c r="I451" s="21">
        <f t="shared" ref="I451" si="840">SUM(B451:H451)</f>
        <v>38.214221200000004</v>
      </c>
      <c r="J451" s="19">
        <f t="shared" si="828"/>
        <v>1227</v>
      </c>
      <c r="K451" s="20"/>
      <c r="L451" s="20"/>
      <c r="M451" s="20"/>
      <c r="N451" s="20"/>
      <c r="O451" s="20"/>
      <c r="P451" s="20"/>
      <c r="Q451" s="21">
        <f t="shared" ref="Q451" si="841">SUM(J451:P451)</f>
        <v>1227</v>
      </c>
    </row>
    <row r="452" spans="1:17" x14ac:dyDescent="0.35">
      <c r="A452" s="3">
        <v>45684</v>
      </c>
      <c r="B452" s="19">
        <f>36385491.85/1000000</f>
        <v>36.385491850000001</v>
      </c>
      <c r="C452" s="20"/>
      <c r="D452" s="20"/>
      <c r="E452" s="20"/>
      <c r="F452" s="20"/>
      <c r="G452" s="20"/>
      <c r="H452" s="20"/>
      <c r="I452" s="21">
        <f t="shared" ref="I452" si="842">SUM(B452:H452)</f>
        <v>36.385491850000001</v>
      </c>
      <c r="J452" s="19">
        <f t="shared" si="828"/>
        <v>1227</v>
      </c>
      <c r="K452" s="20"/>
      <c r="L452" s="20"/>
      <c r="M452" s="20"/>
      <c r="N452" s="20"/>
      <c r="O452" s="20"/>
      <c r="P452" s="20"/>
      <c r="Q452" s="21">
        <f t="shared" ref="Q452" si="843">SUM(J452:P452)</f>
        <v>1227</v>
      </c>
    </row>
    <row r="453" spans="1:17" x14ac:dyDescent="0.35">
      <c r="A453" s="3">
        <v>45685</v>
      </c>
      <c r="B453" s="19">
        <f>36385491.85/1000000</f>
        <v>36.385491850000001</v>
      </c>
      <c r="C453" s="20"/>
      <c r="D453" s="20"/>
      <c r="E453" s="20"/>
      <c r="F453" s="20"/>
      <c r="G453" s="20"/>
      <c r="H453" s="20"/>
      <c r="I453" s="21">
        <f t="shared" ref="I453" si="844">SUM(B453:H453)</f>
        <v>36.385491850000001</v>
      </c>
      <c r="J453" s="19">
        <f t="shared" si="828"/>
        <v>1227</v>
      </c>
      <c r="K453" s="20"/>
      <c r="L453" s="20"/>
      <c r="M453" s="20"/>
      <c r="N453" s="20"/>
      <c r="O453" s="20"/>
      <c r="P453" s="20"/>
      <c r="Q453" s="21">
        <f t="shared" ref="Q453" si="845">SUM(J453:P453)</f>
        <v>1227</v>
      </c>
    </row>
    <row r="454" spans="1:17" x14ac:dyDescent="0.35">
      <c r="A454" s="3">
        <v>45686</v>
      </c>
      <c r="B454" s="19">
        <f>34705190.39/1000000</f>
        <v>34.705190389999999</v>
      </c>
      <c r="C454" s="20"/>
      <c r="D454" s="20"/>
      <c r="E454" s="20"/>
      <c r="F454" s="20"/>
      <c r="G454" s="20"/>
      <c r="H454" s="20"/>
      <c r="I454" s="21">
        <f t="shared" ref="I454" si="846">SUM(B454:H454)</f>
        <v>34.705190389999999</v>
      </c>
      <c r="J454" s="19">
        <f t="shared" si="828"/>
        <v>1227</v>
      </c>
      <c r="K454" s="20"/>
      <c r="L454" s="20"/>
      <c r="M454" s="20"/>
      <c r="N454" s="20"/>
      <c r="O454" s="20"/>
      <c r="P454" s="20"/>
      <c r="Q454" s="21">
        <f t="shared" ref="Q454" si="847">SUM(J454:P454)</f>
        <v>1227</v>
      </c>
    </row>
    <row r="455" spans="1:17" x14ac:dyDescent="0.35">
      <c r="A455" s="3">
        <v>45687</v>
      </c>
      <c r="B455" s="19">
        <f>34705190.39/1000000</f>
        <v>34.705190389999999</v>
      </c>
      <c r="C455" s="20"/>
      <c r="D455" s="20"/>
      <c r="E455" s="20"/>
      <c r="F455" s="20"/>
      <c r="G455" s="20"/>
      <c r="H455" s="20"/>
      <c r="I455" s="21">
        <f t="shared" ref="I455" si="848">SUM(B455:H455)</f>
        <v>34.705190389999999</v>
      </c>
      <c r="J455" s="19">
        <f t="shared" si="828"/>
        <v>1227</v>
      </c>
      <c r="K455" s="20"/>
      <c r="L455" s="20"/>
      <c r="M455" s="20"/>
      <c r="N455" s="20"/>
      <c r="O455" s="20"/>
      <c r="P455" s="20"/>
      <c r="Q455" s="21">
        <f t="shared" ref="Q455" si="849">SUM(J455:P455)</f>
        <v>1227</v>
      </c>
    </row>
    <row r="456" spans="1:17" x14ac:dyDescent="0.35">
      <c r="A456" s="3">
        <v>45688</v>
      </c>
      <c r="B456" s="19">
        <f>34553175.18/1000000</f>
        <v>34.553175179999997</v>
      </c>
      <c r="C456" s="20"/>
      <c r="D456" s="20"/>
      <c r="E456" s="20"/>
      <c r="F456" s="20"/>
      <c r="G456" s="20"/>
      <c r="H456" s="20"/>
      <c r="I456" s="21">
        <f t="shared" ref="I456" si="850">SUM(B456:H456)</f>
        <v>34.553175179999997</v>
      </c>
      <c r="J456" s="19">
        <f t="shared" si="828"/>
        <v>1227</v>
      </c>
      <c r="K456" s="20"/>
      <c r="L456" s="20"/>
      <c r="M456" s="20"/>
      <c r="N456" s="20"/>
      <c r="O456" s="20"/>
      <c r="P456" s="20"/>
      <c r="Q456" s="21">
        <f t="shared" ref="Q456" si="851">SUM(J456:P456)</f>
        <v>1227</v>
      </c>
    </row>
    <row r="457" spans="1:17" x14ac:dyDescent="0.35">
      <c r="A457" s="3">
        <v>45691</v>
      </c>
      <c r="B457" s="19">
        <f>34371350.18/1000000</f>
        <v>34.37135018</v>
      </c>
      <c r="C457" s="20"/>
      <c r="D457" s="20"/>
      <c r="E457" s="20"/>
      <c r="F457" s="20"/>
      <c r="G457" s="20"/>
      <c r="H457" s="20"/>
      <c r="I457" s="21">
        <f t="shared" ref="I457" si="852">SUM(B457:H457)</f>
        <v>34.37135018</v>
      </c>
      <c r="J457" s="19">
        <f t="shared" si="828"/>
        <v>1227</v>
      </c>
      <c r="K457" s="20"/>
      <c r="L457" s="20"/>
      <c r="M457" s="20"/>
      <c r="N457" s="20"/>
      <c r="O457" s="20"/>
      <c r="P457" s="20"/>
      <c r="Q457" s="21">
        <f t="shared" ref="Q457" si="853">SUM(J457:P457)</f>
        <v>1227</v>
      </c>
    </row>
    <row r="458" spans="1:17" x14ac:dyDescent="0.35">
      <c r="A458" s="3">
        <v>45692</v>
      </c>
      <c r="B458" s="19">
        <f>34271350.18/1000000</f>
        <v>34.271350179999999</v>
      </c>
      <c r="C458" s="20"/>
      <c r="D458" s="20"/>
      <c r="E458" s="20"/>
      <c r="F458" s="20"/>
      <c r="G458" s="20"/>
      <c r="H458" s="20"/>
      <c r="I458" s="21">
        <f t="shared" ref="I458" si="854">SUM(B458:H458)</f>
        <v>34.271350179999999</v>
      </c>
      <c r="J458" s="19">
        <f t="shared" si="828"/>
        <v>1227</v>
      </c>
      <c r="K458" s="20"/>
      <c r="L458" s="20"/>
      <c r="M458" s="20"/>
      <c r="N458" s="20"/>
      <c r="O458" s="20"/>
      <c r="P458" s="20"/>
      <c r="Q458" s="21">
        <f t="shared" ref="Q458" si="855">SUM(J458:P458)</f>
        <v>1227</v>
      </c>
    </row>
    <row r="459" spans="1:17" x14ac:dyDescent="0.35">
      <c r="A459" s="3">
        <v>45693</v>
      </c>
      <c r="B459" s="19">
        <f>34271350.18/1000000</f>
        <v>34.271350179999999</v>
      </c>
      <c r="C459" s="20"/>
      <c r="D459" s="20"/>
      <c r="E459" s="20"/>
      <c r="F459" s="20"/>
      <c r="G459" s="20"/>
      <c r="H459" s="20"/>
      <c r="I459" s="21">
        <f t="shared" ref="I459" si="856">SUM(B459:H459)</f>
        <v>34.271350179999999</v>
      </c>
      <c r="J459" s="19">
        <f t="shared" si="828"/>
        <v>1227</v>
      </c>
      <c r="K459" s="20"/>
      <c r="L459" s="20"/>
      <c r="M459" s="20"/>
      <c r="N459" s="20"/>
      <c r="O459" s="20"/>
      <c r="P459" s="20"/>
      <c r="Q459" s="21">
        <f t="shared" ref="Q459" si="857">SUM(J459:P459)</f>
        <v>1227</v>
      </c>
    </row>
    <row r="460" spans="1:17" x14ac:dyDescent="0.35">
      <c r="A460" s="3">
        <v>45694</v>
      </c>
      <c r="B460" s="19">
        <f>34271050.18/1000000</f>
        <v>34.271050180000003</v>
      </c>
      <c r="C460" s="20"/>
      <c r="D460" s="20"/>
      <c r="E460" s="20"/>
      <c r="F460" s="20"/>
      <c r="G460" s="20"/>
      <c r="H460" s="20"/>
      <c r="I460" s="21">
        <f t="shared" ref="I460" si="858">SUM(B460:H460)</f>
        <v>34.271050180000003</v>
      </c>
      <c r="J460" s="19">
        <f t="shared" si="828"/>
        <v>1227</v>
      </c>
      <c r="K460" s="20"/>
      <c r="L460" s="20"/>
      <c r="M460" s="20"/>
      <c r="N460" s="20"/>
      <c r="O460" s="20"/>
      <c r="P460" s="20"/>
      <c r="Q460" s="21">
        <f t="shared" ref="Q460" si="859">SUM(J460:P460)</f>
        <v>1227</v>
      </c>
    </row>
    <row r="461" spans="1:17" x14ac:dyDescent="0.35">
      <c r="A461" s="3">
        <v>45695</v>
      </c>
      <c r="B461" s="19">
        <f>32110212.1/1000000</f>
        <v>32.110212099999998</v>
      </c>
      <c r="C461" s="20"/>
      <c r="D461" s="20"/>
      <c r="E461" s="20"/>
      <c r="F461" s="20"/>
      <c r="G461" s="20"/>
      <c r="H461" s="20"/>
      <c r="I461" s="21">
        <f t="shared" ref="I461" si="860">SUM(B461:H461)</f>
        <v>32.110212099999998</v>
      </c>
      <c r="J461" s="19">
        <f t="shared" si="828"/>
        <v>1227</v>
      </c>
      <c r="K461" s="20"/>
      <c r="L461" s="20"/>
      <c r="M461" s="20"/>
      <c r="N461" s="20"/>
      <c r="O461" s="20"/>
      <c r="P461" s="20"/>
      <c r="Q461" s="21">
        <f t="shared" ref="Q461" si="861">SUM(J461:P461)</f>
        <v>1227</v>
      </c>
    </row>
    <row r="462" spans="1:17" x14ac:dyDescent="0.35">
      <c r="A462" s="3">
        <v>45698</v>
      </c>
      <c r="B462" s="19">
        <f>32110212.1/1000000</f>
        <v>32.110212099999998</v>
      </c>
      <c r="C462" s="20"/>
      <c r="D462" s="20"/>
      <c r="E462" s="20"/>
      <c r="F462" s="20"/>
      <c r="G462" s="20"/>
      <c r="H462" s="20"/>
      <c r="I462" s="21">
        <f t="shared" ref="I462" si="862">SUM(B462:H462)</f>
        <v>32.110212099999998</v>
      </c>
      <c r="J462" s="19">
        <f t="shared" si="828"/>
        <v>1227</v>
      </c>
      <c r="K462" s="20"/>
      <c r="L462" s="20"/>
      <c r="M462" s="20"/>
      <c r="N462" s="20"/>
      <c r="O462" s="20"/>
      <c r="P462" s="20"/>
      <c r="Q462" s="21">
        <f t="shared" ref="Q462" si="863">SUM(J462:P462)</f>
        <v>1227</v>
      </c>
    </row>
    <row r="463" spans="1:17" x14ac:dyDescent="0.35">
      <c r="A463" s="3">
        <v>45699</v>
      </c>
      <c r="B463" s="19">
        <f>32110212.1/1000000</f>
        <v>32.110212099999998</v>
      </c>
      <c r="C463" s="20"/>
      <c r="D463" s="20"/>
      <c r="E463" s="20"/>
      <c r="F463" s="20"/>
      <c r="G463" s="20"/>
      <c r="H463" s="20"/>
      <c r="I463" s="21">
        <f t="shared" ref="I463" si="864">SUM(B463:H463)</f>
        <v>32.110212099999998</v>
      </c>
      <c r="J463" s="19">
        <f t="shared" si="828"/>
        <v>1227</v>
      </c>
      <c r="K463" s="20"/>
      <c r="L463" s="20"/>
      <c r="M463" s="20"/>
      <c r="N463" s="20"/>
      <c r="O463" s="20"/>
      <c r="P463" s="20"/>
      <c r="Q463" s="21">
        <f t="shared" ref="Q463" si="865">SUM(J463:P463)</f>
        <v>1227</v>
      </c>
    </row>
    <row r="464" spans="1:17" x14ac:dyDescent="0.35">
      <c r="A464" s="3">
        <v>45700</v>
      </c>
      <c r="B464" s="19">
        <f>32033239.73/1000000</f>
        <v>32.033239729999998</v>
      </c>
      <c r="C464" s="20"/>
      <c r="D464" s="20"/>
      <c r="E464" s="20"/>
      <c r="F464" s="20"/>
      <c r="G464" s="20"/>
      <c r="H464" s="20"/>
      <c r="I464" s="21">
        <f t="shared" ref="I464" si="866">SUM(B464:H464)</f>
        <v>32.033239729999998</v>
      </c>
      <c r="J464" s="19">
        <f t="shared" si="828"/>
        <v>1227</v>
      </c>
      <c r="K464" s="20"/>
      <c r="L464" s="20"/>
      <c r="M464" s="20"/>
      <c r="N464" s="20"/>
      <c r="O464" s="20"/>
      <c r="P464" s="20"/>
      <c r="Q464" s="21">
        <f t="shared" ref="Q464" si="867">SUM(J464:P464)</f>
        <v>1227</v>
      </c>
    </row>
    <row r="465" spans="1:17" x14ac:dyDescent="0.35">
      <c r="A465" s="3">
        <v>45701</v>
      </c>
      <c r="B465" s="19">
        <f>32013235.76/1000000</f>
        <v>32.013235760000001</v>
      </c>
      <c r="C465" s="20"/>
      <c r="D465" s="20"/>
      <c r="E465" s="20"/>
      <c r="F465" s="20"/>
      <c r="G465" s="20"/>
      <c r="H465" s="20"/>
      <c r="I465" s="21">
        <f t="shared" ref="I465" si="868">SUM(B465:H465)</f>
        <v>32.013235760000001</v>
      </c>
      <c r="J465" s="19">
        <f t="shared" si="828"/>
        <v>1227</v>
      </c>
      <c r="K465" s="20"/>
      <c r="L465" s="20"/>
      <c r="M465" s="20"/>
      <c r="N465" s="20"/>
      <c r="O465" s="20"/>
      <c r="P465" s="20"/>
      <c r="Q465" s="21">
        <f t="shared" ref="Q465" si="869">SUM(J465:P465)</f>
        <v>1227</v>
      </c>
    </row>
    <row r="466" spans="1:17" x14ac:dyDescent="0.35">
      <c r="A466" s="3">
        <v>45702</v>
      </c>
      <c r="B466" s="19">
        <f>16968335.76/1000000</f>
        <v>16.968335760000002</v>
      </c>
      <c r="C466" s="20"/>
      <c r="D466" s="20"/>
      <c r="E466" s="20">
        <f>'Daily exchange'!K129</f>
        <v>14.455668255904001</v>
      </c>
      <c r="F466" s="20"/>
      <c r="G466" s="20"/>
      <c r="H466" s="20"/>
      <c r="I466" s="21">
        <f t="shared" ref="I466" si="870">SUM(B466:H466)</f>
        <v>31.424004015904003</v>
      </c>
      <c r="J466" s="19">
        <f>1227000000/1000000</f>
        <v>1227</v>
      </c>
      <c r="K466" s="20"/>
      <c r="L466" s="20"/>
      <c r="M466" s="20"/>
      <c r="N466" s="20"/>
      <c r="O466" s="20"/>
      <c r="P466" s="20"/>
      <c r="Q466" s="21">
        <f t="shared" ref="Q466" si="871">SUM(J466:P466)</f>
        <v>1227</v>
      </c>
    </row>
    <row r="467" spans="1:17" x14ac:dyDescent="0.35">
      <c r="A467" s="3">
        <v>45705</v>
      </c>
      <c r="B467" s="19">
        <f>30320695.49/1000000</f>
        <v>30.320695489999999</v>
      </c>
      <c r="C467" s="20"/>
      <c r="D467" s="20"/>
      <c r="E467" s="20">
        <f>'Daily exchange'!K130</f>
        <v>14.492230470112002</v>
      </c>
      <c r="F467" s="20"/>
      <c r="G467" s="20"/>
      <c r="H467" s="20"/>
      <c r="I467" s="21">
        <f t="shared" ref="I467" si="872">SUM(B467:H467)</f>
        <v>44.812925960111997</v>
      </c>
      <c r="J467" s="19">
        <f t="shared" ref="J467:J475" si="873">1237000000/1000000</f>
        <v>1237</v>
      </c>
      <c r="K467" s="20"/>
      <c r="L467" s="20"/>
      <c r="M467" s="20"/>
      <c r="N467" s="20"/>
      <c r="O467" s="20"/>
      <c r="P467" s="20"/>
      <c r="Q467" s="21">
        <f t="shared" ref="Q467" si="874">SUM(J467:P467)</f>
        <v>1237</v>
      </c>
    </row>
    <row r="468" spans="1:17" x14ac:dyDescent="0.35">
      <c r="A468" s="3">
        <v>45706</v>
      </c>
      <c r="B468" s="19">
        <f>27845942.122/1000000</f>
        <v>27.845942122</v>
      </c>
      <c r="C468" s="20"/>
      <c r="D468" s="20"/>
      <c r="E468" s="20">
        <f>'Daily exchange'!K131</f>
        <v>15.640185872039998</v>
      </c>
      <c r="F468" s="20"/>
      <c r="G468" s="20"/>
      <c r="H468" s="20"/>
      <c r="I468" s="21">
        <f t="shared" ref="I468" si="875">SUM(B468:H468)</f>
        <v>43.486127994039997</v>
      </c>
      <c r="J468" s="19">
        <f t="shared" si="873"/>
        <v>1237</v>
      </c>
      <c r="K468" s="20"/>
      <c r="L468" s="20"/>
      <c r="M468" s="20"/>
      <c r="N468" s="20"/>
      <c r="O468" s="20"/>
      <c r="P468" s="20"/>
      <c r="Q468" s="21">
        <f t="shared" ref="Q468" si="876">SUM(J468:P468)</f>
        <v>1237</v>
      </c>
    </row>
    <row r="469" spans="1:17" x14ac:dyDescent="0.35">
      <c r="A469" s="3">
        <v>45707</v>
      </c>
      <c r="B469" s="19">
        <f>27845942.122/1000000</f>
        <v>27.845942122</v>
      </c>
      <c r="C469" s="20"/>
      <c r="D469" s="20"/>
      <c r="E469" s="20">
        <f>'Daily exchange'!K132</f>
        <v>2.7940425874320001</v>
      </c>
      <c r="F469" s="20"/>
      <c r="G469" s="20"/>
      <c r="H469" s="20"/>
      <c r="I469" s="21">
        <f t="shared" ref="I469" si="877">SUM(B469:H469)</f>
        <v>30.639984709431999</v>
      </c>
      <c r="J469" s="19">
        <f t="shared" si="873"/>
        <v>1237</v>
      </c>
      <c r="K469" s="20"/>
      <c r="L469" s="20"/>
      <c r="M469" s="20"/>
      <c r="N469" s="20"/>
      <c r="O469" s="20"/>
      <c r="P469" s="20"/>
      <c r="Q469" s="21">
        <f t="shared" ref="Q469" si="878">SUM(J469:P469)</f>
        <v>1237</v>
      </c>
    </row>
    <row r="470" spans="1:17" x14ac:dyDescent="0.35">
      <c r="A470" s="3">
        <v>45708</v>
      </c>
      <c r="B470" s="19">
        <f>30474649.61/1000000</f>
        <v>30.47464961</v>
      </c>
      <c r="C470" s="20"/>
      <c r="D470" s="20"/>
      <c r="E470" s="20">
        <f>'Daily exchange'!K133</f>
        <v>0</v>
      </c>
      <c r="F470" s="20"/>
      <c r="G470" s="20"/>
      <c r="H470" s="20"/>
      <c r="I470" s="21">
        <f t="shared" ref="I470" si="879">SUM(B470:H470)</f>
        <v>30.47464961</v>
      </c>
      <c r="J470" s="19">
        <f t="shared" si="873"/>
        <v>1237</v>
      </c>
      <c r="K470" s="20"/>
      <c r="L470" s="20"/>
      <c r="M470" s="20"/>
      <c r="N470" s="20"/>
      <c r="O470" s="20"/>
      <c r="P470" s="20"/>
      <c r="Q470" s="21">
        <f t="shared" ref="Q470" si="880">SUM(J470:P470)</f>
        <v>1237</v>
      </c>
    </row>
    <row r="471" spans="1:17" x14ac:dyDescent="0.35">
      <c r="A471" s="3">
        <v>45709</v>
      </c>
      <c r="B471" s="19">
        <f>30465516.61/1000000</f>
        <v>30.465516609999998</v>
      </c>
      <c r="C471" s="20"/>
      <c r="D471" s="20"/>
      <c r="E471" s="20"/>
      <c r="F471" s="20"/>
      <c r="G471" s="20"/>
      <c r="H471" s="20"/>
      <c r="I471" s="21">
        <f t="shared" ref="I471" si="881">SUM(B471:H471)</f>
        <v>30.465516609999998</v>
      </c>
      <c r="J471" s="19">
        <f t="shared" si="873"/>
        <v>1237</v>
      </c>
      <c r="K471" s="20"/>
      <c r="L471" s="20"/>
      <c r="M471" s="20"/>
      <c r="N471" s="20"/>
      <c r="O471" s="20"/>
      <c r="P471" s="20"/>
      <c r="Q471" s="21">
        <f t="shared" ref="Q471" si="882">SUM(J471:P471)</f>
        <v>1237</v>
      </c>
    </row>
    <row r="472" spans="1:17" x14ac:dyDescent="0.35">
      <c r="A472" s="3">
        <v>45712</v>
      </c>
      <c r="B472" s="19">
        <f>27634729.37/1000000</f>
        <v>27.634729370000002</v>
      </c>
      <c r="C472" s="20"/>
      <c r="D472" s="20"/>
      <c r="E472" s="20"/>
      <c r="F472" s="20"/>
      <c r="G472" s="20"/>
      <c r="H472" s="20"/>
      <c r="I472" s="21">
        <f t="shared" ref="I472" si="883">SUM(B472:H472)</f>
        <v>27.634729370000002</v>
      </c>
      <c r="J472" s="19">
        <f t="shared" si="873"/>
        <v>1237</v>
      </c>
      <c r="K472" s="20"/>
      <c r="L472" s="20"/>
      <c r="M472" s="20"/>
      <c r="N472" s="20"/>
      <c r="O472" s="20"/>
      <c r="P472" s="20"/>
      <c r="Q472" s="21">
        <f t="shared" ref="Q472" si="884">SUM(J472:P472)</f>
        <v>1237</v>
      </c>
    </row>
    <row r="473" spans="1:17" x14ac:dyDescent="0.35">
      <c r="A473" s="3">
        <v>45713</v>
      </c>
      <c r="B473" s="19">
        <f>27539222.4/1000000</f>
        <v>27.5392224</v>
      </c>
      <c r="C473" s="20"/>
      <c r="D473" s="20"/>
      <c r="E473" s="20"/>
      <c r="F473" s="20"/>
      <c r="G473" s="20"/>
      <c r="H473" s="20"/>
      <c r="I473" s="21">
        <f t="shared" ref="I473" si="885">SUM(B473:H473)</f>
        <v>27.5392224</v>
      </c>
      <c r="J473" s="19">
        <f t="shared" si="873"/>
        <v>1237</v>
      </c>
      <c r="K473" s="20"/>
      <c r="L473" s="20"/>
      <c r="M473" s="20"/>
      <c r="N473" s="20"/>
      <c r="O473" s="20"/>
      <c r="P473" s="20"/>
      <c r="Q473" s="21">
        <f t="shared" ref="Q473" si="886">SUM(J473:P473)</f>
        <v>1237</v>
      </c>
    </row>
    <row r="474" spans="1:17" x14ac:dyDescent="0.35">
      <c r="A474" s="3">
        <v>45714</v>
      </c>
      <c r="B474" s="19">
        <f>27539222.4/1000000</f>
        <v>27.5392224</v>
      </c>
      <c r="C474" s="20"/>
      <c r="D474" s="20"/>
      <c r="E474" s="20"/>
      <c r="F474" s="20"/>
      <c r="G474" s="20"/>
      <c r="H474" s="20"/>
      <c r="I474" s="21">
        <f t="shared" ref="I474" si="887">SUM(B474:H474)</f>
        <v>27.5392224</v>
      </c>
      <c r="J474" s="19">
        <f t="shared" si="873"/>
        <v>1237</v>
      </c>
      <c r="K474" s="20"/>
      <c r="L474" s="20"/>
      <c r="M474" s="20"/>
      <c r="N474" s="20"/>
      <c r="O474" s="20"/>
      <c r="P474" s="20"/>
      <c r="Q474" s="21">
        <f t="shared" ref="Q474" si="888">SUM(J474:P474)</f>
        <v>1237</v>
      </c>
    </row>
    <row r="475" spans="1:17" x14ac:dyDescent="0.35">
      <c r="A475" s="3">
        <v>45715</v>
      </c>
      <c r="B475" s="19">
        <f>27532344.08/1000000</f>
        <v>27.532344079999998</v>
      </c>
      <c r="C475" s="20"/>
      <c r="D475" s="20"/>
      <c r="E475" s="20"/>
      <c r="F475" s="20"/>
      <c r="G475" s="20"/>
      <c r="H475" s="20"/>
      <c r="I475" s="21">
        <f t="shared" ref="I475" si="889">SUM(B475:H475)</f>
        <v>27.532344079999998</v>
      </c>
      <c r="J475" s="19">
        <f t="shared" si="873"/>
        <v>1237</v>
      </c>
      <c r="K475" s="20"/>
      <c r="L475" s="20"/>
      <c r="M475" s="20"/>
      <c r="N475" s="20"/>
      <c r="O475" s="20"/>
      <c r="P475" s="20"/>
      <c r="Q475" s="21">
        <f t="shared" ref="Q475" si="890">SUM(J475:P475)</f>
        <v>1237</v>
      </c>
    </row>
    <row r="476" spans="1:17" x14ac:dyDescent="0.35">
      <c r="A476" s="3">
        <v>45716</v>
      </c>
      <c r="B476" s="19">
        <f>27527810.08/1000000</f>
        <v>27.527810079999998</v>
      </c>
      <c r="C476" s="20"/>
      <c r="D476" s="20"/>
      <c r="E476" s="20"/>
      <c r="F476" s="20"/>
      <c r="G476" s="20"/>
      <c r="H476" s="20"/>
      <c r="I476" s="21">
        <f t="shared" ref="I476" si="891">SUM(B476:H476)</f>
        <v>27.527810079999998</v>
      </c>
      <c r="J476" s="19">
        <f>1237000000/1000000</f>
        <v>1237</v>
      </c>
      <c r="K476" s="20"/>
      <c r="L476" s="20"/>
      <c r="M476" s="20"/>
      <c r="N476" s="20"/>
      <c r="O476" s="20"/>
      <c r="P476" s="20"/>
      <c r="Q476" s="21">
        <f t="shared" ref="Q476" si="892">SUM(J476:P476)</f>
        <v>1237</v>
      </c>
    </row>
    <row r="477" spans="1:17" x14ac:dyDescent="0.35">
      <c r="A477" s="3">
        <v>45719</v>
      </c>
      <c r="B477" s="19">
        <f>336637708.23/1000000</f>
        <v>336.63770823000004</v>
      </c>
      <c r="C477" s="20"/>
      <c r="D477" s="20"/>
      <c r="E477" s="20"/>
      <c r="F477" s="20"/>
      <c r="G477" s="20"/>
      <c r="H477" s="20"/>
      <c r="I477" s="21">
        <f t="shared" ref="I477" si="893">SUM(B477:H477)</f>
        <v>336.63770823000004</v>
      </c>
      <c r="J477" s="19">
        <f>930000000/1000000</f>
        <v>930</v>
      </c>
      <c r="K477" s="20"/>
      <c r="L477" s="20"/>
      <c r="M477" s="20"/>
      <c r="N477" s="20"/>
      <c r="O477" s="20"/>
      <c r="P477" s="20"/>
      <c r="Q477" s="21">
        <f t="shared" ref="Q477" si="894">SUM(J477:P477)</f>
        <v>930</v>
      </c>
    </row>
    <row r="478" spans="1:17" x14ac:dyDescent="0.35">
      <c r="A478" s="3">
        <v>45720</v>
      </c>
      <c r="B478" s="19">
        <f>29637708.23/1000000</f>
        <v>29.637708230000001</v>
      </c>
      <c r="C478" s="20"/>
      <c r="D478" s="20"/>
      <c r="E478" s="20"/>
      <c r="F478" s="20"/>
      <c r="G478" s="20"/>
      <c r="H478" s="20"/>
      <c r="I478" s="21">
        <f t="shared" ref="I478" si="895">SUM(B478:H478)</f>
        <v>29.637708230000001</v>
      </c>
      <c r="J478" s="19">
        <f>1220000000/1000000</f>
        <v>1220</v>
      </c>
      <c r="K478" s="20"/>
      <c r="L478" s="20"/>
      <c r="M478" s="20"/>
      <c r="N478" s="20"/>
      <c r="O478" s="20"/>
      <c r="P478" s="20"/>
      <c r="Q478" s="21">
        <f t="shared" ref="Q478" si="896">SUM(J478:P478)</f>
        <v>1220</v>
      </c>
    </row>
    <row r="479" spans="1:17" x14ac:dyDescent="0.35">
      <c r="A479" s="3">
        <v>45721</v>
      </c>
      <c r="B479" s="19">
        <f>29637708.23/1000000</f>
        <v>29.637708230000001</v>
      </c>
      <c r="C479" s="20"/>
      <c r="D479" s="20"/>
      <c r="E479" s="20"/>
      <c r="F479" s="20"/>
      <c r="G479" s="20"/>
      <c r="H479" s="20"/>
      <c r="I479" s="21">
        <f t="shared" ref="I479" si="897">SUM(B479:H479)</f>
        <v>29.637708230000001</v>
      </c>
      <c r="J479" s="19">
        <f>1220000000/1000000</f>
        <v>1220</v>
      </c>
      <c r="K479" s="20"/>
      <c r="L479" s="20"/>
      <c r="M479" s="20"/>
      <c r="N479" s="20"/>
      <c r="O479" s="20"/>
      <c r="P479" s="20"/>
      <c r="Q479" s="21">
        <f t="shared" ref="Q479" si="898">SUM(J479:P479)</f>
        <v>1220</v>
      </c>
    </row>
    <row r="480" spans="1:17" x14ac:dyDescent="0.35">
      <c r="A480" s="3">
        <v>45722</v>
      </c>
      <c r="B480" s="19">
        <f>29087947.23/1000000</f>
        <v>29.087947230000001</v>
      </c>
      <c r="C480" s="20"/>
      <c r="D480" s="20"/>
      <c r="E480" s="20"/>
      <c r="F480" s="20"/>
      <c r="G480" s="20"/>
      <c r="H480" s="20"/>
      <c r="I480" s="21">
        <f t="shared" ref="I480" si="899">SUM(B480:H480)</f>
        <v>29.087947230000001</v>
      </c>
      <c r="J480" s="19">
        <f t="shared" ref="J480:J498" si="900">1220000000/1000000</f>
        <v>1220</v>
      </c>
      <c r="K480" s="20"/>
      <c r="L480" s="20"/>
      <c r="M480" s="20"/>
      <c r="N480" s="20"/>
      <c r="O480" s="20"/>
      <c r="P480" s="20"/>
      <c r="Q480" s="21">
        <f t="shared" ref="Q480" si="901">SUM(J480:P480)</f>
        <v>1220</v>
      </c>
    </row>
    <row r="481" spans="1:17" x14ac:dyDescent="0.35">
      <c r="A481" s="3">
        <v>45723</v>
      </c>
      <c r="B481" s="19">
        <f>27437934.6/1000000</f>
        <v>27.437934600000002</v>
      </c>
      <c r="C481" s="20"/>
      <c r="D481" s="20"/>
      <c r="E481" s="20">
        <f>'Daily exchange'!K134</f>
        <v>12.619077520895999</v>
      </c>
      <c r="F481" s="20"/>
      <c r="G481" s="20"/>
      <c r="H481" s="20"/>
      <c r="I481" s="21">
        <f t="shared" ref="I481" si="902">SUM(B481:H481)</f>
        <v>40.057012120896005</v>
      </c>
      <c r="J481" s="19">
        <f t="shared" si="900"/>
        <v>1220</v>
      </c>
      <c r="K481" s="20"/>
      <c r="L481" s="20"/>
      <c r="M481" s="20"/>
      <c r="N481" s="20"/>
      <c r="O481" s="20"/>
      <c r="P481" s="20"/>
      <c r="Q481" s="21">
        <f t="shared" ref="Q481" si="903">SUM(J481:P481)</f>
        <v>1220</v>
      </c>
    </row>
    <row r="482" spans="1:17" x14ac:dyDescent="0.35">
      <c r="A482" s="3">
        <v>45726</v>
      </c>
      <c r="B482" s="19">
        <f>27413087.04/1000000</f>
        <v>27.413087040000001</v>
      </c>
      <c r="C482" s="20"/>
      <c r="D482" s="20"/>
      <c r="E482" s="20">
        <f>'Daily exchange'!K135</f>
        <v>12.567221955456001</v>
      </c>
      <c r="F482" s="20"/>
      <c r="G482" s="20"/>
      <c r="H482" s="20"/>
      <c r="I482" s="21">
        <f t="shared" ref="I482" si="904">SUM(B482:H482)</f>
        <v>39.980308995455999</v>
      </c>
      <c r="J482" s="19">
        <f t="shared" si="900"/>
        <v>1220</v>
      </c>
      <c r="K482" s="20"/>
      <c r="L482" s="20"/>
      <c r="M482" s="20"/>
      <c r="N482" s="20"/>
      <c r="O482" s="20"/>
      <c r="P482" s="20"/>
      <c r="Q482" s="21">
        <f t="shared" ref="Q482" si="905">SUM(J482:P482)</f>
        <v>1220</v>
      </c>
    </row>
    <row r="483" spans="1:17" x14ac:dyDescent="0.35">
      <c r="A483" s="3">
        <v>45727</v>
      </c>
      <c r="B483" s="19">
        <f>25763087.04/1000000</f>
        <v>25.763087039999998</v>
      </c>
      <c r="C483" s="20"/>
      <c r="D483" s="20"/>
      <c r="E483" s="20">
        <f>'Daily exchange'!K136</f>
        <v>12.404056621824001</v>
      </c>
      <c r="F483" s="20"/>
      <c r="G483" s="20"/>
      <c r="H483" s="20"/>
      <c r="I483" s="21">
        <f t="shared" ref="I483" si="906">SUM(B483:H483)</f>
        <v>38.167143661823999</v>
      </c>
      <c r="J483" s="19">
        <f t="shared" si="900"/>
        <v>1220</v>
      </c>
      <c r="K483" s="20"/>
      <c r="L483" s="20"/>
      <c r="M483" s="20"/>
      <c r="N483" s="20"/>
      <c r="O483" s="20"/>
      <c r="P483" s="20"/>
      <c r="Q483" s="21">
        <f t="shared" ref="Q483" si="907">SUM(J483:P483)</f>
        <v>1220</v>
      </c>
    </row>
    <row r="484" spans="1:17" x14ac:dyDescent="0.35">
      <c r="A484" s="3">
        <v>45728</v>
      </c>
      <c r="B484" s="19">
        <f>25766350.13/1000000</f>
        <v>25.766350129999999</v>
      </c>
      <c r="C484" s="20"/>
      <c r="D484" s="20"/>
      <c r="E484" s="20">
        <f>'Daily exchange'!K137</f>
        <v>12.163775387904002</v>
      </c>
      <c r="F484" s="20"/>
      <c r="G484" s="20"/>
      <c r="H484" s="20"/>
      <c r="I484" s="21">
        <f t="shared" ref="I484" si="908">SUM(B484:H484)</f>
        <v>37.930125517904003</v>
      </c>
      <c r="J484" s="19">
        <f t="shared" si="900"/>
        <v>1220</v>
      </c>
      <c r="K484" s="20"/>
      <c r="L484" s="20"/>
      <c r="M484" s="20"/>
      <c r="N484" s="20"/>
      <c r="O484" s="20"/>
      <c r="P484" s="20"/>
      <c r="Q484" s="21">
        <f t="shared" ref="Q484" si="909">SUM(J484:P484)</f>
        <v>1220</v>
      </c>
    </row>
    <row r="485" spans="1:17" x14ac:dyDescent="0.35">
      <c r="A485" s="3">
        <v>45729</v>
      </c>
      <c r="B485" s="19">
        <f>25766350.13/1000000</f>
        <v>25.766350129999999</v>
      </c>
      <c r="C485" s="20"/>
      <c r="D485" s="20"/>
      <c r="E485" s="20">
        <f>'Daily exchange'!K138</f>
        <v>12.244279869696001</v>
      </c>
      <c r="F485" s="20"/>
      <c r="G485" s="20"/>
      <c r="H485" s="20"/>
      <c r="I485" s="21">
        <f t="shared" ref="I485" si="910">SUM(B485:H485)</f>
        <v>38.010629999696</v>
      </c>
      <c r="J485" s="19">
        <f t="shared" si="900"/>
        <v>1220</v>
      </c>
      <c r="K485" s="20"/>
      <c r="L485" s="20"/>
      <c r="M485" s="20"/>
      <c r="N485" s="20"/>
      <c r="O485" s="20"/>
      <c r="P485" s="20"/>
      <c r="Q485" s="21">
        <f t="shared" ref="Q485" si="911">SUM(J485:P485)</f>
        <v>1220</v>
      </c>
    </row>
    <row r="486" spans="1:17" x14ac:dyDescent="0.35">
      <c r="A486" s="3">
        <v>45730</v>
      </c>
      <c r="B486" s="19">
        <f>25688136.53/1000000</f>
        <v>25.688136530000001</v>
      </c>
      <c r="C486" s="20"/>
      <c r="D486" s="20"/>
      <c r="E486" s="20">
        <f>'Daily exchange'!K139</f>
        <v>12.191705514239999</v>
      </c>
      <c r="F486" s="20"/>
      <c r="G486" s="20"/>
      <c r="H486" s="20"/>
      <c r="I486" s="21">
        <f t="shared" ref="I486" si="912">SUM(B486:H486)</f>
        <v>37.87984204424</v>
      </c>
      <c r="J486" s="19">
        <f t="shared" si="900"/>
        <v>1220</v>
      </c>
      <c r="K486" s="20"/>
      <c r="L486" s="20"/>
      <c r="M486" s="20"/>
      <c r="N486" s="20"/>
      <c r="O486" s="20"/>
      <c r="P486" s="20"/>
      <c r="Q486" s="21">
        <f t="shared" ref="Q486" si="913">SUM(J486:P486)</f>
        <v>1220</v>
      </c>
    </row>
    <row r="487" spans="1:17" x14ac:dyDescent="0.35">
      <c r="A487" s="3">
        <v>45733</v>
      </c>
      <c r="B487" s="19">
        <f>25688136.53/1000000</f>
        <v>25.688136530000001</v>
      </c>
      <c r="C487" s="20"/>
      <c r="D487" s="20"/>
      <c r="E487" s="20">
        <f>'Daily exchange'!K140</f>
        <v>12.133894260096001</v>
      </c>
      <c r="F487" s="20"/>
      <c r="G487" s="20"/>
      <c r="H487" s="20"/>
      <c r="I487" s="21">
        <f t="shared" ref="I487" si="914">SUM(B487:H487)</f>
        <v>37.822030790096001</v>
      </c>
      <c r="J487" s="19">
        <f t="shared" si="900"/>
        <v>1220</v>
      </c>
      <c r="K487" s="20"/>
      <c r="L487" s="20"/>
      <c r="M487" s="20"/>
      <c r="N487" s="20"/>
      <c r="O487" s="20"/>
      <c r="P487" s="20"/>
      <c r="Q487" s="21">
        <f t="shared" ref="Q487" si="915">SUM(J487:P487)</f>
        <v>1220</v>
      </c>
    </row>
    <row r="488" spans="1:17" x14ac:dyDescent="0.35">
      <c r="A488" s="3">
        <v>45734</v>
      </c>
      <c r="B488" s="19">
        <f>24798821.4/1000000</f>
        <v>24.798821399999998</v>
      </c>
      <c r="C488" s="20"/>
      <c r="D488" s="20"/>
      <c r="E488" s="20">
        <f>'Daily exchange'!K141</f>
        <v>0</v>
      </c>
      <c r="F488" s="20"/>
      <c r="G488" s="20"/>
      <c r="H488" s="20"/>
      <c r="I488" s="21">
        <f t="shared" ref="I488" si="916">SUM(B488:H488)</f>
        <v>24.798821399999998</v>
      </c>
      <c r="J488" s="19">
        <f t="shared" si="900"/>
        <v>1220</v>
      </c>
      <c r="K488" s="20"/>
      <c r="L488" s="20"/>
      <c r="M488" s="20"/>
      <c r="N488" s="20"/>
      <c r="O488" s="20"/>
      <c r="P488" s="20"/>
      <c r="Q488" s="21">
        <f t="shared" ref="Q488" si="917">SUM(J488:P488)</f>
        <v>1220</v>
      </c>
    </row>
    <row r="489" spans="1:17" x14ac:dyDescent="0.35">
      <c r="A489" s="3">
        <v>45735</v>
      </c>
      <c r="B489" s="19">
        <f>25212076.82/1000000</f>
        <v>25.21207682</v>
      </c>
      <c r="C489" s="20"/>
      <c r="D489" s="20"/>
      <c r="E489" s="20"/>
      <c r="F489" s="20"/>
      <c r="G489" s="20"/>
      <c r="H489" s="20"/>
      <c r="I489" s="21">
        <f t="shared" ref="I489" si="918">SUM(B489:H489)</f>
        <v>25.21207682</v>
      </c>
      <c r="J489" s="19">
        <f t="shared" si="900"/>
        <v>1220</v>
      </c>
      <c r="K489" s="20"/>
      <c r="L489" s="20"/>
      <c r="M489" s="20"/>
      <c r="N489" s="20"/>
      <c r="O489" s="20"/>
      <c r="P489" s="20"/>
      <c r="Q489" s="21">
        <f t="shared" ref="Q489" si="919">SUM(J489:P489)</f>
        <v>1220</v>
      </c>
    </row>
    <row r="490" spans="1:17" x14ac:dyDescent="0.35">
      <c r="A490" s="3">
        <v>45736</v>
      </c>
      <c r="B490" s="19">
        <f>24745879.42/1000000</f>
        <v>24.745879420000001</v>
      </c>
      <c r="C490" s="20"/>
      <c r="D490" s="20"/>
      <c r="E490" s="20"/>
      <c r="F490" s="20"/>
      <c r="G490" s="20"/>
      <c r="H490" s="20"/>
      <c r="I490" s="21">
        <f t="shared" ref="I490" si="920">SUM(B490:H490)</f>
        <v>24.745879420000001</v>
      </c>
      <c r="J490" s="19">
        <f t="shared" si="900"/>
        <v>1220</v>
      </c>
      <c r="K490" s="20"/>
      <c r="L490" s="20"/>
      <c r="M490" s="20"/>
      <c r="N490" s="20"/>
      <c r="O490" s="20"/>
      <c r="P490" s="20"/>
      <c r="Q490" s="21">
        <f t="shared" ref="Q490" si="921">SUM(J490:P490)</f>
        <v>1220</v>
      </c>
    </row>
    <row r="491" spans="1:17" x14ac:dyDescent="0.35">
      <c r="A491" s="3">
        <v>45737</v>
      </c>
      <c r="B491" s="19">
        <f>24591097.42/1000000</f>
        <v>24.591097420000001</v>
      </c>
      <c r="C491" s="20"/>
      <c r="D491" s="20"/>
      <c r="E491" s="20"/>
      <c r="F491" s="20"/>
      <c r="G491" s="20"/>
      <c r="H491" s="20"/>
      <c r="I491" s="21">
        <f t="shared" ref="I491" si="922">SUM(B491:H491)</f>
        <v>24.591097420000001</v>
      </c>
      <c r="J491" s="19">
        <f t="shared" si="900"/>
        <v>1220</v>
      </c>
      <c r="K491" s="20"/>
      <c r="L491" s="20"/>
      <c r="M491" s="20"/>
      <c r="N491" s="20"/>
      <c r="O491" s="20"/>
      <c r="P491" s="20"/>
      <c r="Q491" s="21">
        <f t="shared" ref="Q491" si="923">SUM(J491:P491)</f>
        <v>1220</v>
      </c>
    </row>
    <row r="492" spans="1:17" x14ac:dyDescent="0.35">
      <c r="A492" s="3">
        <v>45740</v>
      </c>
      <c r="B492" s="19">
        <f>21787977.21/1000000</f>
        <v>21.787977210000001</v>
      </c>
      <c r="C492" s="20"/>
      <c r="D492" s="20"/>
      <c r="E492" s="20"/>
      <c r="F492" s="20"/>
      <c r="G492" s="20"/>
      <c r="H492" s="20"/>
      <c r="I492" s="21">
        <f t="shared" ref="I492" si="924">SUM(B492:H492)</f>
        <v>21.787977210000001</v>
      </c>
      <c r="J492" s="19">
        <f t="shared" si="900"/>
        <v>1220</v>
      </c>
      <c r="K492" s="20"/>
      <c r="L492" s="20"/>
      <c r="M492" s="20"/>
      <c r="N492" s="20"/>
      <c r="O492" s="20"/>
      <c r="P492" s="20"/>
      <c r="Q492" s="21">
        <f t="shared" ref="Q492" si="925">SUM(J492:P492)</f>
        <v>1220</v>
      </c>
    </row>
    <row r="493" spans="1:17" x14ac:dyDescent="0.35">
      <c r="A493" s="3">
        <v>45741</v>
      </c>
      <c r="B493" s="19">
        <f>21719555.71/1000000</f>
        <v>21.719555710000002</v>
      </c>
      <c r="C493" s="20"/>
      <c r="D493" s="20"/>
      <c r="E493" s="20"/>
      <c r="F493" s="20"/>
      <c r="G493" s="20"/>
      <c r="H493" s="20"/>
      <c r="I493" s="21">
        <f t="shared" ref="I493" si="926">SUM(B493:H493)</f>
        <v>21.719555710000002</v>
      </c>
      <c r="J493" s="19">
        <f t="shared" si="900"/>
        <v>1220</v>
      </c>
      <c r="K493" s="20"/>
      <c r="L493" s="20"/>
      <c r="M493" s="20"/>
      <c r="N493" s="20"/>
      <c r="O493" s="20"/>
      <c r="P493" s="20"/>
      <c r="Q493" s="21">
        <f t="shared" ref="Q493" si="927">SUM(J493:P493)</f>
        <v>1220</v>
      </c>
    </row>
    <row r="494" spans="1:17" x14ac:dyDescent="0.35">
      <c r="A494" s="3">
        <v>45742</v>
      </c>
      <c r="B494" s="19">
        <f>26334119.41/1000000</f>
        <v>26.33411941</v>
      </c>
      <c r="C494" s="20"/>
      <c r="D494" s="20"/>
      <c r="E494" s="20"/>
      <c r="F494" s="20"/>
      <c r="G494" s="20"/>
      <c r="H494" s="20"/>
      <c r="I494" s="21">
        <f t="shared" ref="I494" si="928">SUM(B494:H494)</f>
        <v>26.33411941</v>
      </c>
      <c r="J494" s="19">
        <f t="shared" si="900"/>
        <v>1220</v>
      </c>
      <c r="K494" s="20"/>
      <c r="L494" s="20"/>
      <c r="M494" s="20"/>
      <c r="N494" s="20"/>
      <c r="O494" s="20"/>
      <c r="P494" s="20"/>
      <c r="Q494" s="21">
        <f t="shared" ref="Q494" si="929">SUM(J494:P494)</f>
        <v>1220</v>
      </c>
    </row>
    <row r="495" spans="1:17" x14ac:dyDescent="0.35">
      <c r="A495" s="3">
        <v>45743</v>
      </c>
      <c r="B495" s="19">
        <f>26315776.89/1000000</f>
        <v>26.315776890000002</v>
      </c>
      <c r="C495" s="20"/>
      <c r="D495" s="20"/>
      <c r="E495" s="20"/>
      <c r="F495" s="20"/>
      <c r="G495" s="20"/>
      <c r="H495" s="20"/>
      <c r="I495" s="21">
        <f t="shared" ref="I495" si="930">SUM(B495:H495)</f>
        <v>26.315776890000002</v>
      </c>
      <c r="J495" s="19">
        <f t="shared" si="900"/>
        <v>1220</v>
      </c>
      <c r="K495" s="20"/>
      <c r="L495" s="20"/>
      <c r="M495" s="20"/>
      <c r="N495" s="20"/>
      <c r="O495" s="20"/>
      <c r="P495" s="20"/>
      <c r="Q495" s="21">
        <f t="shared" ref="Q495" si="931">SUM(J495:P495)</f>
        <v>1220</v>
      </c>
    </row>
    <row r="496" spans="1:17" x14ac:dyDescent="0.35">
      <c r="A496" s="3">
        <v>45744</v>
      </c>
      <c r="B496" s="19">
        <f>26159226.89/1000000</f>
        <v>26.159226889999999</v>
      </c>
      <c r="C496" s="20"/>
      <c r="D496" s="20"/>
      <c r="E496" s="20"/>
      <c r="F496" s="20"/>
      <c r="G496" s="20"/>
      <c r="H496" s="20"/>
      <c r="I496" s="21">
        <f t="shared" ref="I496" si="932">SUM(B496:H496)</f>
        <v>26.159226889999999</v>
      </c>
      <c r="J496" s="19">
        <f t="shared" si="900"/>
        <v>1220</v>
      </c>
      <c r="K496" s="20"/>
      <c r="L496" s="20"/>
      <c r="M496" s="20"/>
      <c r="N496" s="20"/>
      <c r="O496" s="20"/>
      <c r="P496" s="20"/>
      <c r="Q496" s="21">
        <f t="shared" ref="Q496" si="933">SUM(J496:P496)</f>
        <v>1220</v>
      </c>
    </row>
    <row r="497" spans="1:17" x14ac:dyDescent="0.35">
      <c r="A497" s="3">
        <v>45747</v>
      </c>
      <c r="B497" s="19">
        <f>55185250.43/1000000</f>
        <v>55.185250429999996</v>
      </c>
      <c r="C497" s="20"/>
      <c r="D497" s="20"/>
      <c r="E497" s="20">
        <f>'Daily exchange'!K142</f>
        <v>12.593372832974998</v>
      </c>
      <c r="F497" s="20"/>
      <c r="G497" s="20"/>
      <c r="H497" s="20"/>
      <c r="I497" s="21">
        <f t="shared" ref="I497" si="934">SUM(B497:H497)</f>
        <v>67.778623262974989</v>
      </c>
      <c r="J497" s="19">
        <f t="shared" si="900"/>
        <v>1220</v>
      </c>
      <c r="K497" s="20"/>
      <c r="L497" s="20"/>
      <c r="M497" s="20"/>
      <c r="N497" s="20"/>
      <c r="O497" s="20"/>
      <c r="P497" s="20"/>
      <c r="Q497" s="21">
        <f t="shared" ref="Q497" si="935">SUM(J497:P497)</f>
        <v>1220</v>
      </c>
    </row>
    <row r="498" spans="1:17" x14ac:dyDescent="0.35">
      <c r="A498" s="3">
        <v>45748</v>
      </c>
      <c r="B498" s="19">
        <f>55071976.43/1000000</f>
        <v>55.071976429999999</v>
      </c>
      <c r="C498" s="20"/>
      <c r="D498" s="20"/>
      <c r="E498" s="20">
        <f>'Daily exchange'!K143</f>
        <v>12.874862056847999</v>
      </c>
      <c r="F498" s="20"/>
      <c r="G498" s="20"/>
      <c r="H498" s="20"/>
      <c r="I498" s="21">
        <f t="shared" ref="I498" si="936">SUM(B498:H498)</f>
        <v>67.946838486847994</v>
      </c>
      <c r="J498" s="19">
        <f t="shared" si="900"/>
        <v>1220</v>
      </c>
      <c r="K498" s="20"/>
      <c r="L498" s="20"/>
      <c r="M498" s="20"/>
      <c r="N498" s="20"/>
      <c r="O498" s="20"/>
      <c r="P498" s="20"/>
      <c r="Q498" s="21">
        <f t="shared" ref="Q498" si="937">SUM(J498:P498)</f>
        <v>1220</v>
      </c>
    </row>
    <row r="499" spans="1:17" x14ac:dyDescent="0.35">
      <c r="A499" s="3">
        <v>45749</v>
      </c>
      <c r="B499" s="19">
        <f>29789103.83/1000000</f>
        <v>29.789103829999998</v>
      </c>
      <c r="C499" s="20"/>
      <c r="D499" s="20"/>
      <c r="E499" s="20">
        <f>'Daily exchange'!K144</f>
        <v>12.753187487997</v>
      </c>
      <c r="F499" s="20"/>
      <c r="G499" s="20"/>
      <c r="H499" s="20"/>
      <c r="I499" s="21">
        <f t="shared" ref="I499" si="938">SUM(B499:H499)</f>
        <v>42.542291317996998</v>
      </c>
      <c r="J499" s="19">
        <f>1250000000/1000000</f>
        <v>1250</v>
      </c>
      <c r="K499" s="20"/>
      <c r="L499" s="20"/>
      <c r="M499" s="20"/>
      <c r="N499" s="20"/>
      <c r="O499" s="20"/>
      <c r="P499" s="20"/>
      <c r="Q499" s="21">
        <f t="shared" ref="Q499" si="939">SUM(J499:P499)</f>
        <v>1250</v>
      </c>
    </row>
    <row r="500" spans="1:17" x14ac:dyDescent="0.35">
      <c r="A500" s="3">
        <v>45750</v>
      </c>
      <c r="B500" s="19">
        <f>29789103.83/1000000</f>
        <v>29.789103829999998</v>
      </c>
      <c r="C500" s="20"/>
      <c r="D500" s="20"/>
      <c r="E500" s="20">
        <f>'Daily exchange'!K145</f>
        <v>12.668443953594</v>
      </c>
      <c r="F500" s="20"/>
      <c r="G500" s="20"/>
      <c r="H500" s="20"/>
      <c r="I500" s="21">
        <f t="shared" ref="I500" si="940">SUM(B500:H500)</f>
        <v>42.457547783593995</v>
      </c>
      <c r="J500" s="19">
        <f>1250000000/1000000</f>
        <v>1250</v>
      </c>
      <c r="K500" s="20"/>
      <c r="L500" s="20"/>
      <c r="M500" s="20"/>
      <c r="N500" s="20"/>
      <c r="O500" s="20"/>
      <c r="P500" s="20"/>
      <c r="Q500" s="21">
        <f t="shared" ref="Q500" si="941">SUM(J500:P500)</f>
        <v>1250</v>
      </c>
    </row>
    <row r="501" spans="1:17" x14ac:dyDescent="0.35">
      <c r="A501" s="3">
        <v>45751</v>
      </c>
      <c r="B501" s="19">
        <f>29398921.51/1000000</f>
        <v>29.398921510000001</v>
      </c>
      <c r="C501" s="20"/>
      <c r="D501" s="20"/>
      <c r="E501" s="20">
        <f>'Daily exchange'!K146</f>
        <v>12.620081884673999</v>
      </c>
      <c r="F501" s="20"/>
      <c r="G501" s="20"/>
      <c r="H501" s="20"/>
      <c r="I501" s="21">
        <f t="shared" ref="I501" si="942">SUM(B501:H501)</f>
        <v>42.019003394674002</v>
      </c>
      <c r="J501" s="19">
        <f>1250000000/1000000</f>
        <v>1250</v>
      </c>
      <c r="K501" s="20"/>
      <c r="L501" s="20"/>
      <c r="M501" s="20"/>
      <c r="N501" s="20"/>
      <c r="O501" s="20"/>
      <c r="P501" s="20"/>
      <c r="Q501" s="21">
        <f t="shared" ref="Q501" si="943">SUM(J501:P501)</f>
        <v>1250</v>
      </c>
    </row>
    <row r="502" spans="1:17" x14ac:dyDescent="0.35">
      <c r="A502" s="3">
        <v>45754</v>
      </c>
      <c r="B502" s="19">
        <f>29383840.51/1000000</f>
        <v>29.383840510000002</v>
      </c>
      <c r="C502" s="20"/>
      <c r="D502" s="20"/>
      <c r="E502" s="20">
        <f>'Daily exchange'!K147</f>
        <v>12.754836194891999</v>
      </c>
      <c r="F502" s="20"/>
      <c r="G502" s="20"/>
      <c r="H502" s="20"/>
      <c r="I502" s="21">
        <f t="shared" ref="I502" si="944">SUM(B502:H502)</f>
        <v>42.138676704891999</v>
      </c>
      <c r="J502" s="19">
        <f>1250000000/1000000</f>
        <v>1250</v>
      </c>
      <c r="K502" s="20"/>
      <c r="L502" s="20"/>
      <c r="M502" s="20"/>
      <c r="N502" s="20"/>
      <c r="O502" s="20"/>
      <c r="P502" s="20"/>
      <c r="Q502" s="21">
        <f t="shared" ref="Q502" si="945">SUM(J502:P502)</f>
        <v>1250</v>
      </c>
    </row>
    <row r="503" spans="1:17" x14ac:dyDescent="0.35">
      <c r="A503" s="3">
        <v>45755</v>
      </c>
      <c r="B503" s="19">
        <f>29383840.51/1000000</f>
        <v>29.383840510000002</v>
      </c>
      <c r="C503" s="20"/>
      <c r="D503" s="20"/>
      <c r="E503" s="20">
        <f>'Daily exchange'!K148</f>
        <v>12.891349125798</v>
      </c>
      <c r="F503" s="20"/>
      <c r="G503" s="20"/>
      <c r="H503" s="20"/>
      <c r="I503" s="21">
        <f t="shared" ref="I503" si="946">SUM(B503:H503)</f>
        <v>42.275189635798</v>
      </c>
      <c r="J503" s="19">
        <f>1250000000/1000000</f>
        <v>1250</v>
      </c>
      <c r="K503" s="20"/>
      <c r="L503" s="20"/>
      <c r="M503" s="20"/>
      <c r="N503" s="20"/>
      <c r="O503" s="20"/>
      <c r="P503" s="20"/>
      <c r="Q503" s="21">
        <f t="shared" ref="Q503" si="947">SUM(J503:P503)</f>
        <v>1250</v>
      </c>
    </row>
    <row r="504" spans="1:17" x14ac:dyDescent="0.35">
      <c r="A504" s="3">
        <v>45756</v>
      </c>
      <c r="B504" s="19">
        <f>22460301.95/1000000</f>
        <v>22.460301949999998</v>
      </c>
      <c r="C504" s="20"/>
      <c r="D504" s="20"/>
      <c r="E504" s="20">
        <f>'Daily exchange'!K149</f>
        <v>12.713068953552</v>
      </c>
      <c r="F504" s="20"/>
      <c r="G504" s="20"/>
      <c r="H504" s="20"/>
      <c r="I504" s="21">
        <f t="shared" ref="I504" si="948">SUM(B504:H504)</f>
        <v>35.173370903551998</v>
      </c>
      <c r="J504" s="19">
        <f>890000000/1000000</f>
        <v>890</v>
      </c>
      <c r="K504" s="20"/>
      <c r="L504" s="20"/>
      <c r="M504" s="20"/>
      <c r="N504" s="20"/>
      <c r="O504" s="20"/>
      <c r="P504" s="20"/>
      <c r="Q504" s="21">
        <f t="shared" ref="Q504" si="949">SUM(J504:P504)</f>
        <v>890</v>
      </c>
    </row>
    <row r="505" spans="1:17" x14ac:dyDescent="0.35">
      <c r="A505" s="3">
        <v>45757</v>
      </c>
      <c r="B505" s="19">
        <f>22422889.67/1000000</f>
        <v>22.422889670000004</v>
      </c>
      <c r="C505" s="20"/>
      <c r="D505" s="20"/>
      <c r="E505" s="20">
        <f>'Daily exchange'!K150</f>
        <v>12.788689643135999</v>
      </c>
      <c r="F505" s="20"/>
      <c r="G505" s="20"/>
      <c r="H505" s="20"/>
      <c r="I505" s="21">
        <f t="shared" ref="I505" si="950">SUM(B505:H505)</f>
        <v>35.211579313135999</v>
      </c>
      <c r="J505" s="19">
        <f>890000000/1000000</f>
        <v>890</v>
      </c>
      <c r="K505" s="20"/>
      <c r="L505" s="20"/>
      <c r="M505" s="20"/>
      <c r="N505" s="20"/>
      <c r="O505" s="20"/>
      <c r="P505" s="20"/>
      <c r="Q505" s="21">
        <f t="shared" ref="Q505" si="951">SUM(J505:P505)</f>
        <v>890</v>
      </c>
    </row>
    <row r="506" spans="1:17" x14ac:dyDescent="0.35">
      <c r="A506" s="3">
        <v>45758</v>
      </c>
      <c r="B506" s="19">
        <f>22422889.67/1000000</f>
        <v>22.422889670000004</v>
      </c>
      <c r="C506" s="20"/>
      <c r="D506" s="20"/>
      <c r="E506" s="20">
        <f>'Daily exchange'!K151</f>
        <v>12.677017229447999</v>
      </c>
      <c r="F506" s="20"/>
      <c r="G506" s="20"/>
      <c r="H506" s="20"/>
      <c r="I506" s="21">
        <f t="shared" ref="I506" si="952">SUM(B506:H506)</f>
        <v>35.099906899448001</v>
      </c>
      <c r="J506" s="19">
        <f>890000000/1000000</f>
        <v>890</v>
      </c>
      <c r="K506" s="20"/>
      <c r="L506" s="20"/>
      <c r="M506" s="20"/>
      <c r="N506" s="20"/>
      <c r="O506" s="20"/>
      <c r="P506" s="20"/>
      <c r="Q506" s="21">
        <f t="shared" ref="Q506" si="953">SUM(J506:P506)</f>
        <v>890</v>
      </c>
    </row>
    <row r="507" spans="1:17" x14ac:dyDescent="0.35">
      <c r="A507" s="3">
        <v>45761</v>
      </c>
      <c r="B507" s="19">
        <f>22422889.67/1000000</f>
        <v>22.422889670000004</v>
      </c>
      <c r="C507" s="20"/>
      <c r="D507" s="20"/>
      <c r="E507" s="20">
        <f>'Daily exchange'!K152</f>
        <v>12.581941798502999</v>
      </c>
      <c r="F507" s="20"/>
      <c r="G507" s="20"/>
      <c r="H507" s="20"/>
      <c r="I507" s="21">
        <f t="shared" ref="I507" si="954">SUM(B507:H507)</f>
        <v>35.004831468502999</v>
      </c>
      <c r="J507" s="19">
        <f>890000000/1000000</f>
        <v>890</v>
      </c>
      <c r="K507" s="20"/>
      <c r="L507" s="20"/>
      <c r="M507" s="20"/>
      <c r="N507" s="20"/>
      <c r="O507" s="20"/>
      <c r="P507" s="20"/>
      <c r="Q507" s="21">
        <f t="shared" ref="Q507" si="955">SUM(J507:P507)</f>
        <v>890</v>
      </c>
    </row>
    <row r="508" spans="1:17" x14ac:dyDescent="0.35">
      <c r="A508" s="3">
        <v>45762</v>
      </c>
      <c r="B508" s="19">
        <f>29239575.69/1000000</f>
        <v>29.239575690000002</v>
      </c>
      <c r="C508" s="20"/>
      <c r="D508" s="20"/>
      <c r="E508" s="20">
        <f>'Daily exchange'!K153</f>
        <v>12.340461195281998</v>
      </c>
      <c r="F508" s="20"/>
      <c r="G508" s="20"/>
      <c r="H508" s="20"/>
      <c r="I508" s="21">
        <f t="shared" ref="I508" si="956">SUM(B508:H508)</f>
        <v>41.580036885281999</v>
      </c>
      <c r="J508" s="19">
        <f t="shared" ref="J508:J517" si="957">340000000/1000000</f>
        <v>340</v>
      </c>
      <c r="K508" s="20"/>
      <c r="L508" s="20"/>
      <c r="M508" s="20"/>
      <c r="N508" s="20"/>
      <c r="O508" s="20"/>
      <c r="P508" s="20"/>
      <c r="Q508" s="21">
        <f t="shared" ref="Q508" si="958">SUM(J508:P508)</f>
        <v>340</v>
      </c>
    </row>
    <row r="509" spans="1:17" x14ac:dyDescent="0.35">
      <c r="A509" s="3">
        <v>45763</v>
      </c>
      <c r="B509" s="19">
        <f>29152575.69/1000000</f>
        <v>29.152575690000003</v>
      </c>
      <c r="C509" s="20"/>
      <c r="D509" s="20"/>
      <c r="E509" s="20">
        <f>'Daily exchange'!K154</f>
        <v>12.27077585052</v>
      </c>
      <c r="F509" s="20"/>
      <c r="G509" s="20"/>
      <c r="H509" s="20"/>
      <c r="I509" s="21">
        <f t="shared" ref="I509" si="959">SUM(B509:H509)</f>
        <v>41.423351540520002</v>
      </c>
      <c r="J509" s="19">
        <f t="shared" si="957"/>
        <v>340</v>
      </c>
      <c r="K509" s="20"/>
      <c r="L509" s="20"/>
      <c r="M509" s="20"/>
      <c r="N509" s="20"/>
      <c r="O509" s="20"/>
      <c r="P509" s="20"/>
      <c r="Q509" s="21">
        <f t="shared" ref="Q509" si="960">SUM(J509:P509)</f>
        <v>340</v>
      </c>
    </row>
    <row r="510" spans="1:17" x14ac:dyDescent="0.35">
      <c r="A510" s="3">
        <v>45764</v>
      </c>
      <c r="B510" s="19">
        <f>29115918.37/1000000</f>
        <v>29.115918369999999</v>
      </c>
      <c r="C510" s="20"/>
      <c r="D510" s="20"/>
      <c r="E510" s="20">
        <f>'Daily exchange'!K155</f>
        <v>12.399594815916</v>
      </c>
      <c r="F510" s="20"/>
      <c r="G510" s="20"/>
      <c r="H510" s="20"/>
      <c r="I510" s="21">
        <f t="shared" ref="I510" si="961">SUM(B510:H510)</f>
        <v>41.515513185915999</v>
      </c>
      <c r="J510" s="19">
        <f t="shared" si="957"/>
        <v>340</v>
      </c>
      <c r="K510" s="20"/>
      <c r="L510" s="20"/>
      <c r="M510" s="20"/>
      <c r="N510" s="20"/>
      <c r="O510" s="20"/>
      <c r="P510" s="20"/>
      <c r="Q510" s="21">
        <f t="shared" ref="Q510" si="962">SUM(J510:P510)</f>
        <v>340</v>
      </c>
    </row>
    <row r="511" spans="1:17" x14ac:dyDescent="0.35">
      <c r="A511" s="3">
        <v>45765</v>
      </c>
      <c r="B511" s="19">
        <f>28832483.37/1000000</f>
        <v>28.832483370000002</v>
      </c>
      <c r="C511" s="20"/>
      <c r="D511" s="20"/>
      <c r="E511" s="20">
        <f>'Daily exchange'!K156</f>
        <v>12.301002143594999</v>
      </c>
      <c r="F511" s="20"/>
      <c r="G511" s="20"/>
      <c r="H511" s="20"/>
      <c r="I511" s="21">
        <f t="shared" ref="I511" si="963">SUM(B511:H511)</f>
        <v>41.133485513595005</v>
      </c>
      <c r="J511" s="19">
        <f t="shared" si="957"/>
        <v>340</v>
      </c>
      <c r="K511" s="20"/>
      <c r="L511" s="20"/>
      <c r="M511" s="20"/>
      <c r="N511" s="20"/>
      <c r="O511" s="20"/>
      <c r="P511" s="20"/>
      <c r="Q511" s="21">
        <f t="shared" ref="Q511" si="964">SUM(J511:P511)</f>
        <v>340</v>
      </c>
    </row>
    <row r="512" spans="1:17" x14ac:dyDescent="0.35">
      <c r="A512" s="3">
        <v>45768</v>
      </c>
      <c r="B512" s="19">
        <f>28728493.37/1000000</f>
        <v>28.728493370000002</v>
      </c>
      <c r="C512" s="20"/>
      <c r="D512" s="20"/>
      <c r="E512" s="20">
        <f>'Daily exchange'!K157</f>
        <v>12.188230591977</v>
      </c>
      <c r="F512" s="20"/>
      <c r="G512" s="20"/>
      <c r="H512" s="20"/>
      <c r="I512" s="21">
        <f t="shared" ref="I512" si="965">SUM(B512:H512)</f>
        <v>40.916723961976999</v>
      </c>
      <c r="J512" s="19">
        <f t="shared" si="957"/>
        <v>340</v>
      </c>
      <c r="K512" s="20"/>
      <c r="L512" s="20"/>
      <c r="M512" s="20"/>
      <c r="N512" s="20"/>
      <c r="O512" s="20"/>
      <c r="P512" s="20"/>
      <c r="Q512" s="21">
        <f t="shared" ref="Q512" si="966">SUM(J512:P512)</f>
        <v>340</v>
      </c>
    </row>
    <row r="513" spans="1:17" x14ac:dyDescent="0.35">
      <c r="A513" s="3">
        <v>45769</v>
      </c>
      <c r="B513" s="19">
        <f>28728493.37/1000000</f>
        <v>28.728493370000002</v>
      </c>
      <c r="C513" s="20"/>
      <c r="D513" s="20"/>
      <c r="E513" s="20">
        <f>'Daily exchange'!K158</f>
        <v>12.161741367864</v>
      </c>
      <c r="F513" s="20"/>
      <c r="G513" s="20"/>
      <c r="H513" s="20"/>
      <c r="I513" s="21">
        <f t="shared" ref="I513" si="967">SUM(B513:H513)</f>
        <v>40.890234737864006</v>
      </c>
      <c r="J513" s="19">
        <f t="shared" si="957"/>
        <v>340</v>
      </c>
      <c r="K513" s="20"/>
      <c r="L513" s="20"/>
      <c r="M513" s="20"/>
      <c r="N513" s="20"/>
      <c r="O513" s="20"/>
      <c r="P513" s="20"/>
      <c r="Q513" s="21">
        <f t="shared" ref="Q513" si="968">SUM(J513:P513)</f>
        <v>340</v>
      </c>
    </row>
    <row r="514" spans="1:17" x14ac:dyDescent="0.35">
      <c r="A514" s="3">
        <v>45770</v>
      </c>
      <c r="B514" s="19">
        <f>28717620.82/1000000</f>
        <v>28.71762082</v>
      </c>
      <c r="C514" s="20"/>
      <c r="D514" s="20"/>
      <c r="E514" s="20">
        <f>'Daily exchange'!K159</f>
        <v>12.213950419538998</v>
      </c>
      <c r="F514" s="20"/>
      <c r="G514" s="20"/>
      <c r="H514" s="20"/>
      <c r="I514" s="21">
        <f t="shared" ref="I514" si="969">SUM(B514:H514)</f>
        <v>40.931571239538997</v>
      </c>
      <c r="J514" s="19">
        <f t="shared" si="957"/>
        <v>340</v>
      </c>
      <c r="K514" s="20"/>
      <c r="L514" s="20"/>
      <c r="M514" s="20"/>
      <c r="N514" s="20"/>
      <c r="O514" s="20"/>
      <c r="P514" s="20"/>
      <c r="Q514" s="21">
        <f t="shared" ref="Q514" si="970">SUM(J514:P514)</f>
        <v>340</v>
      </c>
    </row>
    <row r="515" spans="1:17" x14ac:dyDescent="0.35">
      <c r="A515" s="3">
        <v>45771</v>
      </c>
      <c r="B515" s="19">
        <f>25409207.76/1000000</f>
        <v>25.409207760000001</v>
      </c>
      <c r="C515" s="20"/>
      <c r="D515" s="20"/>
      <c r="E515" s="20">
        <f>'Daily exchange'!K160</f>
        <v>12.462905160684</v>
      </c>
      <c r="F515" s="20"/>
      <c r="G515" s="20"/>
      <c r="H515" s="20"/>
      <c r="I515" s="21">
        <f t="shared" ref="I515" si="971">SUM(B515:H515)</f>
        <v>37.872112920684003</v>
      </c>
      <c r="J515" s="19">
        <f t="shared" si="957"/>
        <v>340</v>
      </c>
      <c r="K515" s="20"/>
      <c r="L515" s="20"/>
      <c r="M515" s="20"/>
      <c r="N515" s="20"/>
      <c r="O515" s="20"/>
      <c r="P515" s="20"/>
      <c r="Q515" s="21">
        <f t="shared" ref="Q515" si="972">SUM(J515:P515)</f>
        <v>340</v>
      </c>
    </row>
    <row r="516" spans="1:17" x14ac:dyDescent="0.35">
      <c r="A516" s="3">
        <v>45772</v>
      </c>
      <c r="B516" s="19">
        <f>25407594.66/1000000</f>
        <v>25.407594660000001</v>
      </c>
      <c r="C516" s="20"/>
      <c r="D516" s="20"/>
      <c r="E516" s="20">
        <f>'Daily exchange'!K161</f>
        <v>12.527864212347</v>
      </c>
      <c r="F516" s="20"/>
      <c r="G516" s="20"/>
      <c r="H516" s="20"/>
      <c r="I516" s="21">
        <f t="shared" ref="I516" si="973">SUM(B516:H516)</f>
        <v>37.935458872346999</v>
      </c>
      <c r="J516" s="19">
        <f t="shared" si="957"/>
        <v>340</v>
      </c>
      <c r="K516" s="20"/>
      <c r="L516" s="20"/>
      <c r="M516" s="20"/>
      <c r="N516" s="20"/>
      <c r="O516" s="20"/>
      <c r="P516" s="20"/>
      <c r="Q516" s="21">
        <f t="shared" ref="Q516" si="974">SUM(J516:P516)</f>
        <v>340</v>
      </c>
    </row>
    <row r="517" spans="1:17" x14ac:dyDescent="0.35">
      <c r="A517" s="3">
        <v>45775</v>
      </c>
      <c r="B517" s="19">
        <f>25299123.04/1000000</f>
        <v>25.299123039999998</v>
      </c>
      <c r="C517" s="20"/>
      <c r="D517" s="20"/>
      <c r="E517" s="20">
        <f>'Daily exchange'!K162</f>
        <v>12.475874988257999</v>
      </c>
      <c r="F517" s="20"/>
      <c r="G517" s="20"/>
      <c r="H517" s="20"/>
      <c r="I517" s="21">
        <f t="shared" ref="I517" si="975">SUM(B517:H517)</f>
        <v>37.774998028257997</v>
      </c>
      <c r="J517" s="19">
        <f t="shared" si="957"/>
        <v>340</v>
      </c>
      <c r="K517" s="20"/>
      <c r="L517" s="20"/>
      <c r="M517" s="20"/>
      <c r="N517" s="20"/>
      <c r="O517" s="20"/>
      <c r="P517" s="20"/>
      <c r="Q517" s="21">
        <f t="shared" ref="Q517" si="976">SUM(J517:P517)</f>
        <v>340</v>
      </c>
    </row>
    <row r="518" spans="1:17" x14ac:dyDescent="0.35">
      <c r="A518" s="3">
        <v>45776</v>
      </c>
      <c r="B518" s="19">
        <f>42894301.12/1000000</f>
        <v>42.894301119999994</v>
      </c>
      <c r="C518" s="20"/>
      <c r="D518" s="20"/>
      <c r="E518" s="20">
        <f>'Daily exchange'!K163</f>
        <v>12.393989212472999</v>
      </c>
      <c r="F518" s="20"/>
      <c r="G518" s="20"/>
      <c r="H518" s="20"/>
      <c r="I518" s="21">
        <f t="shared" ref="I518" si="977">SUM(B518:H518)</f>
        <v>55.288290332472997</v>
      </c>
      <c r="J518" s="19">
        <f t="shared" ref="J518:J532" si="978">325000000/1000000</f>
        <v>325</v>
      </c>
      <c r="K518" s="20"/>
      <c r="L518" s="20"/>
      <c r="M518" s="20"/>
      <c r="N518" s="20"/>
      <c r="O518" s="20"/>
      <c r="P518" s="20"/>
      <c r="Q518" s="21">
        <f t="shared" ref="Q518" si="979">SUM(J518:P518)</f>
        <v>325</v>
      </c>
    </row>
    <row r="519" spans="1:17" x14ac:dyDescent="0.35">
      <c r="A519" s="3">
        <v>45777</v>
      </c>
      <c r="B519" s="19">
        <f>42745777.28/1000000</f>
        <v>42.745777279999999</v>
      </c>
      <c r="C519" s="20"/>
      <c r="D519" s="20"/>
      <c r="E519" s="20">
        <f>'Daily exchange'!K164</f>
        <v>12.312103436687998</v>
      </c>
      <c r="F519" s="20"/>
      <c r="G519" s="20"/>
      <c r="H519" s="20"/>
      <c r="I519" s="21">
        <f t="shared" ref="I519" si="980">SUM(B519:H519)</f>
        <v>55.057880716687997</v>
      </c>
      <c r="J519" s="19">
        <f t="shared" si="978"/>
        <v>325</v>
      </c>
      <c r="K519" s="20"/>
      <c r="L519" s="20"/>
      <c r="M519" s="20"/>
      <c r="N519" s="20"/>
      <c r="O519" s="20"/>
      <c r="P519" s="20"/>
      <c r="Q519" s="21">
        <f t="shared" ref="Q519" si="981">SUM(J519:P519)</f>
        <v>325</v>
      </c>
    </row>
    <row r="520" spans="1:17" x14ac:dyDescent="0.35">
      <c r="A520" s="3">
        <v>45782</v>
      </c>
      <c r="B520" s="19">
        <f>42275206.28/1000000</f>
        <v>42.275206279999999</v>
      </c>
      <c r="C520" s="20"/>
      <c r="D520" s="20"/>
      <c r="E520" s="20">
        <f>'Daily exchange'!K165</f>
        <v>12.278799557409</v>
      </c>
      <c r="F520" s="20"/>
      <c r="G520" s="20"/>
      <c r="H520" s="20"/>
      <c r="I520" s="21">
        <f t="shared" ref="I520" si="982">SUM(B520:H520)</f>
        <v>54.554005837409001</v>
      </c>
      <c r="J520" s="19">
        <f t="shared" si="978"/>
        <v>325</v>
      </c>
      <c r="K520" s="20"/>
      <c r="L520" s="20"/>
      <c r="M520" s="20"/>
      <c r="N520" s="20"/>
      <c r="O520" s="20"/>
      <c r="P520" s="20"/>
      <c r="Q520" s="21">
        <f t="shared" ref="Q520" si="983">SUM(J520:P520)</f>
        <v>325</v>
      </c>
    </row>
    <row r="521" spans="1:17" x14ac:dyDescent="0.35">
      <c r="A521" s="3">
        <v>45783</v>
      </c>
      <c r="B521" s="19">
        <f>42275206.28/1000000</f>
        <v>42.275206279999999</v>
      </c>
      <c r="C521" s="20"/>
      <c r="D521" s="20"/>
      <c r="E521" s="20">
        <f>'Daily exchange'!K166</f>
        <v>12.423006453825</v>
      </c>
      <c r="F521" s="20"/>
      <c r="G521" s="20"/>
      <c r="H521" s="20"/>
      <c r="I521" s="21">
        <f t="shared" ref="I521" si="984">SUM(B521:H521)</f>
        <v>54.698212733825002</v>
      </c>
      <c r="J521" s="19">
        <f t="shared" si="978"/>
        <v>325</v>
      </c>
      <c r="K521" s="20"/>
      <c r="L521" s="20"/>
      <c r="M521" s="20"/>
      <c r="N521" s="20"/>
      <c r="O521" s="20"/>
      <c r="P521" s="20"/>
      <c r="Q521" s="21">
        <f t="shared" ref="Q521" si="985">SUM(J521:P521)</f>
        <v>325</v>
      </c>
    </row>
    <row r="522" spans="1:17" x14ac:dyDescent="0.35">
      <c r="A522" s="3">
        <v>45784</v>
      </c>
      <c r="B522" s="19">
        <f>40432078.74/1000000</f>
        <v>40.432078740000001</v>
      </c>
      <c r="C522" s="20"/>
      <c r="D522" s="20"/>
      <c r="E522" s="20">
        <f>'Daily exchange'!K167</f>
        <v>12.327381453914999</v>
      </c>
      <c r="F522" s="20"/>
      <c r="G522" s="20"/>
      <c r="H522" s="20"/>
      <c r="I522" s="21">
        <f t="shared" ref="I522" si="986">SUM(B522:H522)</f>
        <v>52.759460193915004</v>
      </c>
      <c r="J522" s="19">
        <f t="shared" si="978"/>
        <v>325</v>
      </c>
      <c r="K522" s="20"/>
      <c r="L522" s="20"/>
      <c r="M522" s="20"/>
      <c r="N522" s="20"/>
      <c r="O522" s="20"/>
      <c r="P522" s="20"/>
      <c r="Q522" s="21">
        <f t="shared" ref="Q522" si="987">SUM(J522:P522)</f>
        <v>325</v>
      </c>
    </row>
    <row r="523" spans="1:17" x14ac:dyDescent="0.35">
      <c r="A523" s="3">
        <v>45789</v>
      </c>
      <c r="B523" s="19">
        <f>42702273.17/1000000</f>
        <v>42.702273170000005</v>
      </c>
      <c r="C523" s="20"/>
      <c r="D523" s="20"/>
      <c r="E523" s="20">
        <f>'Daily exchange'!K168</f>
        <v>12.290450419467</v>
      </c>
      <c r="F523" s="20"/>
      <c r="G523" s="20"/>
      <c r="H523" s="20"/>
      <c r="I523" s="21">
        <f t="shared" ref="I523" si="988">SUM(B523:H523)</f>
        <v>54.992723589467005</v>
      </c>
      <c r="J523" s="19">
        <f t="shared" si="978"/>
        <v>325</v>
      </c>
      <c r="K523" s="20"/>
      <c r="L523" s="20"/>
      <c r="M523" s="20"/>
      <c r="N523" s="20"/>
      <c r="O523" s="20"/>
      <c r="P523" s="20"/>
      <c r="Q523" s="21">
        <f t="shared" ref="Q523" si="989">SUM(J523:P523)</f>
        <v>325</v>
      </c>
    </row>
    <row r="524" spans="1:17" x14ac:dyDescent="0.35">
      <c r="A524" s="3">
        <v>45790</v>
      </c>
      <c r="B524" s="19">
        <f>42702273.17/1000000</f>
        <v>42.702273170000005</v>
      </c>
      <c r="C524" s="20"/>
      <c r="D524" s="20"/>
      <c r="E524" s="20">
        <f>'Daily exchange'!K169</f>
        <v>12.287153005677</v>
      </c>
      <c r="F524" s="20"/>
      <c r="G524" s="20"/>
      <c r="H524" s="20"/>
      <c r="I524" s="21">
        <f t="shared" ref="I524" si="990">SUM(B524:H524)</f>
        <v>54.989426175677004</v>
      </c>
      <c r="J524" s="19">
        <f t="shared" si="978"/>
        <v>325</v>
      </c>
      <c r="K524" s="20"/>
      <c r="L524" s="20"/>
      <c r="M524" s="20"/>
      <c r="N524" s="20"/>
      <c r="O524" s="20"/>
      <c r="P524" s="20"/>
      <c r="Q524" s="21">
        <f t="shared" ref="Q524" si="991">SUM(J524:P524)</f>
        <v>325</v>
      </c>
    </row>
    <row r="525" spans="1:17" x14ac:dyDescent="0.35">
      <c r="A525" s="3">
        <v>45791</v>
      </c>
      <c r="B525" s="19">
        <f>42702273.17/1000000</f>
        <v>42.702273170000005</v>
      </c>
      <c r="C525" s="20"/>
      <c r="D525" s="20"/>
      <c r="E525" s="20">
        <f>'Daily exchange'!K170</f>
        <v>12.263411626388999</v>
      </c>
      <c r="F525" s="20"/>
      <c r="G525" s="20"/>
      <c r="H525" s="20"/>
      <c r="I525" s="21">
        <f t="shared" ref="I525" si="992">SUM(B525:H525)</f>
        <v>54.965684796389006</v>
      </c>
      <c r="J525" s="19">
        <f t="shared" si="978"/>
        <v>325</v>
      </c>
      <c r="K525" s="20"/>
      <c r="L525" s="20"/>
      <c r="M525" s="20"/>
      <c r="N525" s="20"/>
      <c r="O525" s="20"/>
      <c r="P525" s="20"/>
      <c r="Q525" s="21">
        <f t="shared" ref="Q525" si="993">SUM(J525:P525)</f>
        <v>325</v>
      </c>
    </row>
    <row r="526" spans="1:17" x14ac:dyDescent="0.35">
      <c r="A526" s="3">
        <v>45792</v>
      </c>
      <c r="B526" s="19">
        <f>42633298.2/1000000</f>
        <v>42.633298200000006</v>
      </c>
      <c r="C526" s="20"/>
      <c r="D526" s="20"/>
      <c r="E526" s="20">
        <f>'Daily exchange'!K171</f>
        <v>12.214499988503999</v>
      </c>
      <c r="F526" s="20"/>
      <c r="G526" s="20"/>
      <c r="H526" s="20"/>
      <c r="I526" s="21">
        <f t="shared" ref="I526" si="994">SUM(B526:H526)</f>
        <v>54.847798188504001</v>
      </c>
      <c r="J526" s="19">
        <f t="shared" si="978"/>
        <v>325</v>
      </c>
      <c r="K526" s="20"/>
      <c r="L526" s="20"/>
      <c r="M526" s="20"/>
      <c r="N526" s="20"/>
      <c r="O526" s="20"/>
      <c r="P526" s="20"/>
      <c r="Q526" s="21">
        <f t="shared" ref="Q526" si="995">SUM(J526:P526)</f>
        <v>325</v>
      </c>
    </row>
    <row r="527" spans="1:17" x14ac:dyDescent="0.35">
      <c r="A527" s="3">
        <v>45793</v>
      </c>
      <c r="B527" s="19">
        <f>38121298.2/1000000</f>
        <v>38.121298200000005</v>
      </c>
      <c r="C527" s="20"/>
      <c r="D527" s="20"/>
      <c r="E527" s="20">
        <f>'Daily exchange'!K172</f>
        <v>12.216148695398999</v>
      </c>
      <c r="F527" s="20">
        <f>'Daily exchange'!N172</f>
        <v>2.885856</v>
      </c>
      <c r="G527" s="20"/>
      <c r="H527" s="20"/>
      <c r="I527" s="21">
        <f t="shared" ref="I527:I532" si="996">SUM(B527:H527)</f>
        <v>53.223302895399001</v>
      </c>
      <c r="J527" s="19">
        <f t="shared" si="978"/>
        <v>325</v>
      </c>
      <c r="K527" s="20"/>
      <c r="L527" s="20"/>
      <c r="M527" s="20"/>
      <c r="N527" s="20"/>
      <c r="O527" s="20"/>
      <c r="P527" s="20"/>
      <c r="Q527" s="21">
        <f t="shared" ref="Q527:Q532" si="997">SUM(J527:P527)</f>
        <v>325</v>
      </c>
    </row>
    <row r="528" spans="1:17" x14ac:dyDescent="0.35">
      <c r="A528" s="3">
        <v>45796</v>
      </c>
      <c r="B528" s="19">
        <f>38096664.82/1000000</f>
        <v>38.096664820000001</v>
      </c>
      <c r="C528" s="20"/>
      <c r="D528" s="20"/>
      <c r="E528" s="20">
        <f>'Daily exchange'!K173</f>
        <v>12.265609902248999</v>
      </c>
      <c r="F528" s="20">
        <f>'Daily exchange'!N173</f>
        <v>2.1937080500000001</v>
      </c>
      <c r="G528" s="20"/>
      <c r="H528" s="20"/>
      <c r="I528" s="21">
        <f t="shared" si="996"/>
        <v>52.555982772248996</v>
      </c>
      <c r="J528" s="19">
        <f t="shared" si="978"/>
        <v>325</v>
      </c>
      <c r="K528" s="20"/>
      <c r="L528" s="20"/>
      <c r="M528" s="20"/>
      <c r="N528" s="20"/>
      <c r="O528" s="20"/>
      <c r="P528" s="20"/>
      <c r="Q528" s="21">
        <f t="shared" si="997"/>
        <v>325</v>
      </c>
    </row>
    <row r="529" spans="1:17" x14ac:dyDescent="0.35">
      <c r="A529" s="3">
        <v>45797</v>
      </c>
      <c r="B529" s="19">
        <f>38013534.77/1000000</f>
        <v>38.013534770000007</v>
      </c>
      <c r="C529" s="20"/>
      <c r="D529" s="20"/>
      <c r="E529" s="20">
        <f>'Daily exchange'!K174</f>
        <v>12.220105591947</v>
      </c>
      <c r="F529" s="20">
        <f>'Daily exchange'!N174</f>
        <v>1.4562951199999998</v>
      </c>
      <c r="G529" s="20"/>
      <c r="H529" s="20"/>
      <c r="I529" s="21">
        <f t="shared" si="996"/>
        <v>51.68993548194701</v>
      </c>
      <c r="J529" s="19">
        <f t="shared" si="978"/>
        <v>325</v>
      </c>
      <c r="K529" s="20"/>
      <c r="L529" s="20"/>
      <c r="M529" s="20"/>
      <c r="N529" s="20"/>
      <c r="O529" s="20"/>
      <c r="P529" s="20"/>
      <c r="Q529" s="21">
        <f t="shared" si="997"/>
        <v>325</v>
      </c>
    </row>
    <row r="530" spans="1:17" x14ac:dyDescent="0.35">
      <c r="A530" s="3">
        <v>45798</v>
      </c>
      <c r="B530" s="19">
        <f>30314489.21/1000000</f>
        <v>30.314489210000001</v>
      </c>
      <c r="C530" s="20"/>
      <c r="D530" s="20"/>
      <c r="E530" s="20">
        <f>'Daily exchange'!K175</f>
        <v>12.269127143624999</v>
      </c>
      <c r="F530" s="20">
        <f>'Daily exchange'!N175</f>
        <v>1.4543719199999998</v>
      </c>
      <c r="G530" s="20"/>
      <c r="H530" s="20"/>
      <c r="I530" s="21">
        <f t="shared" si="996"/>
        <v>44.037988273625004</v>
      </c>
      <c r="J530" s="19">
        <f t="shared" si="978"/>
        <v>325</v>
      </c>
      <c r="K530" s="20"/>
      <c r="L530" s="20"/>
      <c r="M530" s="20"/>
      <c r="N530" s="20"/>
      <c r="O530" s="20"/>
      <c r="P530" s="20"/>
      <c r="Q530" s="21">
        <f t="shared" si="997"/>
        <v>325</v>
      </c>
    </row>
    <row r="531" spans="1:17" x14ac:dyDescent="0.35">
      <c r="A531" s="3">
        <v>45799</v>
      </c>
      <c r="B531" s="19">
        <f>30321234.77/1000000</f>
        <v>30.32123477</v>
      </c>
      <c r="C531" s="20"/>
      <c r="D531" s="20"/>
      <c r="E531" s="20">
        <f>'Daily exchange'!K176</f>
        <v>12.186801712668</v>
      </c>
      <c r="F531" s="20">
        <f>'Daily exchange'!N176</f>
        <v>1.4635612099999999</v>
      </c>
      <c r="G531" s="20"/>
      <c r="H531" s="20"/>
      <c r="I531" s="21">
        <f t="shared" si="996"/>
        <v>43.971597692668006</v>
      </c>
      <c r="J531" s="19">
        <f t="shared" si="978"/>
        <v>325</v>
      </c>
      <c r="K531" s="20"/>
      <c r="L531" s="20"/>
      <c r="M531" s="20"/>
      <c r="N531" s="20"/>
      <c r="O531" s="20"/>
      <c r="P531" s="20"/>
      <c r="Q531" s="21">
        <f t="shared" si="997"/>
        <v>325</v>
      </c>
    </row>
    <row r="532" spans="1:17" x14ac:dyDescent="0.35">
      <c r="A532" s="3">
        <v>45800</v>
      </c>
      <c r="B532" s="19">
        <f>27397834.64/1000000</f>
        <v>27.397834639999999</v>
      </c>
      <c r="C532" s="20"/>
      <c r="D532" s="20"/>
      <c r="E532" s="20">
        <f>'Daily exchange'!K177</f>
        <v>12.101618523092998</v>
      </c>
      <c r="F532" s="20">
        <f>'Daily exchange'!N177</f>
        <v>1.4661935899999998</v>
      </c>
      <c r="G532" s="20"/>
      <c r="H532" s="20"/>
      <c r="I532" s="21">
        <f t="shared" si="996"/>
        <v>40.965646753092997</v>
      </c>
      <c r="J532" s="19">
        <f t="shared" si="978"/>
        <v>325</v>
      </c>
      <c r="K532" s="20"/>
      <c r="L532" s="20"/>
      <c r="M532" s="20"/>
      <c r="N532" s="20"/>
      <c r="O532" s="20"/>
      <c r="P532" s="20"/>
      <c r="Q532" s="21">
        <f t="shared" si="997"/>
        <v>325</v>
      </c>
    </row>
    <row r="533" spans="1:17" x14ac:dyDescent="0.35">
      <c r="A533" s="3">
        <v>45803</v>
      </c>
      <c r="B533" s="19">
        <f>34845271.52/1000000</f>
        <v>34.845271520000004</v>
      </c>
      <c r="C533" s="20"/>
      <c r="D533" s="20"/>
      <c r="E533" s="20">
        <f>'Daily exchange'!K178</f>
        <v>12.175370678195998</v>
      </c>
      <c r="F533" s="20">
        <f>'Daily exchange'!N178</f>
        <v>0.73706239200000001</v>
      </c>
      <c r="G533" s="20"/>
      <c r="H533" s="20"/>
      <c r="I533" s="21">
        <f t="shared" ref="I533" si="998">SUM(B533:H533)</f>
        <v>47.757704590195999</v>
      </c>
      <c r="J533" s="19">
        <f t="shared" ref="J533:J542" si="999">320000000/1000000</f>
        <v>320</v>
      </c>
      <c r="K533" s="20"/>
      <c r="L533" s="20"/>
      <c r="M533" s="20"/>
      <c r="N533" s="20"/>
      <c r="O533" s="20"/>
      <c r="P533" s="20"/>
      <c r="Q533" s="21">
        <f t="shared" ref="Q533" si="1000">SUM(J533:P533)</f>
        <v>320</v>
      </c>
    </row>
    <row r="534" spans="1:17" x14ac:dyDescent="0.35">
      <c r="A534" s="3">
        <v>45804</v>
      </c>
      <c r="B534" s="19">
        <f>31063257.28/1000000</f>
        <v>31.063257280000002</v>
      </c>
      <c r="C534" s="20"/>
      <c r="D534" s="20"/>
      <c r="E534" s="20">
        <f>'Daily exchange'!K179</f>
        <v>12.178668091985999</v>
      </c>
      <c r="F534" s="20">
        <f>'Daily exchange'!N179</f>
        <v>2.4601927895000002</v>
      </c>
      <c r="G534" s="20"/>
      <c r="H534" s="20"/>
      <c r="I534" s="21">
        <f t="shared" ref="I534" si="1001">SUM(B534:H534)</f>
        <v>45.702118161485998</v>
      </c>
      <c r="J534" s="19">
        <f t="shared" si="999"/>
        <v>320</v>
      </c>
      <c r="K534" s="20"/>
      <c r="L534" s="20"/>
      <c r="M534" s="20"/>
      <c r="N534" s="20"/>
      <c r="O534" s="20"/>
      <c r="P534" s="20"/>
      <c r="Q534" s="21">
        <f t="shared" ref="Q534" si="1002">SUM(J534:P534)</f>
        <v>320</v>
      </c>
    </row>
    <row r="535" spans="1:17" x14ac:dyDescent="0.35">
      <c r="A535" s="3">
        <v>45805</v>
      </c>
      <c r="B535" s="19">
        <f>(954513.28+6665090.99+23327082.87)/1000000</f>
        <v>30.946687140000002</v>
      </c>
      <c r="C535" s="20"/>
      <c r="D535" s="20"/>
      <c r="E535" s="20">
        <f>'Daily exchange'!K180</f>
        <v>12.201969816101998</v>
      </c>
      <c r="F535" s="20">
        <f>'Daily exchange'!N180</f>
        <v>1.2270955840000002</v>
      </c>
      <c r="G535" s="20"/>
      <c r="H535" s="20"/>
      <c r="I535" s="21">
        <f t="shared" ref="I535" si="1003">SUM(B535:H535)</f>
        <v>44.375752540101999</v>
      </c>
      <c r="J535" s="19">
        <f t="shared" si="999"/>
        <v>320</v>
      </c>
      <c r="K535" s="20"/>
      <c r="L535" s="20"/>
      <c r="M535" s="20"/>
      <c r="N535" s="20"/>
      <c r="O535" s="20"/>
      <c r="P535" s="20"/>
      <c r="Q535" s="21">
        <f t="shared" ref="Q535" si="1004">SUM(J535:P535)</f>
        <v>320</v>
      </c>
    </row>
    <row r="536" spans="1:17" x14ac:dyDescent="0.35">
      <c r="A536" s="3">
        <v>45806</v>
      </c>
      <c r="B536" s="19">
        <f>27397874.34/1000000</f>
        <v>27.397874340000001</v>
      </c>
      <c r="C536" s="20"/>
      <c r="D536" s="20"/>
      <c r="E536" s="20">
        <f>'Daily exchange'!K181</f>
        <v>12.145913781671998</v>
      </c>
      <c r="F536" s="20">
        <f>'Daily exchange'!N181</f>
        <v>1.1270438599999998E-2</v>
      </c>
      <c r="G536" s="20"/>
      <c r="H536" s="20"/>
      <c r="I536" s="21">
        <f t="shared" ref="I536" si="1005">SUM(B536:H536)</f>
        <v>39.555058560272002</v>
      </c>
      <c r="J536" s="19">
        <f t="shared" si="999"/>
        <v>320</v>
      </c>
      <c r="K536" s="20"/>
      <c r="L536" s="20"/>
      <c r="M536" s="20"/>
      <c r="N536" s="20"/>
      <c r="O536" s="20"/>
      <c r="P536" s="20"/>
      <c r="Q536" s="21">
        <f t="shared" ref="Q536" si="1006">SUM(J536:P536)</f>
        <v>320</v>
      </c>
    </row>
    <row r="537" spans="1:17" x14ac:dyDescent="0.35">
      <c r="A537" s="3">
        <v>45807</v>
      </c>
      <c r="B537" s="19">
        <f>25949020.33/1000000</f>
        <v>25.94902033</v>
      </c>
      <c r="C537" s="20"/>
      <c r="D537" s="20"/>
      <c r="E537" s="20">
        <f>'Daily exchange'!K182</f>
        <v>11.97400860942</v>
      </c>
      <c r="F537" s="20">
        <f>'Daily exchange'!N182</f>
        <v>8.2207265699999997E-3</v>
      </c>
      <c r="G537" s="20"/>
      <c r="H537" s="20"/>
      <c r="I537" s="21">
        <f t="shared" ref="I537" si="1007">SUM(B537:H537)</f>
        <v>37.931249665990002</v>
      </c>
      <c r="J537" s="19">
        <f t="shared" si="999"/>
        <v>320</v>
      </c>
      <c r="K537" s="20"/>
      <c r="L537" s="20"/>
      <c r="M537" s="20"/>
      <c r="N537" s="20"/>
      <c r="O537" s="20"/>
      <c r="P537" s="20"/>
      <c r="Q537" s="21">
        <f t="shared" ref="Q537" si="1008">SUM(J537:P537)</f>
        <v>320</v>
      </c>
    </row>
    <row r="538" spans="1:17" x14ac:dyDescent="0.35">
      <c r="A538" s="3">
        <v>45810</v>
      </c>
      <c r="B538" s="19">
        <f>20065151.07/1000000</f>
        <v>20.065151069999999</v>
      </c>
      <c r="C538" s="20"/>
      <c r="D538" s="20"/>
      <c r="E538" s="20">
        <f>'Daily exchange'!K183</f>
        <v>11.969282316320999</v>
      </c>
      <c r="F538" s="20">
        <f>'Daily exchange'!N183</f>
        <v>3.6207422196949999</v>
      </c>
      <c r="G538" s="20"/>
      <c r="H538" s="20"/>
      <c r="I538" s="21">
        <f t="shared" ref="I538" si="1009">SUM(B538:H538)</f>
        <v>35.655175606016002</v>
      </c>
      <c r="J538" s="19">
        <f t="shared" si="999"/>
        <v>320</v>
      </c>
      <c r="K538" s="20"/>
      <c r="L538" s="20"/>
      <c r="M538" s="20"/>
      <c r="N538" s="20"/>
      <c r="O538" s="20"/>
      <c r="P538" s="20"/>
      <c r="Q538" s="21">
        <f t="shared" ref="Q538" si="1010">SUM(J538:P538)</f>
        <v>320</v>
      </c>
    </row>
    <row r="539" spans="1:17" x14ac:dyDescent="0.35">
      <c r="A539" s="3">
        <v>45811</v>
      </c>
      <c r="B539" s="19">
        <f>20085901.35/1000000</f>
        <v>20.08590135</v>
      </c>
      <c r="C539" s="20"/>
      <c r="D539" s="20"/>
      <c r="E539" s="20">
        <f>'Daily exchange'!K184</f>
        <v>12.030284471436</v>
      </c>
      <c r="F539" s="20">
        <f>'Daily exchange'!N184</f>
        <v>2.4335977297850002</v>
      </c>
      <c r="G539" s="20"/>
      <c r="H539" s="20"/>
      <c r="I539" s="21">
        <f t="shared" ref="I539" si="1011">SUM(B539:H539)</f>
        <v>34.549783551220997</v>
      </c>
      <c r="J539" s="19">
        <f t="shared" si="999"/>
        <v>320</v>
      </c>
      <c r="K539" s="20"/>
      <c r="L539" s="20"/>
      <c r="M539" s="20"/>
      <c r="N539" s="20"/>
      <c r="O539" s="20"/>
      <c r="P539" s="20"/>
      <c r="Q539" s="21">
        <f t="shared" ref="Q539" si="1012">SUM(J539:P539)</f>
        <v>320</v>
      </c>
    </row>
    <row r="540" spans="1:17" x14ac:dyDescent="0.35">
      <c r="A540" s="3">
        <v>45812</v>
      </c>
      <c r="B540" s="19">
        <f>22333249.93/1000000</f>
        <v>22.333249930000001</v>
      </c>
      <c r="C540" s="20"/>
      <c r="D540" s="20"/>
      <c r="E540" s="20">
        <f>'Daily exchange'!K185</f>
        <v>11.994672402503999</v>
      </c>
      <c r="F540" s="20">
        <f>'Daily exchange'!N185</f>
        <v>1.2181885964149999</v>
      </c>
      <c r="G540" s="20"/>
      <c r="H540" s="20"/>
      <c r="I540" s="21">
        <f t="shared" ref="I540" si="1013">SUM(B540:H540)</f>
        <v>35.546110928918999</v>
      </c>
      <c r="J540" s="19">
        <f t="shared" si="999"/>
        <v>320</v>
      </c>
      <c r="K540" s="20"/>
      <c r="L540" s="20"/>
      <c r="M540" s="20"/>
      <c r="N540" s="20"/>
      <c r="O540" s="20"/>
      <c r="P540" s="20"/>
      <c r="Q540" s="21">
        <f t="shared" ref="Q540" si="1014">SUM(J540:P540)</f>
        <v>320</v>
      </c>
    </row>
    <row r="541" spans="1:17" x14ac:dyDescent="0.35">
      <c r="A541" s="3">
        <v>45813</v>
      </c>
      <c r="B541" s="19">
        <f>42486484.29/1000000</f>
        <v>42.48648429</v>
      </c>
      <c r="C541" s="20"/>
      <c r="D541" s="20"/>
      <c r="E541" s="20">
        <f>'Daily exchange'!K186</f>
        <v>11.945980592204998</v>
      </c>
      <c r="F541" s="20">
        <f>'Daily exchange'!N186</f>
        <v>1.3345481459999999</v>
      </c>
      <c r="G541" s="20"/>
      <c r="H541" s="20"/>
      <c r="I541" s="21">
        <f t="shared" ref="I541" si="1015">SUM(B541:H541)</f>
        <v>55.767013028205</v>
      </c>
      <c r="J541" s="19">
        <f t="shared" si="999"/>
        <v>320</v>
      </c>
      <c r="K541" s="20"/>
      <c r="L541" s="20"/>
      <c r="M541" s="20"/>
      <c r="N541" s="20"/>
      <c r="O541" s="20"/>
      <c r="P541" s="20"/>
      <c r="Q541" s="21">
        <f t="shared" ref="Q541" si="1016">SUM(J541:P541)</f>
        <v>320</v>
      </c>
    </row>
    <row r="542" spans="1:17" x14ac:dyDescent="0.35">
      <c r="A542" s="3">
        <v>45814</v>
      </c>
      <c r="B542" s="19">
        <f>42462062.58/1000000</f>
        <v>42.462062580000001</v>
      </c>
      <c r="C542" s="20"/>
      <c r="D542" s="20"/>
      <c r="E542" s="20">
        <f>'Daily exchange'!K187</f>
        <v>12.113379298943999</v>
      </c>
      <c r="F542" s="20">
        <f>'Daily exchange'!N187</f>
        <v>0.13601248337000002</v>
      </c>
      <c r="G542" s="20"/>
      <c r="H542" s="20"/>
      <c r="I542" s="21">
        <f t="shared" ref="I542" si="1017">SUM(B542:H542)</f>
        <v>54.711454362314001</v>
      </c>
      <c r="J542" s="19">
        <f t="shared" si="999"/>
        <v>320</v>
      </c>
      <c r="K542" s="20"/>
      <c r="L542" s="20"/>
      <c r="M542" s="20"/>
      <c r="N542" s="20"/>
      <c r="O542" s="20"/>
      <c r="P542" s="20"/>
      <c r="Q542" s="21">
        <f t="shared" ref="Q542" si="1018">SUM(J542:P542)</f>
        <v>320</v>
      </c>
    </row>
    <row r="543" spans="1:17" x14ac:dyDescent="0.35">
      <c r="A543" s="3">
        <v>45817</v>
      </c>
      <c r="B543" s="19">
        <f>30567845.95/1000000</f>
        <v>30.567845949999999</v>
      </c>
      <c r="C543" s="20"/>
      <c r="D543" s="20"/>
      <c r="E543" s="20">
        <f>'Daily exchange'!K188</f>
        <v>12.102607747229998</v>
      </c>
      <c r="F543" s="20">
        <f>'Daily exchange'!N188</f>
        <v>2.0001785433499997E-2</v>
      </c>
      <c r="G543" s="20"/>
      <c r="H543" s="20"/>
      <c r="I543" s="21">
        <f t="shared" ref="I543" si="1019">SUM(B543:H543)</f>
        <v>42.690455482663495</v>
      </c>
      <c r="J543" s="19">
        <f t="shared" ref="J543:J550" si="1020">332000000/1000000</f>
        <v>332</v>
      </c>
      <c r="K543" s="20"/>
      <c r="L543" s="20"/>
      <c r="M543" s="20"/>
      <c r="N543" s="20"/>
      <c r="O543" s="20"/>
      <c r="P543" s="20"/>
      <c r="Q543" s="21">
        <f t="shared" ref="Q543" si="1021">SUM(J543:P543)</f>
        <v>332</v>
      </c>
    </row>
    <row r="544" spans="1:17" x14ac:dyDescent="0.35">
      <c r="A544" s="3">
        <v>45818</v>
      </c>
      <c r="B544" s="19">
        <f>28292707.72/1000000</f>
        <v>28.292707719999999</v>
      </c>
      <c r="C544" s="20"/>
      <c r="D544" s="20"/>
      <c r="E544" s="20">
        <f>'Daily exchange'!K189</f>
        <v>12.066775850712</v>
      </c>
      <c r="F544" s="20">
        <f>'Daily exchange'!N189</f>
        <v>1.9997746250799996E-2</v>
      </c>
      <c r="G544" s="20"/>
      <c r="H544" s="20"/>
      <c r="I544" s="21">
        <f t="shared" ref="I544" si="1022">SUM(B544:H544)</f>
        <v>40.379481316962803</v>
      </c>
      <c r="J544" s="19">
        <f t="shared" si="1020"/>
        <v>332</v>
      </c>
      <c r="K544" s="20"/>
      <c r="L544" s="20"/>
      <c r="M544" s="20"/>
      <c r="N544" s="20"/>
      <c r="O544" s="20"/>
      <c r="P544" s="20"/>
      <c r="Q544" s="21">
        <f t="shared" ref="Q544" si="1023">SUM(J544:P544)</f>
        <v>332</v>
      </c>
    </row>
    <row r="545" spans="1:17" x14ac:dyDescent="0.35">
      <c r="A545" s="3">
        <v>45819</v>
      </c>
      <c r="B545" s="19">
        <f>28217707.72/1000000</f>
        <v>28.21770772</v>
      </c>
      <c r="C545" s="20"/>
      <c r="D545" s="20"/>
      <c r="E545" s="20">
        <f>'Daily exchange'!K190</f>
        <v>11.986868523200998</v>
      </c>
      <c r="F545" s="20">
        <f>'Daily exchange'!N190</f>
        <v>1.9809800606799998E-2</v>
      </c>
      <c r="G545" s="20"/>
      <c r="H545" s="20"/>
      <c r="I545" s="21">
        <f t="shared" ref="I545" si="1024">SUM(B545:H545)</f>
        <v>40.224386043807797</v>
      </c>
      <c r="J545" s="19">
        <f t="shared" si="1020"/>
        <v>332</v>
      </c>
      <c r="K545" s="20"/>
      <c r="L545" s="20"/>
      <c r="M545" s="20"/>
      <c r="N545" s="20"/>
      <c r="O545" s="20"/>
      <c r="P545" s="20"/>
      <c r="Q545" s="21">
        <f t="shared" ref="Q545" si="1025">SUM(J545:P545)</f>
        <v>332</v>
      </c>
    </row>
    <row r="546" spans="1:17" x14ac:dyDescent="0.35">
      <c r="A546" s="3">
        <v>45824</v>
      </c>
      <c r="B546" s="19">
        <f>28017707.72/1000000</f>
        <v>28.017707719999997</v>
      </c>
      <c r="C546" s="20"/>
      <c r="D546" s="20"/>
      <c r="E546" s="20">
        <f>'Daily exchange'!K191</f>
        <v>12.015446109380999</v>
      </c>
      <c r="F546" s="20">
        <f>'Daily exchange'!N191</f>
        <v>1.9958838205199999E-2</v>
      </c>
      <c r="G546" s="20"/>
      <c r="H546" s="20"/>
      <c r="I546" s="21">
        <f t="shared" ref="I546" si="1026">SUM(B546:H546)</f>
        <v>40.053112667586191</v>
      </c>
      <c r="J546" s="19">
        <f t="shared" si="1020"/>
        <v>332</v>
      </c>
      <c r="K546" s="20"/>
      <c r="L546" s="20"/>
      <c r="M546" s="20"/>
      <c r="N546" s="20"/>
      <c r="O546" s="20"/>
      <c r="P546" s="20"/>
      <c r="Q546" s="21">
        <f t="shared" ref="Q546" si="1027">SUM(J546:P546)</f>
        <v>332</v>
      </c>
    </row>
    <row r="547" spans="1:17" x14ac:dyDescent="0.35">
      <c r="A547" s="3">
        <v>45825</v>
      </c>
      <c r="B547" s="19">
        <f>28017707.72/1000000</f>
        <v>28.017707719999997</v>
      </c>
      <c r="C547" s="20"/>
      <c r="D547" s="20"/>
      <c r="E547" s="20">
        <f>'Daily exchange'!K192</f>
        <v>11.978295247346999</v>
      </c>
      <c r="F547" s="20">
        <f>'Daily exchange'!N192</f>
        <v>1.9930069332499998E-2</v>
      </c>
      <c r="G547" s="20"/>
      <c r="H547" s="20"/>
      <c r="I547" s="21">
        <f t="shared" ref="I547" si="1028">SUM(B547:H547)</f>
        <v>40.015933036679499</v>
      </c>
      <c r="J547" s="19">
        <f t="shared" si="1020"/>
        <v>332</v>
      </c>
      <c r="K547" s="20"/>
      <c r="L547" s="20"/>
      <c r="M547" s="20"/>
      <c r="N547" s="20"/>
      <c r="O547" s="20"/>
      <c r="P547" s="20"/>
      <c r="Q547" s="21">
        <f t="shared" ref="Q547" si="1029">SUM(J547:P547)</f>
        <v>332</v>
      </c>
    </row>
    <row r="548" spans="1:17" x14ac:dyDescent="0.35">
      <c r="A548" s="3">
        <v>45826</v>
      </c>
      <c r="B548" s="19">
        <f>49431041.05/1000000</f>
        <v>49.431041049999997</v>
      </c>
      <c r="C548" s="20"/>
      <c r="D548" s="20"/>
      <c r="E548" s="20">
        <f>'Daily exchange'!K193</f>
        <v>12.003685333529999</v>
      </c>
      <c r="F548" s="20">
        <f>'Daily exchange'!N193</f>
        <v>1.9956117939299998E-2</v>
      </c>
      <c r="G548" s="20"/>
      <c r="H548" s="20"/>
      <c r="I548" s="21">
        <f t="shared" ref="I548" si="1030">SUM(B548:H548)</f>
        <v>61.4546825014693</v>
      </c>
      <c r="J548" s="19">
        <f t="shared" si="1020"/>
        <v>332</v>
      </c>
      <c r="K548" s="20"/>
      <c r="L548" s="20"/>
      <c r="M548" s="20"/>
      <c r="N548" s="20"/>
      <c r="O548" s="20"/>
      <c r="P548" s="20"/>
      <c r="Q548" s="21">
        <f t="shared" ref="Q548" si="1031">SUM(J548:P548)</f>
        <v>332</v>
      </c>
    </row>
    <row r="549" spans="1:17" x14ac:dyDescent="0.35">
      <c r="A549" s="3">
        <v>45827</v>
      </c>
      <c r="B549" s="19">
        <f>48931041.05/1000000</f>
        <v>48.931041049999997</v>
      </c>
      <c r="C549" s="20"/>
      <c r="D549" s="20"/>
      <c r="E549" s="20">
        <f>'Daily exchange'!K194</f>
        <v>11.950706885303999</v>
      </c>
      <c r="F549" s="20">
        <f>'Daily exchange'!N194</f>
        <v>1.9913005846399996E-2</v>
      </c>
      <c r="G549" s="20"/>
      <c r="H549" s="20"/>
      <c r="I549" s="21">
        <f t="shared" ref="I549" si="1032">SUM(B549:H549)</f>
        <v>60.901660941150396</v>
      </c>
      <c r="J549" s="19">
        <f t="shared" si="1020"/>
        <v>332</v>
      </c>
      <c r="K549" s="20"/>
      <c r="L549" s="20"/>
      <c r="M549" s="20"/>
      <c r="N549" s="20"/>
      <c r="O549" s="20"/>
      <c r="P549" s="20"/>
      <c r="Q549" s="21">
        <f t="shared" ref="Q549" si="1033">SUM(J549:P549)</f>
        <v>332</v>
      </c>
    </row>
    <row r="550" spans="1:17" x14ac:dyDescent="0.35">
      <c r="A550" s="3">
        <v>45828</v>
      </c>
      <c r="B550" s="19">
        <f>70247884.38/1000000</f>
        <v>70.247884380000002</v>
      </c>
      <c r="C550" s="20"/>
      <c r="D550" s="20"/>
      <c r="E550" s="20">
        <f>'Daily exchange'!K195</f>
        <v>11.937187488765</v>
      </c>
      <c r="F550" s="20">
        <f>'Daily exchange'!N195</f>
        <v>1.9704616991999997E-2</v>
      </c>
      <c r="G550" s="20"/>
      <c r="H550" s="20"/>
      <c r="I550" s="21">
        <f t="shared" ref="I550" si="1034">SUM(B550:H550)</f>
        <v>82.204776485757009</v>
      </c>
      <c r="J550" s="19">
        <f t="shared" si="1020"/>
        <v>332</v>
      </c>
      <c r="K550" s="20"/>
      <c r="L550" s="20"/>
      <c r="M550" s="20"/>
      <c r="N550" s="20"/>
      <c r="O550" s="20"/>
      <c r="P550" s="20"/>
      <c r="Q550" s="21">
        <f t="shared" ref="Q550" si="1035">SUM(J550:P550)</f>
        <v>332</v>
      </c>
    </row>
    <row r="551" spans="1:17" x14ac:dyDescent="0.35">
      <c r="A551" s="3">
        <v>45831</v>
      </c>
      <c r="B551" s="19">
        <f>29603032/1000000</f>
        <v>29.603031999999999</v>
      </c>
      <c r="C551" s="20"/>
      <c r="D551" s="20"/>
      <c r="E551" s="20">
        <f>'Daily exchange'!K196</f>
        <v>11.982911626652999</v>
      </c>
      <c r="F551" s="20">
        <f>'Daily exchange'!N196</f>
        <v>1.9721680478099995E-2</v>
      </c>
      <c r="G551" s="20"/>
      <c r="H551" s="20"/>
      <c r="I551" s="21">
        <f t="shared" ref="I551" si="1036">SUM(B551:H551)</f>
        <v>41.605665307131098</v>
      </c>
      <c r="J551" s="19">
        <f t="shared" ref="J551:J557" si="1037">375000000/1000000</f>
        <v>375</v>
      </c>
      <c r="K551" s="20"/>
      <c r="L551" s="20"/>
      <c r="M551" s="20"/>
      <c r="N551" s="20"/>
      <c r="O551" s="20"/>
      <c r="P551" s="20"/>
      <c r="Q551" s="21">
        <f t="shared" ref="Q551" si="1038">SUM(J551:P551)</f>
        <v>375</v>
      </c>
    </row>
    <row r="552" spans="1:17" x14ac:dyDescent="0.35">
      <c r="A552" s="3">
        <v>45832</v>
      </c>
      <c r="B552" s="19">
        <f>27164592.51/1000000</f>
        <v>27.164592510000002</v>
      </c>
      <c r="C552" s="20"/>
      <c r="D552" s="20"/>
      <c r="E552" s="20">
        <f>'Daily exchange'!K197</f>
        <v>11.946640074962998</v>
      </c>
      <c r="F552" s="20">
        <f>'Daily exchange'!N197</f>
        <v>1.9561184789999998E-2</v>
      </c>
      <c r="G552" s="20"/>
      <c r="H552" s="20"/>
      <c r="I552" s="21">
        <f t="shared" ref="I552" si="1039">SUM(B552:H552)</f>
        <v>39.130793769752998</v>
      </c>
      <c r="J552" s="19">
        <f t="shared" si="1037"/>
        <v>375</v>
      </c>
      <c r="K552" s="20"/>
      <c r="L552" s="20"/>
      <c r="M552" s="20"/>
      <c r="N552" s="20"/>
      <c r="O552" s="20"/>
      <c r="P552" s="20"/>
      <c r="Q552" s="21">
        <f t="shared" ref="Q552" si="1040">SUM(J552:P552)</f>
        <v>375</v>
      </c>
    </row>
    <row r="553" spans="1:17" x14ac:dyDescent="0.35">
      <c r="A553" s="3">
        <v>45833</v>
      </c>
      <c r="B553" s="19">
        <f>27022622.22/1000000</f>
        <v>27.022622219999999</v>
      </c>
      <c r="C553" s="20"/>
      <c r="D553" s="20"/>
      <c r="E553" s="20">
        <f>'Daily exchange'!K198</f>
        <v>12.052816799000999</v>
      </c>
      <c r="F553" s="20">
        <f>'Daily exchange'!N198</f>
        <v>1.9732479109399997E-2</v>
      </c>
      <c r="G553" s="20"/>
      <c r="H553" s="20"/>
      <c r="I553" s="21">
        <f t="shared" ref="I553" si="1041">SUM(B553:H553)</f>
        <v>39.095171498110396</v>
      </c>
      <c r="J553" s="19">
        <f t="shared" si="1037"/>
        <v>375</v>
      </c>
      <c r="K553" s="20"/>
      <c r="L553" s="20"/>
      <c r="M553" s="20"/>
      <c r="N553" s="20"/>
      <c r="O553" s="20"/>
      <c r="P553" s="20"/>
      <c r="Q553" s="21">
        <f t="shared" ref="Q553" si="1042">SUM(J553:P553)</f>
        <v>375</v>
      </c>
    </row>
    <row r="554" spans="1:17" x14ac:dyDescent="0.35">
      <c r="A554" s="3">
        <v>45834</v>
      </c>
      <c r="B554" s="19">
        <f>(133184.41+6301734.09+103770.49+20315637.32)/1000000</f>
        <v>26.854326310000001</v>
      </c>
      <c r="C554" s="20"/>
      <c r="D554" s="20"/>
      <c r="E554" s="20">
        <f>'Daily exchange'!K199</f>
        <v>11.988187488716999</v>
      </c>
      <c r="F554" s="20">
        <f>'Daily exchange'!N199</f>
        <v>1.9765946623199998E-2</v>
      </c>
      <c r="G554" s="20"/>
      <c r="H554" s="20"/>
      <c r="I554" s="21">
        <f t="shared" ref="I554" si="1043">SUM(B554:H554)</f>
        <v>38.862279745340203</v>
      </c>
      <c r="J554" s="19">
        <f t="shared" si="1037"/>
        <v>375</v>
      </c>
      <c r="K554" s="20"/>
      <c r="L554" s="20"/>
      <c r="M554" s="20"/>
      <c r="N554" s="20"/>
      <c r="O554" s="20"/>
      <c r="P554" s="20"/>
      <c r="Q554" s="21">
        <f t="shared" ref="Q554" si="1044">SUM(J554:P554)</f>
        <v>375</v>
      </c>
    </row>
    <row r="555" spans="1:17" x14ac:dyDescent="0.35">
      <c r="A555" s="3">
        <v>45835</v>
      </c>
      <c r="B555" s="19">
        <f>32451816.16/1000000</f>
        <v>32.45181616</v>
      </c>
      <c r="C555" s="20"/>
      <c r="D555" s="20"/>
      <c r="E555" s="20">
        <f>'Daily exchange'!K200</f>
        <v>12.018303867999</v>
      </c>
      <c r="F555" s="20">
        <f>'Daily exchange'!N200</f>
        <v>1.9890089666999997E-2</v>
      </c>
      <c r="G555" s="20"/>
      <c r="H555" s="20"/>
      <c r="I555" s="21">
        <f t="shared" ref="I555" si="1045">SUM(B555:H555)</f>
        <v>44.490010117666003</v>
      </c>
      <c r="J555" s="19">
        <f t="shared" si="1037"/>
        <v>375</v>
      </c>
      <c r="K555" s="20"/>
      <c r="L555" s="20"/>
      <c r="M555" s="20"/>
      <c r="N555" s="20"/>
      <c r="O555" s="20"/>
      <c r="P555" s="20"/>
      <c r="Q555" s="21">
        <f t="shared" ref="Q555" si="1046">SUM(J555:P555)</f>
        <v>375</v>
      </c>
    </row>
    <row r="556" spans="1:17" x14ac:dyDescent="0.35">
      <c r="A556" s="3">
        <v>45838</v>
      </c>
      <c r="B556" s="19">
        <f>51817165.47/1000000</f>
        <v>51.817165469999999</v>
      </c>
      <c r="C556" s="20"/>
      <c r="D556" s="20"/>
      <c r="E556" s="20">
        <f>'Daily exchange'!K201</f>
        <v>12.028196109369</v>
      </c>
      <c r="F556" s="20">
        <f>'Daily exchange'!N201</f>
        <v>1.9877477525099996E-2</v>
      </c>
      <c r="G556" s="20"/>
      <c r="H556" s="20"/>
      <c r="I556" s="21">
        <f t="shared" ref="I556" si="1047">SUM(B556:H556)</f>
        <v>63.865239056894097</v>
      </c>
      <c r="J556" s="19">
        <f t="shared" si="1037"/>
        <v>375</v>
      </c>
      <c r="K556" s="20"/>
      <c r="L556" s="20"/>
      <c r="M556" s="20"/>
      <c r="N556" s="20"/>
      <c r="O556" s="20"/>
      <c r="P556" s="20"/>
      <c r="Q556" s="21">
        <f t="shared" ref="Q556" si="1048">SUM(J556:P556)</f>
        <v>375</v>
      </c>
    </row>
    <row r="557" spans="1:17" x14ac:dyDescent="0.35">
      <c r="A557" s="3">
        <v>45839</v>
      </c>
      <c r="B557" s="19">
        <f>66048619.05/1000000</f>
        <v>66.048619049999999</v>
      </c>
      <c r="C557" s="20"/>
      <c r="D557" s="20"/>
      <c r="E557" s="20">
        <f>'Daily exchange'!K202</f>
        <v>12.013357747314</v>
      </c>
      <c r="F557" s="20">
        <f>'Daily exchange'!N202</f>
        <v>1.9899404516899998E-2</v>
      </c>
      <c r="G557" s="20"/>
      <c r="H557" s="20"/>
      <c r="I557" s="21">
        <f t="shared" ref="I557" si="1049">SUM(B557:H557)</f>
        <v>78.081876201830909</v>
      </c>
      <c r="J557" s="19">
        <f t="shared" si="1037"/>
        <v>375</v>
      </c>
      <c r="K557" s="20"/>
      <c r="L557" s="20"/>
      <c r="M557" s="20"/>
      <c r="N557" s="20"/>
      <c r="O557" s="20"/>
      <c r="P557" s="20"/>
      <c r="Q557" s="21">
        <f t="shared" ref="Q557" si="1050">SUM(J557:P557)</f>
        <v>375</v>
      </c>
    </row>
    <row r="558" spans="1:17" x14ac:dyDescent="0.35">
      <c r="A558" s="3">
        <v>45840</v>
      </c>
      <c r="B558" s="19">
        <f>21048619/1000000</f>
        <v>21.048618999999999</v>
      </c>
      <c r="C558" s="20"/>
      <c r="D558" s="20"/>
      <c r="E558" s="20">
        <f>'Daily exchange'!K203</f>
        <v>12.022810333511998</v>
      </c>
      <c r="F558" s="20">
        <f>'Daily exchange'!N203</f>
        <v>1.9902619376599994E-2</v>
      </c>
      <c r="G558" s="20"/>
      <c r="H558" s="20"/>
      <c r="I558" s="21">
        <f t="shared" ref="I558" si="1051">SUM(B558:H558)</f>
        <v>33.091331952888602</v>
      </c>
      <c r="J558" s="19">
        <f>420000000/1000000</f>
        <v>420</v>
      </c>
      <c r="K558" s="20"/>
      <c r="L558" s="20"/>
      <c r="M558" s="20"/>
      <c r="N558" s="20"/>
      <c r="O558" s="20"/>
      <c r="P558" s="20"/>
      <c r="Q558" s="21">
        <f t="shared" ref="Q558" si="1052">SUM(J558:P558)</f>
        <v>420</v>
      </c>
    </row>
    <row r="559" spans="1:17" x14ac:dyDescent="0.35">
      <c r="A559" s="3">
        <v>45841</v>
      </c>
      <c r="B559" s="19">
        <f>41512359/1000000</f>
        <v>41.512358999999996</v>
      </c>
      <c r="C559" s="20"/>
      <c r="D559" s="20"/>
      <c r="E559" s="20">
        <f>'Daily exchange'!K204</f>
        <v>12.031713350744999</v>
      </c>
      <c r="F559" s="20">
        <f>'Daily exchange'!N204</f>
        <v>1.9972357102399998E-2</v>
      </c>
      <c r="G559" s="20"/>
      <c r="H559" s="20"/>
      <c r="I559" s="21">
        <f t="shared" ref="I559" si="1053">SUM(B559:H559)</f>
        <v>53.564044707847394</v>
      </c>
      <c r="J559" s="19">
        <f>420000000/1000000</f>
        <v>420</v>
      </c>
      <c r="K559" s="20"/>
      <c r="L559" s="20"/>
      <c r="M559" s="20"/>
      <c r="N559" s="20"/>
      <c r="O559" s="20"/>
      <c r="P559" s="20"/>
      <c r="Q559" s="21">
        <f t="shared" ref="Q559" si="1054">SUM(J559:P559)</f>
        <v>420</v>
      </c>
    </row>
    <row r="560" spans="1:17" x14ac:dyDescent="0.35">
      <c r="A560" s="3">
        <v>45842</v>
      </c>
      <c r="B560" s="19">
        <f>41512359/1000000</f>
        <v>41.512358999999996</v>
      </c>
      <c r="C560" s="20"/>
      <c r="D560" s="20"/>
      <c r="E560" s="20">
        <f>'Daily exchange'!K205</f>
        <v>12.074249988636</v>
      </c>
      <c r="F560" s="20">
        <f>'Daily exchange'!N205</f>
        <v>2.0078117743299997E-2</v>
      </c>
      <c r="G560" s="20"/>
      <c r="H560" s="20"/>
      <c r="I560" s="21">
        <f t="shared" ref="I560" si="1055">SUM(B560:H560)</f>
        <v>53.606687106379297</v>
      </c>
      <c r="J560" s="19">
        <f>420000000/1000000</f>
        <v>420</v>
      </c>
      <c r="K560" s="20"/>
      <c r="L560" s="20"/>
      <c r="M560" s="20"/>
      <c r="N560" s="20"/>
      <c r="O560" s="20"/>
      <c r="P560" s="20"/>
      <c r="Q560" s="21">
        <f t="shared" ref="Q560" si="1056">SUM(J560:P560)</f>
        <v>420</v>
      </c>
    </row>
    <row r="561" spans="1:17" x14ac:dyDescent="0.35">
      <c r="A561" s="3">
        <v>45845</v>
      </c>
      <c r="B561" s="19">
        <f>29344687.76/1000000</f>
        <v>29.344687760000003</v>
      </c>
      <c r="C561" s="20"/>
      <c r="D561" s="20"/>
      <c r="E561" s="20">
        <f>'Daily exchange'!K206</f>
        <v>12.084691798970999</v>
      </c>
      <c r="F561" s="20">
        <f>'Daily exchange'!N206</f>
        <v>2.0058004262099995E-2</v>
      </c>
      <c r="G561" s="20"/>
      <c r="H561" s="20"/>
      <c r="I561" s="21">
        <f t="shared" ref="I561" si="1057">SUM(B561:H561)</f>
        <v>41.449437563233097</v>
      </c>
      <c r="J561" s="19">
        <f>435000000/1000000</f>
        <v>435</v>
      </c>
      <c r="K561" s="20"/>
      <c r="L561" s="20"/>
      <c r="M561" s="20"/>
      <c r="N561" s="20"/>
      <c r="O561" s="20"/>
      <c r="P561" s="20"/>
      <c r="Q561" s="21">
        <f t="shared" ref="Q561" si="1058">SUM(J561:P561)</f>
        <v>435</v>
      </c>
    </row>
    <row r="562" spans="1:17" x14ac:dyDescent="0.35">
      <c r="A562" s="3">
        <v>45846</v>
      </c>
      <c r="B562" s="19">
        <f>29040187.76/1000000</f>
        <v>29.040187760000002</v>
      </c>
      <c r="C562" s="20"/>
      <c r="D562" s="20"/>
      <c r="E562" s="20">
        <f>'Daily exchange'!K207</f>
        <v>12.069413781744</v>
      </c>
      <c r="F562" s="20">
        <f>'Daily exchange'!N207</f>
        <v>1.9930399061699997E-2</v>
      </c>
      <c r="G562" s="20"/>
      <c r="H562" s="20"/>
      <c r="I562" s="21">
        <f t="shared" ref="I562" si="1059">SUM(B562:H562)</f>
        <v>41.129531940805698</v>
      </c>
      <c r="J562" s="19">
        <f>435000000/1000000</f>
        <v>435</v>
      </c>
      <c r="K562" s="20"/>
      <c r="L562" s="20"/>
      <c r="M562" s="20"/>
      <c r="N562" s="20"/>
      <c r="O562" s="20"/>
      <c r="P562" s="20"/>
      <c r="Q562" s="21">
        <f t="shared" ref="Q562" si="1060">SUM(J562:P562)</f>
        <v>435</v>
      </c>
    </row>
    <row r="563" spans="1:17" x14ac:dyDescent="0.35">
      <c r="A563" s="3">
        <v>45847</v>
      </c>
      <c r="B563" s="19">
        <f>27456922.78/1000000</f>
        <v>27.456922780000003</v>
      </c>
      <c r="C563" s="20"/>
      <c r="D563" s="20"/>
      <c r="E563" s="20">
        <f>'Daily exchange'!K208</f>
        <v>11.936308178420999</v>
      </c>
      <c r="F563" s="20">
        <f>'Daily exchange'!N208</f>
        <v>1.9827028957499999E-2</v>
      </c>
      <c r="G563" s="20"/>
      <c r="H563" s="20"/>
      <c r="I563" s="21">
        <f t="shared" ref="I563" si="1061">SUM(B563:H563)</f>
        <v>39.413057987378501</v>
      </c>
      <c r="J563" s="19">
        <f>435000000/1000000</f>
        <v>435</v>
      </c>
      <c r="K563" s="20"/>
      <c r="L563" s="20"/>
      <c r="M563" s="20"/>
      <c r="N563" s="20"/>
      <c r="O563" s="20"/>
      <c r="P563" s="20"/>
      <c r="Q563" s="21">
        <f t="shared" ref="Q563" si="1062">SUM(J563:P563)</f>
        <v>435</v>
      </c>
    </row>
    <row r="564" spans="1:17" x14ac:dyDescent="0.35">
      <c r="A564" s="3">
        <v>45848</v>
      </c>
      <c r="B564" s="19">
        <f>48311958.26/1000000</f>
        <v>48.311958259999997</v>
      </c>
      <c r="C564" s="20"/>
      <c r="D564" s="20"/>
      <c r="E564" s="20">
        <f>'Daily exchange'!K209</f>
        <v>11.924987057741998</v>
      </c>
      <c r="F564" s="20">
        <f>'Daily exchange'!N209</f>
        <v>1.9736435859799999E-2</v>
      </c>
      <c r="G564" s="20"/>
      <c r="H564" s="20"/>
      <c r="I564" s="21">
        <f t="shared" ref="I564" si="1063">SUM(B564:H564)</f>
        <v>60.256681753601796</v>
      </c>
      <c r="J564" s="19">
        <f>435000000/1000000</f>
        <v>435</v>
      </c>
      <c r="K564" s="20"/>
      <c r="L564" s="20"/>
      <c r="M564" s="20"/>
      <c r="N564" s="20"/>
      <c r="O564" s="20"/>
      <c r="P564" s="20"/>
      <c r="Q564" s="21">
        <f t="shared" ref="Q564" si="1064">SUM(J564:P564)</f>
        <v>435</v>
      </c>
    </row>
    <row r="565" spans="1:17" x14ac:dyDescent="0.35">
      <c r="A565" s="3">
        <v>45849</v>
      </c>
      <c r="B565" s="19">
        <f>31524892.69/1000000</f>
        <v>31.524892690000001</v>
      </c>
      <c r="C565" s="20"/>
      <c r="D565" s="20"/>
      <c r="E565" s="20">
        <f>'Daily exchange'!K210</f>
        <v>11.891023695705</v>
      </c>
      <c r="F565" s="20"/>
      <c r="G565" s="20"/>
      <c r="H565" s="20"/>
      <c r="I565" s="21">
        <f t="shared" ref="I565" si="1065">SUM(B565:H565)</f>
        <v>43.415916385705003</v>
      </c>
      <c r="J565" s="19">
        <f t="shared" ref="J565:J570" si="1066">455000000/1000000</f>
        <v>455</v>
      </c>
      <c r="K565" s="20"/>
      <c r="L565" s="20"/>
      <c r="M565" s="20"/>
      <c r="N565" s="20"/>
      <c r="O565" s="20"/>
      <c r="P565" s="20"/>
      <c r="Q565" s="21">
        <f t="shared" ref="Q565" si="1067">SUM(J565:P565)</f>
        <v>455</v>
      </c>
    </row>
    <row r="566" spans="1:17" x14ac:dyDescent="0.35">
      <c r="A566" s="3">
        <v>45852</v>
      </c>
      <c r="B566" s="19">
        <f>31521911.89/1000000</f>
        <v>31.521911890000002</v>
      </c>
      <c r="C566" s="20"/>
      <c r="D566" s="20"/>
      <c r="E566" s="20">
        <f>'Daily exchange'!K211</f>
        <v>11.918502143954999</v>
      </c>
      <c r="F566" s="20"/>
      <c r="G566" s="20"/>
      <c r="H566" s="20"/>
      <c r="I566" s="21">
        <f t="shared" ref="I566" si="1068">SUM(B566:H566)</f>
        <v>43.440414033955001</v>
      </c>
      <c r="J566" s="19">
        <f t="shared" si="1066"/>
        <v>455</v>
      </c>
      <c r="K566" s="20"/>
      <c r="L566" s="20"/>
      <c r="M566" s="20"/>
      <c r="N566" s="20"/>
      <c r="O566" s="20"/>
      <c r="P566" s="20"/>
      <c r="Q566" s="21">
        <f t="shared" ref="Q566" si="1069">SUM(J566:P566)</f>
        <v>455</v>
      </c>
    </row>
    <row r="567" spans="1:17" x14ac:dyDescent="0.35">
      <c r="A567" s="3">
        <v>45853</v>
      </c>
      <c r="B567" s="19">
        <f>31551911.89/1000000</f>
        <v>31.55191189</v>
      </c>
      <c r="C567" s="20"/>
      <c r="D567" s="20"/>
      <c r="E567" s="20">
        <f>'Daily exchange'!K212</f>
        <v>11.973129299076</v>
      </c>
      <c r="F567" s="20"/>
      <c r="G567" s="20"/>
      <c r="H567" s="20"/>
      <c r="I567" s="21">
        <f t="shared" ref="I567" si="1070">SUM(B567:H567)</f>
        <v>43.525041189075999</v>
      </c>
      <c r="J567" s="19">
        <f t="shared" si="1066"/>
        <v>455</v>
      </c>
      <c r="K567" s="20"/>
      <c r="L567" s="20"/>
      <c r="M567" s="20"/>
      <c r="N567" s="20"/>
      <c r="O567" s="20"/>
      <c r="P567" s="20"/>
      <c r="Q567" s="21">
        <f t="shared" ref="Q567" si="1071">SUM(J567:P567)</f>
        <v>455</v>
      </c>
    </row>
    <row r="568" spans="1:17" x14ac:dyDescent="0.35">
      <c r="A568" s="3">
        <v>45854</v>
      </c>
      <c r="B568" s="19">
        <f>31121579.89/1000000</f>
        <v>31.12157989</v>
      </c>
      <c r="C568" s="20"/>
      <c r="D568" s="20"/>
      <c r="E568" s="20">
        <f>'Daily exchange'!K213</f>
        <v>11.909489212929</v>
      </c>
      <c r="F568" s="20"/>
      <c r="G568" s="20"/>
      <c r="H568" s="20"/>
      <c r="I568" s="21">
        <f t="shared" ref="I568" si="1072">SUM(B568:H568)</f>
        <v>43.031069102928996</v>
      </c>
      <c r="J568" s="19">
        <f t="shared" si="1066"/>
        <v>455</v>
      </c>
      <c r="K568" s="20"/>
      <c r="L568" s="20"/>
      <c r="M568" s="20"/>
      <c r="N568" s="20"/>
      <c r="O568" s="20"/>
      <c r="P568" s="20"/>
      <c r="Q568" s="21">
        <f t="shared" ref="Q568" si="1073">SUM(J568:P568)</f>
        <v>455</v>
      </c>
    </row>
    <row r="569" spans="1:17" x14ac:dyDescent="0.35">
      <c r="A569" s="3">
        <v>45855</v>
      </c>
      <c r="B569" s="19">
        <f>54595026.48/1000000</f>
        <v>54.595026479999994</v>
      </c>
      <c r="C569" s="20"/>
      <c r="D569" s="20"/>
      <c r="E569" s="20">
        <f>'Daily exchange'!K214</f>
        <v>11.916193954301999</v>
      </c>
      <c r="F569" s="20"/>
      <c r="G569" s="20"/>
      <c r="H569" s="20"/>
      <c r="I569" s="21">
        <f t="shared" ref="I569" si="1074">SUM(B569:H569)</f>
        <v>66.51122043430199</v>
      </c>
      <c r="J569" s="19">
        <f t="shared" si="1066"/>
        <v>455</v>
      </c>
      <c r="K569" s="20"/>
      <c r="L569" s="20"/>
      <c r="M569" s="20"/>
      <c r="N569" s="20"/>
      <c r="O569" s="20"/>
      <c r="P569" s="20"/>
      <c r="Q569" s="21">
        <f t="shared" ref="Q569" si="1075">SUM(J569:P569)</f>
        <v>455</v>
      </c>
    </row>
    <row r="570" spans="1:17" x14ac:dyDescent="0.35">
      <c r="A570" s="3">
        <v>45856</v>
      </c>
      <c r="B570" s="19">
        <f>54454913.18/1000000</f>
        <v>54.454913179999998</v>
      </c>
      <c r="C570" s="20"/>
      <c r="D570" s="20"/>
      <c r="E570" s="20">
        <f>'Daily exchange'!K215</f>
        <v>11.957191799090999</v>
      </c>
      <c r="F570" s="20"/>
      <c r="G570" s="20"/>
      <c r="H570" s="20"/>
      <c r="I570" s="21">
        <f t="shared" ref="I570" si="1076">SUM(B570:H570)</f>
        <v>66.412104979090998</v>
      </c>
      <c r="J570" s="19">
        <f t="shared" si="1066"/>
        <v>455</v>
      </c>
      <c r="K570" s="20"/>
      <c r="L570" s="20"/>
      <c r="M570" s="20"/>
      <c r="N570" s="20"/>
      <c r="O570" s="20"/>
      <c r="P570" s="20"/>
      <c r="Q570" s="21">
        <f t="shared" ref="Q570" si="1077">SUM(J570:P570)</f>
        <v>455</v>
      </c>
    </row>
    <row r="571" spans="1:17" x14ac:dyDescent="0.35">
      <c r="A571" s="3">
        <v>45859</v>
      </c>
      <c r="B571" s="19">
        <f>29704871.43/1000000</f>
        <v>29.704871430000001</v>
      </c>
      <c r="C571" s="20"/>
      <c r="D571" s="20"/>
      <c r="E571" s="20">
        <f>'Daily exchange'!K216</f>
        <v>11.976096971486998</v>
      </c>
      <c r="F571" s="20"/>
      <c r="G571" s="20"/>
      <c r="H571" s="20"/>
      <c r="I571" s="21">
        <f t="shared" ref="I571" si="1078">SUM(B571:H571)</f>
        <v>41.680968401487</v>
      </c>
      <c r="J571" s="19">
        <f t="shared" ref="J571:J580" si="1079">440000000/1000000</f>
        <v>440</v>
      </c>
      <c r="K571" s="20"/>
      <c r="L571" s="20"/>
      <c r="M571" s="20"/>
      <c r="N571" s="20"/>
      <c r="O571" s="20"/>
      <c r="P571" s="20"/>
      <c r="Q571" s="21">
        <f t="shared" ref="Q571" si="1080">SUM(J571:P571)</f>
        <v>440</v>
      </c>
    </row>
    <row r="572" spans="1:17" x14ac:dyDescent="0.35">
      <c r="A572" s="3">
        <v>45860</v>
      </c>
      <c r="B572" s="19">
        <f>29704871.43/1000000</f>
        <v>29.704871430000001</v>
      </c>
      <c r="C572" s="20"/>
      <c r="D572" s="20"/>
      <c r="E572" s="20">
        <f>'Daily exchange'!K217</f>
        <v>11.970711195629999</v>
      </c>
      <c r="F572" s="20"/>
      <c r="G572" s="20"/>
      <c r="H572" s="20"/>
      <c r="I572" s="21">
        <f t="shared" ref="I572" si="1081">SUM(B572:H572)</f>
        <v>41.67558262563</v>
      </c>
      <c r="J572" s="19">
        <f t="shared" si="1079"/>
        <v>440</v>
      </c>
      <c r="K572" s="20"/>
      <c r="L572" s="20"/>
      <c r="M572" s="20"/>
      <c r="N572" s="20"/>
      <c r="O572" s="20"/>
      <c r="P572" s="20"/>
      <c r="Q572" s="21">
        <f t="shared" ref="Q572" si="1082">SUM(J572:P572)</f>
        <v>440</v>
      </c>
    </row>
    <row r="573" spans="1:17" x14ac:dyDescent="0.35">
      <c r="A573" s="3">
        <v>45861</v>
      </c>
      <c r="B573" s="19">
        <f>29606069.43/1000000</f>
        <v>29.606069429999998</v>
      </c>
      <c r="C573" s="20"/>
      <c r="D573" s="20"/>
      <c r="E573" s="20">
        <f>'Daily exchange'!K218</f>
        <v>11.961808178396998</v>
      </c>
      <c r="F573" s="20"/>
      <c r="G573" s="20"/>
      <c r="H573" s="20"/>
      <c r="I573" s="21">
        <f t="shared" ref="I573" si="1083">SUM(B573:H573)</f>
        <v>41.567877608396998</v>
      </c>
      <c r="J573" s="19">
        <f t="shared" si="1079"/>
        <v>440</v>
      </c>
      <c r="K573" s="20"/>
      <c r="L573" s="20"/>
      <c r="M573" s="20"/>
      <c r="N573" s="20"/>
      <c r="O573" s="20"/>
      <c r="P573" s="20"/>
      <c r="Q573" s="21">
        <f t="shared" ref="Q573" si="1084">SUM(J573:P573)</f>
        <v>440</v>
      </c>
    </row>
    <row r="574" spans="1:17" x14ac:dyDescent="0.35">
      <c r="A574" s="3">
        <v>45862</v>
      </c>
      <c r="B574" s="19">
        <f>27197727.28/1000000</f>
        <v>27.197727280000002</v>
      </c>
      <c r="C574" s="20"/>
      <c r="D574" s="20"/>
      <c r="E574" s="20">
        <f>'Daily exchange'!K219</f>
        <v>12.045782316248999</v>
      </c>
      <c r="F574" s="20"/>
      <c r="G574" s="20"/>
      <c r="H574" s="20"/>
      <c r="I574" s="21">
        <f t="shared" ref="I574" si="1085">SUM(B574:H574)</f>
        <v>39.243509596248998</v>
      </c>
      <c r="J574" s="19">
        <f t="shared" si="1079"/>
        <v>440</v>
      </c>
      <c r="K574" s="20"/>
      <c r="L574" s="20"/>
      <c r="M574" s="20"/>
      <c r="N574" s="20"/>
      <c r="O574" s="20"/>
      <c r="P574" s="20"/>
      <c r="Q574" s="21">
        <f t="shared" ref="Q574" si="1086">SUM(J574:P574)</f>
        <v>440</v>
      </c>
    </row>
    <row r="575" spans="1:17" x14ac:dyDescent="0.35">
      <c r="A575" s="3">
        <v>45863</v>
      </c>
      <c r="B575" s="19">
        <f>27197619.1/1000000</f>
        <v>27.197619100000001</v>
      </c>
      <c r="C575" s="20"/>
      <c r="D575" s="20"/>
      <c r="E575" s="20">
        <f>'Daily exchange'!K220</f>
        <v>12.162181023036</v>
      </c>
      <c r="F575" s="20"/>
      <c r="G575" s="20"/>
      <c r="H575" s="20"/>
      <c r="I575" s="21">
        <f t="shared" ref="I575" si="1087">SUM(B575:H575)</f>
        <v>39.359800123036003</v>
      </c>
      <c r="J575" s="19">
        <f t="shared" si="1079"/>
        <v>440</v>
      </c>
      <c r="K575" s="20"/>
      <c r="L575" s="20"/>
      <c r="M575" s="20"/>
      <c r="N575" s="20"/>
      <c r="O575" s="20"/>
      <c r="P575" s="20"/>
      <c r="Q575" s="21">
        <f t="shared" ref="Q575" si="1088">SUM(J575:P575)</f>
        <v>440</v>
      </c>
    </row>
    <row r="576" spans="1:17" x14ac:dyDescent="0.35">
      <c r="A576" s="3">
        <v>45866</v>
      </c>
      <c r="B576" s="19">
        <f>28735087.59/1000000</f>
        <v>28.735087589999999</v>
      </c>
      <c r="C576" s="20"/>
      <c r="D576" s="20"/>
      <c r="E576" s="20">
        <f>'Daily exchange'!K221</f>
        <v>12.162950419586998</v>
      </c>
      <c r="F576" s="20"/>
      <c r="G576" s="20"/>
      <c r="H576" s="20"/>
      <c r="I576" s="21">
        <f t="shared" ref="I576" si="1089">SUM(B576:H576)</f>
        <v>40.898038009586998</v>
      </c>
      <c r="J576" s="19">
        <f t="shared" si="1079"/>
        <v>440</v>
      </c>
      <c r="K576" s="20"/>
      <c r="L576" s="20"/>
      <c r="M576" s="20"/>
      <c r="N576" s="20"/>
      <c r="O576" s="20"/>
      <c r="P576" s="20"/>
      <c r="Q576" s="21">
        <f t="shared" ref="Q576" si="1090">SUM(J576:P576)</f>
        <v>440</v>
      </c>
    </row>
    <row r="577" spans="1:17" x14ac:dyDescent="0.35">
      <c r="A577" s="3">
        <v>45867</v>
      </c>
      <c r="B577" s="19">
        <f>2248099732.81/1000000</f>
        <v>2248.0997328099998</v>
      </c>
      <c r="C577" s="20"/>
      <c r="D577" s="20"/>
      <c r="E577" s="20">
        <f>'Daily exchange'!K222</f>
        <v>12.223403005737</v>
      </c>
      <c r="F577" s="20"/>
      <c r="G577" s="20"/>
      <c r="H577" s="20"/>
      <c r="I577" s="21">
        <f t="shared" ref="I577" si="1091">SUM(B577:H577)</f>
        <v>2260.3231358157368</v>
      </c>
      <c r="J577" s="19">
        <f t="shared" si="1079"/>
        <v>440</v>
      </c>
      <c r="K577" s="20"/>
      <c r="L577" s="20"/>
      <c r="M577" s="20"/>
      <c r="N577" s="20"/>
      <c r="O577" s="20"/>
      <c r="P577" s="20"/>
      <c r="Q577" s="21">
        <f t="shared" ref="Q577" si="1092">SUM(J577:P577)</f>
        <v>440</v>
      </c>
    </row>
    <row r="578" spans="1:17" x14ac:dyDescent="0.35">
      <c r="A578" s="3">
        <v>45868</v>
      </c>
      <c r="B578" s="19">
        <f>47547562.81/1000000</f>
        <v>47.547562810000002</v>
      </c>
      <c r="C578" s="20"/>
      <c r="D578" s="20"/>
      <c r="E578" s="20">
        <f>'Daily exchange'!K223</f>
        <v>12.559849126109999</v>
      </c>
      <c r="F578" s="20"/>
      <c r="G578" s="20"/>
      <c r="H578" s="20"/>
      <c r="I578" s="21">
        <f t="shared" ref="I578" si="1093">SUM(B578:H578)</f>
        <v>60.107411936109997</v>
      </c>
      <c r="J578" s="19">
        <f t="shared" si="1079"/>
        <v>440</v>
      </c>
      <c r="K578" s="20"/>
      <c r="L578" s="20"/>
      <c r="M578" s="20"/>
      <c r="N578" s="20"/>
      <c r="O578" s="20"/>
      <c r="P578" s="20"/>
      <c r="Q578" s="21">
        <f t="shared" ref="Q578" si="1094">SUM(J578:P578)</f>
        <v>440</v>
      </c>
    </row>
    <row r="579" spans="1:17" x14ac:dyDescent="0.35">
      <c r="A579" s="3">
        <v>45869</v>
      </c>
      <c r="B579" s="19">
        <f>47092878.67/1000000</f>
        <v>47.092878670000005</v>
      </c>
      <c r="C579" s="20"/>
      <c r="D579" s="20"/>
      <c r="E579" s="20">
        <f>'Daily exchange'!K224</f>
        <v>12.495329729618998</v>
      </c>
      <c r="F579" s="20"/>
      <c r="G579" s="20"/>
      <c r="H579" s="20"/>
      <c r="I579" s="21">
        <f t="shared" ref="I579" si="1095">SUM(B579:H579)</f>
        <v>59.588208399619006</v>
      </c>
      <c r="J579" s="19">
        <f t="shared" si="1079"/>
        <v>440</v>
      </c>
      <c r="K579" s="20"/>
      <c r="L579" s="20"/>
      <c r="M579" s="20"/>
      <c r="N579" s="20"/>
      <c r="O579" s="20"/>
      <c r="P579" s="20"/>
      <c r="Q579" s="21">
        <f t="shared" ref="Q579" si="1096">SUM(J579:P579)</f>
        <v>440</v>
      </c>
    </row>
    <row r="580" spans="1:17" x14ac:dyDescent="0.35">
      <c r="A580" s="3">
        <v>45870</v>
      </c>
      <c r="B580" s="19">
        <f>47000986.9/1000000</f>
        <v>47.000986900000001</v>
      </c>
      <c r="C580" s="20"/>
      <c r="D580" s="20"/>
      <c r="E580" s="20">
        <f>'Daily exchange'!K225</f>
        <v>12.192517229904</v>
      </c>
      <c r="F580" s="20"/>
      <c r="G580" s="20"/>
      <c r="H580" s="20"/>
      <c r="I580" s="21">
        <f t="shared" ref="I580" si="1097">SUM(B580:H580)</f>
        <v>59.193504129903999</v>
      </c>
      <c r="J580" s="19">
        <f t="shared" si="1079"/>
        <v>440</v>
      </c>
      <c r="K580" s="20"/>
      <c r="L580" s="20"/>
      <c r="M580" s="20"/>
      <c r="N580" s="20"/>
      <c r="O580" s="20"/>
      <c r="P580" s="20"/>
      <c r="Q580" s="21">
        <f t="shared" ref="Q580" si="1098">SUM(J580:P580)</f>
        <v>440</v>
      </c>
    </row>
    <row r="581" spans="1:17" x14ac:dyDescent="0.35">
      <c r="A581" s="3">
        <v>45873</v>
      </c>
      <c r="B581" s="19">
        <f>23082673.87/1000000</f>
        <v>23.082673870000001</v>
      </c>
      <c r="C581" s="20"/>
      <c r="D581" s="20"/>
      <c r="E581" s="20">
        <f>'Daily exchange'!K226</f>
        <v>12.189329729907</v>
      </c>
      <c r="F581" s="20"/>
      <c r="G581" s="20"/>
      <c r="H581" s="20"/>
      <c r="I581" s="21">
        <f t="shared" ref="I581" si="1099">SUM(B581:H581)</f>
        <v>35.272003599907002</v>
      </c>
      <c r="J581" s="19">
        <f>458000000/1000000</f>
        <v>458</v>
      </c>
      <c r="K581" s="20"/>
      <c r="L581" s="20"/>
      <c r="M581" s="20"/>
      <c r="N581" s="20"/>
      <c r="O581" s="20"/>
      <c r="P581" s="20"/>
      <c r="Q581" s="21">
        <f t="shared" ref="Q581" si="1100">SUM(J581:P581)</f>
        <v>458</v>
      </c>
    </row>
    <row r="582" spans="1:17" x14ac:dyDescent="0.35">
      <c r="A582" s="3">
        <v>45874</v>
      </c>
      <c r="B582" s="19">
        <f>23112673.87/1000000</f>
        <v>23.112673870000002</v>
      </c>
      <c r="C582" s="20"/>
      <c r="D582" s="20"/>
      <c r="E582" s="20">
        <f>'Daily exchange'!K227</f>
        <v>12.164159471309999</v>
      </c>
      <c r="F582" s="20"/>
      <c r="G582" s="20"/>
      <c r="H582" s="20"/>
      <c r="I582" s="21">
        <f t="shared" ref="I582" si="1101">SUM(B582:H582)</f>
        <v>35.276833341310002</v>
      </c>
      <c r="J582" s="19">
        <f>458000000/1000000</f>
        <v>458</v>
      </c>
      <c r="K582" s="20"/>
      <c r="L582" s="20"/>
      <c r="M582" s="20"/>
      <c r="N582" s="20"/>
      <c r="O582" s="20"/>
      <c r="P582" s="20"/>
      <c r="Q582" s="21">
        <f t="shared" ref="Q582" si="1102">SUM(J582:P582)</f>
        <v>458</v>
      </c>
    </row>
    <row r="583" spans="1:17" x14ac:dyDescent="0.35">
      <c r="A583" s="3">
        <v>45875</v>
      </c>
      <c r="B583" s="19">
        <f>22595973.87/1000000</f>
        <v>22.595973870000002</v>
      </c>
      <c r="C583" s="20"/>
      <c r="D583" s="20"/>
      <c r="E583" s="20">
        <f>'Daily exchange'!K228</f>
        <v>12.204387919547999</v>
      </c>
      <c r="F583" s="20"/>
      <c r="G583" s="20"/>
      <c r="H583" s="20"/>
      <c r="I583" s="21">
        <f t="shared" ref="I583" si="1103">SUM(B583:H583)</f>
        <v>34.800361789547999</v>
      </c>
      <c r="J583" s="19">
        <f>458000000/1000000</f>
        <v>458</v>
      </c>
      <c r="K583" s="20"/>
      <c r="L583" s="20"/>
      <c r="M583" s="20"/>
      <c r="N583" s="20"/>
      <c r="O583" s="20"/>
      <c r="P583" s="20"/>
      <c r="Q583" s="21">
        <f t="shared" ref="Q583" si="1104">SUM(J583:P583)</f>
        <v>458</v>
      </c>
    </row>
    <row r="584" spans="1:17" x14ac:dyDescent="0.35">
      <c r="A584" s="3">
        <v>45876</v>
      </c>
      <c r="B584" s="19">
        <f>22595973.87/1000000</f>
        <v>22.595973870000002</v>
      </c>
      <c r="C584" s="20"/>
      <c r="D584" s="20"/>
      <c r="E584" s="20">
        <f>'Daily exchange'!K229</f>
        <v>12.218566798845</v>
      </c>
      <c r="F584" s="20"/>
      <c r="G584" s="20"/>
      <c r="H584" s="20"/>
      <c r="I584" s="21">
        <f t="shared" ref="I584" si="1105">SUM(B584:H584)</f>
        <v>34.814540668844998</v>
      </c>
      <c r="J584" s="19">
        <f>458000000/1000000</f>
        <v>458</v>
      </c>
      <c r="K584" s="20"/>
      <c r="L584" s="20"/>
      <c r="M584" s="20"/>
      <c r="N584" s="20"/>
      <c r="O584" s="20"/>
      <c r="P584" s="20"/>
      <c r="Q584" s="21">
        <f t="shared" ref="Q584" si="1106">SUM(J584:P584)</f>
        <v>458</v>
      </c>
    </row>
    <row r="585" spans="1:17" x14ac:dyDescent="0.35">
      <c r="A585" s="3">
        <v>45877</v>
      </c>
      <c r="B585" s="19">
        <f>19502825.03/1000000</f>
        <v>19.50282503</v>
      </c>
      <c r="C585" s="20"/>
      <c r="D585" s="20"/>
      <c r="E585" s="20">
        <f>'Daily exchange'!K230</f>
        <v>12.109202574809999</v>
      </c>
      <c r="F585" s="20"/>
      <c r="G585" s="20"/>
      <c r="H585" s="20"/>
      <c r="I585" s="21">
        <f t="shared" ref="I585" si="1107">SUM(B585:H585)</f>
        <v>31.612027604809999</v>
      </c>
      <c r="J585" s="19">
        <f>458000000/1000000</f>
        <v>458</v>
      </c>
      <c r="K585" s="20"/>
      <c r="L585" s="20"/>
      <c r="M585" s="20"/>
      <c r="N585" s="20"/>
      <c r="O585" s="20"/>
      <c r="P585" s="20"/>
      <c r="Q585" s="21">
        <f t="shared" ref="Q585" si="1108">SUM(J585:P585)</f>
        <v>458</v>
      </c>
    </row>
    <row r="586" spans="1:17" x14ac:dyDescent="0.35">
      <c r="A586" s="3">
        <v>45880</v>
      </c>
      <c r="B586" s="19">
        <f>19502825.03/1000000</f>
        <v>19.50282503</v>
      </c>
      <c r="C586" s="20"/>
      <c r="D586" s="20"/>
      <c r="E586" s="20">
        <f>'Daily exchange'!K231</f>
        <v>12.163609902344998</v>
      </c>
      <c r="F586" s="20"/>
      <c r="G586" s="20"/>
      <c r="H586" s="20"/>
      <c r="I586" s="21">
        <f t="shared" ref="I586" si="1109">SUM(B586:H586)</f>
        <v>31.666434932344998</v>
      </c>
      <c r="J586" s="19">
        <f>458000000/1000000</f>
        <v>458</v>
      </c>
      <c r="K586" s="20"/>
      <c r="L586" s="20"/>
      <c r="M586" s="20"/>
      <c r="N586" s="20"/>
      <c r="O586" s="20"/>
      <c r="P586" s="20"/>
      <c r="Q586" s="21">
        <f t="shared" ref="Q586" si="1110">SUM(J586:P586)</f>
        <v>458</v>
      </c>
    </row>
  </sheetData>
  <mergeCells count="3">
    <mergeCell ref="B2:I2"/>
    <mergeCell ref="J2:Q2"/>
    <mergeCell ref="A2:A3"/>
  </mergeCells>
  <pageMargins left="0.7" right="0.7" top="0.75" bottom="0.75" header="0.3" footer="0.3"/>
  <pageSetup paperSize="9" scale="99" fitToHeight="0" orientation="landscape" r:id="rId1"/>
  <customProperties>
    <customPr name="EpmWorksheetKeyString_GUID" r:id="rId2"/>
  </customProperties>
  <ignoredErrors>
    <ignoredError sqref="A44 A58 A53:XFD53 A49 A68 A63 A93 A88 A83 A78 A98 A128 A123 A118 A113 A108 A103 A73 B287 J287 Q275 Q370 I53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showGridLines="0" zoomScale="85" zoomScaleNormal="85" workbookViewId="0">
      <pane xSplit="2" ySplit="2" topLeftCell="G227" activePane="bottomRight" state="frozen"/>
      <selection sqref="A1:XFD1048576"/>
      <selection pane="topRight" sqref="A1:XFD1048576"/>
      <selection pane="bottomLeft" sqref="A1:XFD1048576"/>
      <selection pane="bottomRight" activeCell="J231" sqref="J231"/>
    </sheetView>
  </sheetViews>
  <sheetFormatPr defaultColWidth="14" defaultRowHeight="26.25" customHeight="1" x14ac:dyDescent="0.35"/>
  <cols>
    <col min="1" max="1" width="9.81640625" style="25" customWidth="1"/>
    <col min="2" max="2" width="14" style="44"/>
    <col min="3" max="4" width="14" style="25"/>
    <col min="5" max="5" width="18.81640625" style="25" customWidth="1"/>
    <col min="6" max="7" width="14" style="25"/>
    <col min="8" max="8" width="18.81640625" style="25" customWidth="1"/>
    <col min="9" max="10" width="14" style="25"/>
    <col min="11" max="15" width="18.81640625" style="25" customWidth="1"/>
    <col min="16" max="16384" width="14" style="25"/>
  </cols>
  <sheetData>
    <row r="1" spans="1:15" s="22" customFormat="1" ht="26.25" customHeight="1" x14ac:dyDescent="0.35">
      <c r="B1" s="23" t="s">
        <v>15</v>
      </c>
      <c r="O1" s="24" t="s">
        <v>16</v>
      </c>
    </row>
    <row r="2" spans="1:15" ht="26.25" customHeight="1" x14ac:dyDescent="0.35">
      <c r="B2" s="26" t="s">
        <v>13</v>
      </c>
      <c r="C2" s="27" t="s">
        <v>2</v>
      </c>
      <c r="D2" s="28" t="s">
        <v>17</v>
      </c>
      <c r="E2" s="29" t="s">
        <v>18</v>
      </c>
      <c r="F2" s="28" t="s">
        <v>3</v>
      </c>
      <c r="G2" s="28" t="s">
        <v>19</v>
      </c>
      <c r="H2" s="28" t="s">
        <v>18</v>
      </c>
      <c r="I2" s="27" t="s">
        <v>4</v>
      </c>
      <c r="J2" s="28" t="s">
        <v>17</v>
      </c>
      <c r="K2" s="29" t="s">
        <v>18</v>
      </c>
      <c r="L2" s="27" t="s">
        <v>36</v>
      </c>
      <c r="M2" s="28" t="s">
        <v>17</v>
      </c>
      <c r="N2" s="29" t="s">
        <v>18</v>
      </c>
      <c r="O2" s="30" t="s">
        <v>20</v>
      </c>
    </row>
    <row r="3" spans="1:15" ht="26.25" customHeight="1" x14ac:dyDescent="0.35">
      <c r="A3" s="31"/>
      <c r="B3" s="37">
        <v>45085</v>
      </c>
      <c r="C3" s="33">
        <v>1</v>
      </c>
      <c r="D3" s="33">
        <v>82.7</v>
      </c>
      <c r="E3" s="34">
        <f t="shared" ref="E3:E8" si="0">D3*C3</f>
        <v>82.7</v>
      </c>
      <c r="F3" s="32"/>
      <c r="G3" s="33"/>
      <c r="H3" s="34"/>
      <c r="I3" s="32"/>
      <c r="J3" s="33"/>
      <c r="K3" s="35"/>
      <c r="L3" s="35"/>
      <c r="M3" s="35"/>
      <c r="N3" s="35"/>
      <c r="O3" s="36">
        <f>+E3+H3+K3</f>
        <v>82.7</v>
      </c>
    </row>
    <row r="4" spans="1:15" ht="26.25" customHeight="1" x14ac:dyDescent="0.35">
      <c r="B4" s="37">
        <v>45086</v>
      </c>
      <c r="C4" s="38">
        <v>1</v>
      </c>
      <c r="D4" s="39">
        <v>82.7</v>
      </c>
      <c r="E4" s="40">
        <f t="shared" si="0"/>
        <v>82.7</v>
      </c>
      <c r="F4" s="38"/>
      <c r="G4" s="39"/>
      <c r="H4" s="40"/>
      <c r="I4" s="38"/>
      <c r="J4" s="39"/>
      <c r="K4" s="40"/>
      <c r="L4" s="40"/>
      <c r="M4" s="40"/>
      <c r="N4" s="40"/>
      <c r="O4" s="41">
        <f t="shared" ref="O4:O27" si="1">+E4+H4+K4</f>
        <v>82.7</v>
      </c>
    </row>
    <row r="5" spans="1:15" ht="26.25" customHeight="1" x14ac:dyDescent="0.35">
      <c r="B5" s="37">
        <v>45090</v>
      </c>
      <c r="C5" s="38">
        <v>1</v>
      </c>
      <c r="D5" s="39">
        <v>82.7</v>
      </c>
      <c r="E5" s="40">
        <f t="shared" si="0"/>
        <v>82.7</v>
      </c>
      <c r="F5" s="38"/>
      <c r="G5" s="39"/>
      <c r="H5" s="40"/>
      <c r="I5" s="38"/>
      <c r="J5" s="39"/>
      <c r="K5" s="40"/>
      <c r="L5" s="40"/>
      <c r="M5" s="40"/>
      <c r="N5" s="40"/>
      <c r="O5" s="41">
        <f t="shared" si="1"/>
        <v>82.7</v>
      </c>
    </row>
    <row r="6" spans="1:15" ht="26.25" customHeight="1" x14ac:dyDescent="0.35">
      <c r="B6" s="37">
        <v>45091</v>
      </c>
      <c r="C6" s="38">
        <v>1</v>
      </c>
      <c r="D6" s="39">
        <v>82.7</v>
      </c>
      <c r="E6" s="40">
        <f t="shared" si="0"/>
        <v>82.7</v>
      </c>
      <c r="F6" s="38"/>
      <c r="G6" s="39"/>
      <c r="H6" s="40"/>
      <c r="I6" s="38"/>
      <c r="J6" s="39"/>
      <c r="K6" s="40"/>
      <c r="L6" s="40"/>
      <c r="M6" s="40"/>
      <c r="N6" s="40"/>
      <c r="O6" s="41">
        <f t="shared" ref="O6" si="2">+E6+H6+K6</f>
        <v>82.7</v>
      </c>
    </row>
    <row r="7" spans="1:15" ht="26.25" customHeight="1" x14ac:dyDescent="0.35">
      <c r="B7" s="37">
        <v>45092</v>
      </c>
      <c r="C7" s="38">
        <v>1</v>
      </c>
      <c r="D7" s="39">
        <v>82.7</v>
      </c>
      <c r="E7" s="40">
        <f t="shared" si="0"/>
        <v>82.7</v>
      </c>
      <c r="F7" s="43"/>
      <c r="G7" s="43"/>
      <c r="H7" s="40"/>
      <c r="I7" s="42"/>
      <c r="J7" s="43"/>
      <c r="K7" s="40"/>
      <c r="L7" s="40"/>
      <c r="M7" s="40"/>
      <c r="N7" s="40"/>
      <c r="O7" s="41">
        <f t="shared" si="1"/>
        <v>82.7</v>
      </c>
    </row>
    <row r="8" spans="1:15" ht="26.25" customHeight="1" x14ac:dyDescent="0.35">
      <c r="B8" s="37">
        <v>45093</v>
      </c>
      <c r="C8" s="38">
        <v>1</v>
      </c>
      <c r="D8" s="39">
        <v>82.7</v>
      </c>
      <c r="E8" s="40">
        <f t="shared" si="0"/>
        <v>82.7</v>
      </c>
      <c r="F8" s="43"/>
      <c r="G8" s="43"/>
      <c r="H8" s="40"/>
      <c r="I8" s="42"/>
      <c r="J8" s="43"/>
      <c r="K8" s="40"/>
      <c r="L8" s="40"/>
      <c r="M8" s="40"/>
      <c r="N8" s="40"/>
      <c r="O8" s="41">
        <f t="shared" si="1"/>
        <v>82.7</v>
      </c>
    </row>
    <row r="9" spans="1:15" ht="26.25" customHeight="1" x14ac:dyDescent="0.35">
      <c r="B9" s="37">
        <v>45096</v>
      </c>
      <c r="C9" s="38">
        <v>1</v>
      </c>
      <c r="D9" s="39">
        <v>82.7</v>
      </c>
      <c r="E9" s="40">
        <f t="shared" ref="E9" si="3">D9*C9</f>
        <v>82.7</v>
      </c>
      <c r="F9" s="43"/>
      <c r="G9" s="43"/>
      <c r="H9" s="40"/>
      <c r="I9" s="42"/>
      <c r="J9" s="43"/>
      <c r="K9" s="40"/>
      <c r="L9" s="40"/>
      <c r="M9" s="40"/>
      <c r="N9" s="40"/>
      <c r="O9" s="41">
        <f t="shared" si="1"/>
        <v>82.7</v>
      </c>
    </row>
    <row r="10" spans="1:15" ht="26.25" customHeight="1" x14ac:dyDescent="0.35">
      <c r="B10" s="37">
        <v>45097</v>
      </c>
      <c r="C10" s="38">
        <v>1</v>
      </c>
      <c r="D10" s="39">
        <v>82.7</v>
      </c>
      <c r="E10" s="40">
        <f t="shared" ref="E10" si="4">D10*C10</f>
        <v>82.7</v>
      </c>
      <c r="F10" s="43"/>
      <c r="G10" s="43"/>
      <c r="H10" s="40"/>
      <c r="I10" s="42"/>
      <c r="J10" s="43"/>
      <c r="K10" s="40"/>
      <c r="L10" s="40"/>
      <c r="M10" s="40"/>
      <c r="N10" s="40"/>
      <c r="O10" s="41">
        <f t="shared" si="1"/>
        <v>82.7</v>
      </c>
    </row>
    <row r="11" spans="1:15" ht="26.25" customHeight="1" x14ac:dyDescent="0.35">
      <c r="B11" s="37">
        <v>45098</v>
      </c>
      <c r="C11" s="38">
        <v>1</v>
      </c>
      <c r="D11" s="39">
        <v>82.7</v>
      </c>
      <c r="E11" s="40">
        <f t="shared" ref="E11" si="5">D11*C11</f>
        <v>82.7</v>
      </c>
      <c r="F11" s="43"/>
      <c r="G11" s="43"/>
      <c r="H11" s="40"/>
      <c r="I11" s="42"/>
      <c r="J11" s="43"/>
      <c r="K11" s="40"/>
      <c r="L11" s="40"/>
      <c r="M11" s="40"/>
      <c r="N11" s="40"/>
      <c r="O11" s="41">
        <f t="shared" si="1"/>
        <v>82.7</v>
      </c>
    </row>
    <row r="12" spans="1:15" ht="26.25" customHeight="1" x14ac:dyDescent="0.35">
      <c r="B12" s="37">
        <v>45099</v>
      </c>
      <c r="C12" s="38">
        <v>1</v>
      </c>
      <c r="D12" s="39">
        <v>82.7</v>
      </c>
      <c r="E12" s="40">
        <f t="shared" ref="E12" si="6">D12*C12</f>
        <v>82.7</v>
      </c>
      <c r="F12" s="43"/>
      <c r="G12" s="43"/>
      <c r="H12" s="40"/>
      <c r="I12" s="42"/>
      <c r="J12" s="43"/>
      <c r="K12" s="40"/>
      <c r="L12" s="40"/>
      <c r="M12" s="40"/>
      <c r="N12" s="40"/>
      <c r="O12" s="41">
        <f t="shared" si="1"/>
        <v>82.7</v>
      </c>
    </row>
    <row r="13" spans="1:15" ht="26.25" customHeight="1" x14ac:dyDescent="0.35">
      <c r="B13" s="37">
        <v>45100</v>
      </c>
      <c r="C13" s="38">
        <v>1</v>
      </c>
      <c r="D13" s="39">
        <v>82.7</v>
      </c>
      <c r="E13" s="40">
        <f t="shared" ref="E13" si="7">D13*C13</f>
        <v>82.7</v>
      </c>
      <c r="F13" s="43"/>
      <c r="G13" s="43"/>
      <c r="H13" s="40"/>
      <c r="I13" s="42"/>
      <c r="J13" s="43"/>
      <c r="K13" s="40"/>
      <c r="L13" s="40"/>
      <c r="M13" s="40"/>
      <c r="N13" s="40"/>
      <c r="O13" s="41">
        <f t="shared" si="1"/>
        <v>82.7</v>
      </c>
    </row>
    <row r="14" spans="1:15" ht="26.25" customHeight="1" x14ac:dyDescent="0.35">
      <c r="B14" s="37">
        <v>45103</v>
      </c>
      <c r="C14" s="38">
        <v>1</v>
      </c>
      <c r="D14" s="39">
        <v>82.7</v>
      </c>
      <c r="E14" s="40">
        <f t="shared" ref="E14" si="8">D14*C14</f>
        <v>82.7</v>
      </c>
      <c r="F14" s="43"/>
      <c r="G14" s="43"/>
      <c r="H14" s="40">
        <f t="shared" ref="H14:H27" si="9">+G14*F14</f>
        <v>0</v>
      </c>
      <c r="I14" s="42"/>
      <c r="J14" s="43"/>
      <c r="K14" s="40">
        <f t="shared" ref="K14:K27" si="10">+J14*I14</f>
        <v>0</v>
      </c>
      <c r="L14" s="40"/>
      <c r="M14" s="40"/>
      <c r="N14" s="40"/>
      <c r="O14" s="41">
        <f t="shared" si="1"/>
        <v>82.7</v>
      </c>
    </row>
    <row r="15" spans="1:15" ht="26.25" customHeight="1" x14ac:dyDescent="0.35">
      <c r="B15" s="37">
        <v>45104</v>
      </c>
      <c r="C15" s="38">
        <v>1</v>
      </c>
      <c r="D15" s="39">
        <v>82.7</v>
      </c>
      <c r="E15" s="40">
        <f t="shared" ref="E15" si="11">D15*C15</f>
        <v>82.7</v>
      </c>
      <c r="F15" s="43"/>
      <c r="G15" s="43"/>
      <c r="H15" s="40">
        <f t="shared" si="9"/>
        <v>0</v>
      </c>
      <c r="I15" s="42"/>
      <c r="J15" s="43"/>
      <c r="K15" s="40">
        <f t="shared" si="10"/>
        <v>0</v>
      </c>
      <c r="L15" s="40"/>
      <c r="M15" s="40"/>
      <c r="N15" s="40"/>
      <c r="O15" s="41">
        <f t="shared" si="1"/>
        <v>82.7</v>
      </c>
    </row>
    <row r="16" spans="1:15" ht="26.25" customHeight="1" x14ac:dyDescent="0.35">
      <c r="B16" s="37">
        <v>45105</v>
      </c>
      <c r="C16" s="38">
        <v>1</v>
      </c>
      <c r="D16" s="39">
        <v>82.7</v>
      </c>
      <c r="E16" s="40">
        <f t="shared" ref="E16" si="12">D16*C16</f>
        <v>82.7</v>
      </c>
      <c r="F16" s="43"/>
      <c r="G16" s="43"/>
      <c r="H16" s="40">
        <f t="shared" si="9"/>
        <v>0</v>
      </c>
      <c r="I16" s="42"/>
      <c r="J16" s="43"/>
      <c r="K16" s="40">
        <f t="shared" si="10"/>
        <v>0</v>
      </c>
      <c r="L16" s="40"/>
      <c r="M16" s="40"/>
      <c r="N16" s="40"/>
      <c r="O16" s="41">
        <f t="shared" si="1"/>
        <v>82.7</v>
      </c>
    </row>
    <row r="17" spans="2:15" ht="26.25" customHeight="1" x14ac:dyDescent="0.35">
      <c r="B17" s="37">
        <v>45106</v>
      </c>
      <c r="C17" s="38">
        <v>1</v>
      </c>
      <c r="D17" s="39">
        <v>82.7</v>
      </c>
      <c r="E17" s="40">
        <f t="shared" ref="E17" si="13">D17*C17</f>
        <v>82.7</v>
      </c>
      <c r="F17" s="43"/>
      <c r="G17" s="43"/>
      <c r="H17" s="40">
        <f t="shared" si="9"/>
        <v>0</v>
      </c>
      <c r="I17" s="42"/>
      <c r="J17" s="43"/>
      <c r="K17" s="40">
        <f t="shared" si="10"/>
        <v>0</v>
      </c>
      <c r="L17" s="40"/>
      <c r="M17" s="40"/>
      <c r="N17" s="40"/>
      <c r="O17" s="41">
        <f t="shared" si="1"/>
        <v>82.7</v>
      </c>
    </row>
    <row r="18" spans="2:15" ht="26.25" customHeight="1" x14ac:dyDescent="0.35">
      <c r="B18" s="37">
        <v>45107</v>
      </c>
      <c r="C18" s="38">
        <v>1</v>
      </c>
      <c r="D18" s="39">
        <v>82.7</v>
      </c>
      <c r="E18" s="40">
        <f t="shared" ref="E18" si="14">D18*C18</f>
        <v>82.7</v>
      </c>
      <c r="F18" s="43"/>
      <c r="G18" s="43"/>
      <c r="H18" s="40">
        <f t="shared" si="9"/>
        <v>0</v>
      </c>
      <c r="I18" s="42"/>
      <c r="J18" s="43"/>
      <c r="K18" s="40">
        <f t="shared" si="10"/>
        <v>0</v>
      </c>
      <c r="L18" s="40"/>
      <c r="M18" s="40"/>
      <c r="N18" s="40"/>
      <c r="O18" s="41">
        <f t="shared" si="1"/>
        <v>82.7</v>
      </c>
    </row>
    <row r="19" spans="2:15" ht="26.25" customHeight="1" x14ac:dyDescent="0.35">
      <c r="B19" s="37">
        <v>45110</v>
      </c>
      <c r="C19" s="38">
        <v>1</v>
      </c>
      <c r="D19" s="39">
        <v>82.7</v>
      </c>
      <c r="E19" s="40">
        <f t="shared" ref="E19" si="15">D19*C19</f>
        <v>82.7</v>
      </c>
      <c r="F19" s="43"/>
      <c r="G19" s="43"/>
      <c r="H19" s="40">
        <f t="shared" si="9"/>
        <v>0</v>
      </c>
      <c r="I19" s="42"/>
      <c r="J19" s="43"/>
      <c r="K19" s="40">
        <f t="shared" si="10"/>
        <v>0</v>
      </c>
      <c r="L19" s="40"/>
      <c r="M19" s="40"/>
      <c r="N19" s="40"/>
      <c r="O19" s="41">
        <f t="shared" si="1"/>
        <v>82.7</v>
      </c>
    </row>
    <row r="20" spans="2:15" ht="26.25" customHeight="1" x14ac:dyDescent="0.35">
      <c r="B20" s="37">
        <v>45111</v>
      </c>
      <c r="C20" s="38">
        <v>1</v>
      </c>
      <c r="D20" s="39">
        <v>82.7</v>
      </c>
      <c r="E20" s="40">
        <f t="shared" ref="E20" si="16">D20*C20</f>
        <v>82.7</v>
      </c>
      <c r="F20" s="43"/>
      <c r="G20" s="43"/>
      <c r="H20" s="40">
        <f t="shared" si="9"/>
        <v>0</v>
      </c>
      <c r="I20" s="42"/>
      <c r="J20" s="43"/>
      <c r="K20" s="40">
        <f t="shared" si="10"/>
        <v>0</v>
      </c>
      <c r="L20" s="40"/>
      <c r="M20" s="40"/>
      <c r="N20" s="40"/>
      <c r="O20" s="41">
        <f t="shared" si="1"/>
        <v>82.7</v>
      </c>
    </row>
    <row r="21" spans="2:15" ht="26.25" customHeight="1" x14ac:dyDescent="0.35">
      <c r="B21" s="37">
        <v>45112</v>
      </c>
      <c r="C21" s="38">
        <v>1</v>
      </c>
      <c r="D21" s="39">
        <v>82.7</v>
      </c>
      <c r="E21" s="40">
        <f t="shared" ref="E21" si="17">D21*C21</f>
        <v>82.7</v>
      </c>
      <c r="F21" s="43"/>
      <c r="G21" s="43"/>
      <c r="H21" s="40">
        <f t="shared" si="9"/>
        <v>0</v>
      </c>
      <c r="I21" s="42"/>
      <c r="J21" s="43"/>
      <c r="K21" s="40">
        <f t="shared" si="10"/>
        <v>0</v>
      </c>
      <c r="L21" s="40"/>
      <c r="M21" s="40"/>
      <c r="N21" s="40"/>
      <c r="O21" s="41">
        <f t="shared" si="1"/>
        <v>82.7</v>
      </c>
    </row>
    <row r="22" spans="2:15" ht="26.25" customHeight="1" x14ac:dyDescent="0.35">
      <c r="B22" s="37">
        <v>45113</v>
      </c>
      <c r="C22" s="38">
        <v>1</v>
      </c>
      <c r="D22" s="39">
        <v>82.7</v>
      </c>
      <c r="E22" s="40">
        <f t="shared" ref="E22" si="18">D22*C22</f>
        <v>82.7</v>
      </c>
      <c r="F22" s="43"/>
      <c r="G22" s="43"/>
      <c r="H22" s="40">
        <f t="shared" si="9"/>
        <v>0</v>
      </c>
      <c r="I22" s="42"/>
      <c r="J22" s="43"/>
      <c r="K22" s="40">
        <f t="shared" si="10"/>
        <v>0</v>
      </c>
      <c r="L22" s="40"/>
      <c r="M22" s="40"/>
      <c r="N22" s="40"/>
      <c r="O22" s="41">
        <f t="shared" si="1"/>
        <v>82.7</v>
      </c>
    </row>
    <row r="23" spans="2:15" ht="26.25" customHeight="1" x14ac:dyDescent="0.35">
      <c r="B23" s="37">
        <v>45114</v>
      </c>
      <c r="C23" s="38">
        <v>1</v>
      </c>
      <c r="D23" s="39">
        <v>82.7</v>
      </c>
      <c r="E23" s="40">
        <f t="shared" ref="E23" si="19">D23*C23</f>
        <v>82.7</v>
      </c>
      <c r="F23" s="43"/>
      <c r="G23" s="43"/>
      <c r="H23" s="40">
        <f t="shared" si="9"/>
        <v>0</v>
      </c>
      <c r="I23" s="42"/>
      <c r="J23" s="43"/>
      <c r="K23" s="40">
        <f t="shared" si="10"/>
        <v>0</v>
      </c>
      <c r="L23" s="40"/>
      <c r="M23" s="40"/>
      <c r="N23" s="40"/>
      <c r="O23" s="41">
        <f t="shared" si="1"/>
        <v>82.7</v>
      </c>
    </row>
    <row r="24" spans="2:15" ht="26.25" customHeight="1" x14ac:dyDescent="0.35">
      <c r="B24" s="37">
        <v>45117</v>
      </c>
      <c r="C24" s="38">
        <v>1</v>
      </c>
      <c r="D24" s="39">
        <v>82.7</v>
      </c>
      <c r="E24" s="40">
        <f t="shared" ref="E24" si="20">D24*C24</f>
        <v>82.7</v>
      </c>
      <c r="F24" s="43"/>
      <c r="G24" s="43"/>
      <c r="H24" s="40">
        <f t="shared" si="9"/>
        <v>0</v>
      </c>
      <c r="I24" s="42"/>
      <c r="J24" s="43"/>
      <c r="K24" s="40">
        <f t="shared" si="10"/>
        <v>0</v>
      </c>
      <c r="L24" s="42"/>
      <c r="M24" s="43"/>
      <c r="N24" s="40"/>
      <c r="O24" s="41">
        <f t="shared" si="1"/>
        <v>82.7</v>
      </c>
    </row>
    <row r="25" spans="2:15" ht="26.25" customHeight="1" x14ac:dyDescent="0.35">
      <c r="B25" s="37">
        <v>45118</v>
      </c>
      <c r="C25" s="38">
        <v>1</v>
      </c>
      <c r="D25" s="39">
        <v>82.7</v>
      </c>
      <c r="E25" s="40">
        <f t="shared" ref="E25" si="21">D25*C25</f>
        <v>82.7</v>
      </c>
      <c r="F25" s="43"/>
      <c r="G25" s="43"/>
      <c r="H25" s="40">
        <f t="shared" si="9"/>
        <v>0</v>
      </c>
      <c r="I25" s="42"/>
      <c r="J25" s="43"/>
      <c r="K25" s="40">
        <f t="shared" si="10"/>
        <v>0</v>
      </c>
      <c r="L25" s="42"/>
      <c r="M25" s="43"/>
      <c r="N25" s="40"/>
      <c r="O25" s="41">
        <f t="shared" si="1"/>
        <v>82.7</v>
      </c>
    </row>
    <row r="26" spans="2:15" ht="26.25" customHeight="1" x14ac:dyDescent="0.35">
      <c r="B26" s="37">
        <v>45119</v>
      </c>
      <c r="C26" s="38">
        <v>1</v>
      </c>
      <c r="D26" s="39">
        <v>82.7</v>
      </c>
      <c r="E26" s="40">
        <f t="shared" ref="E26" si="22">D26*C26</f>
        <v>82.7</v>
      </c>
      <c r="F26" s="43"/>
      <c r="G26" s="43"/>
      <c r="H26" s="40">
        <f t="shared" si="9"/>
        <v>0</v>
      </c>
      <c r="I26" s="42"/>
      <c r="J26" s="43"/>
      <c r="K26" s="40">
        <f t="shared" si="10"/>
        <v>0</v>
      </c>
      <c r="L26" s="42"/>
      <c r="M26" s="43"/>
      <c r="N26" s="40"/>
      <c r="O26" s="41">
        <f t="shared" si="1"/>
        <v>82.7</v>
      </c>
    </row>
    <row r="27" spans="2:15" ht="26.25" customHeight="1" x14ac:dyDescent="0.35">
      <c r="B27" s="37">
        <v>45120</v>
      </c>
      <c r="C27" s="38">
        <v>1</v>
      </c>
      <c r="D27" s="39">
        <v>82.7</v>
      </c>
      <c r="E27" s="40">
        <f t="shared" ref="E27" si="23">D27*C27</f>
        <v>82.7</v>
      </c>
      <c r="F27" s="43"/>
      <c r="G27" s="43"/>
      <c r="H27" s="40">
        <f t="shared" si="9"/>
        <v>0</v>
      </c>
      <c r="I27" s="42"/>
      <c r="J27" s="43"/>
      <c r="K27" s="40">
        <f t="shared" si="10"/>
        <v>0</v>
      </c>
      <c r="L27" s="42"/>
      <c r="M27" s="43"/>
      <c r="N27" s="40"/>
      <c r="O27" s="41">
        <f t="shared" si="1"/>
        <v>82.7</v>
      </c>
    </row>
    <row r="28" spans="2:15" ht="26.25" customHeight="1" x14ac:dyDescent="0.35">
      <c r="B28" s="37">
        <v>45121</v>
      </c>
      <c r="C28" s="38">
        <v>1</v>
      </c>
      <c r="D28" s="39">
        <v>82.7</v>
      </c>
      <c r="E28" s="40">
        <f t="shared" ref="E28" si="24">D28*C28</f>
        <v>82.7</v>
      </c>
      <c r="F28" s="43"/>
      <c r="G28" s="43"/>
      <c r="H28" s="40">
        <f t="shared" ref="H28" si="25">+G28*F28</f>
        <v>0</v>
      </c>
      <c r="I28" s="42"/>
      <c r="J28" s="43"/>
      <c r="K28" s="40">
        <f t="shared" ref="K28" si="26">+J28*I28</f>
        <v>0</v>
      </c>
      <c r="L28" s="42"/>
      <c r="M28" s="43"/>
      <c r="N28" s="40"/>
      <c r="O28" s="41">
        <f t="shared" ref="O28" si="27">+E28+H28+K28</f>
        <v>82.7</v>
      </c>
    </row>
    <row r="29" spans="2:15" ht="26.25" customHeight="1" x14ac:dyDescent="0.35">
      <c r="B29" s="37">
        <v>45124</v>
      </c>
      <c r="C29" s="38">
        <v>1</v>
      </c>
      <c r="D29" s="39">
        <v>82.7</v>
      </c>
      <c r="E29" s="40">
        <f t="shared" ref="E29" si="28">D29*C29</f>
        <v>82.7</v>
      </c>
      <c r="F29" s="43"/>
      <c r="G29" s="43"/>
      <c r="H29" s="40">
        <f t="shared" ref="H29" si="29">+G29*F29</f>
        <v>0</v>
      </c>
      <c r="I29" s="42"/>
      <c r="J29" s="43"/>
      <c r="K29" s="40">
        <f t="shared" ref="K29" si="30">+J29*I29</f>
        <v>0</v>
      </c>
      <c r="L29" s="42"/>
      <c r="M29" s="43"/>
      <c r="N29" s="40"/>
      <c r="O29" s="41">
        <f t="shared" ref="O29" si="31">+E29+H29+K29</f>
        <v>82.7</v>
      </c>
    </row>
    <row r="30" spans="2:15" ht="26.25" customHeight="1" x14ac:dyDescent="0.35">
      <c r="B30" s="37">
        <v>45125</v>
      </c>
      <c r="C30" s="38">
        <v>1</v>
      </c>
      <c r="D30" s="39">
        <v>82.7</v>
      </c>
      <c r="E30" s="40">
        <f t="shared" ref="E30" si="32">D30*C30</f>
        <v>82.7</v>
      </c>
      <c r="F30" s="43"/>
      <c r="G30" s="43"/>
      <c r="H30" s="40">
        <f t="shared" ref="H30" si="33">+G30*F30</f>
        <v>0</v>
      </c>
      <c r="I30" s="42"/>
      <c r="J30" s="43"/>
      <c r="K30" s="40">
        <f t="shared" ref="K30" si="34">+J30*I30</f>
        <v>0</v>
      </c>
      <c r="L30" s="42"/>
      <c r="M30" s="43"/>
      <c r="N30" s="40"/>
      <c r="O30" s="41">
        <f t="shared" ref="O30" si="35">+E30+H30+K30</f>
        <v>82.7</v>
      </c>
    </row>
    <row r="31" spans="2:15" ht="26.25" customHeight="1" x14ac:dyDescent="0.35">
      <c r="B31" s="37">
        <v>45126</v>
      </c>
      <c r="C31" s="38">
        <v>1</v>
      </c>
      <c r="D31" s="39">
        <v>82.7</v>
      </c>
      <c r="E31" s="40">
        <f t="shared" ref="E31" si="36">D31*C31</f>
        <v>82.7</v>
      </c>
      <c r="F31" s="43"/>
      <c r="G31" s="43"/>
      <c r="H31" s="40">
        <f t="shared" ref="H31" si="37">+G31*F31</f>
        <v>0</v>
      </c>
      <c r="I31" s="42"/>
      <c r="J31" s="43"/>
      <c r="K31" s="40">
        <f t="shared" ref="K31" si="38">+J31*I31</f>
        <v>0</v>
      </c>
      <c r="L31" s="42"/>
      <c r="M31" s="43"/>
      <c r="N31" s="40"/>
      <c r="O31" s="41">
        <f t="shared" ref="O31" si="39">+E31+H31+K31</f>
        <v>82.7</v>
      </c>
    </row>
    <row r="32" spans="2:15" ht="26.25" customHeight="1" x14ac:dyDescent="0.35">
      <c r="B32" s="37">
        <v>45127</v>
      </c>
      <c r="C32" s="38">
        <v>1</v>
      </c>
      <c r="D32" s="39">
        <v>82.7</v>
      </c>
      <c r="E32" s="40">
        <f t="shared" ref="E32" si="40">D32*C32</f>
        <v>82.7</v>
      </c>
      <c r="F32" s="43"/>
      <c r="G32" s="43"/>
      <c r="H32" s="40">
        <f t="shared" ref="H32" si="41">+G32*F32</f>
        <v>0</v>
      </c>
      <c r="I32" s="42"/>
      <c r="J32" s="43"/>
      <c r="K32" s="40">
        <f t="shared" ref="K32" si="42">+J32*I32</f>
        <v>0</v>
      </c>
      <c r="L32" s="42"/>
      <c r="M32" s="43"/>
      <c r="N32" s="40"/>
      <c r="O32" s="41">
        <f t="shared" ref="O32" si="43">+E32+H32+K32</f>
        <v>82.7</v>
      </c>
    </row>
    <row r="33" spans="2:15" ht="26.25" customHeight="1" x14ac:dyDescent="0.35">
      <c r="B33" s="37">
        <v>45128</v>
      </c>
      <c r="C33" s="38">
        <v>1</v>
      </c>
      <c r="D33" s="39">
        <v>82.7</v>
      </c>
      <c r="E33" s="40">
        <f t="shared" ref="E33" si="44">D33*C33</f>
        <v>82.7</v>
      </c>
      <c r="F33" s="43"/>
      <c r="G33" s="43"/>
      <c r="H33" s="40">
        <f t="shared" ref="H33" si="45">+G33*F33</f>
        <v>0</v>
      </c>
      <c r="I33" s="42"/>
      <c r="J33" s="43"/>
      <c r="K33" s="40">
        <f t="shared" ref="K33" si="46">+J33*I33</f>
        <v>0</v>
      </c>
      <c r="L33" s="42"/>
      <c r="M33" s="43"/>
      <c r="N33" s="40"/>
      <c r="O33" s="41">
        <f t="shared" ref="O33" si="47">+E33+H33+K33</f>
        <v>82.7</v>
      </c>
    </row>
    <row r="34" spans="2:15" ht="26.25" customHeight="1" x14ac:dyDescent="0.35">
      <c r="B34" s="37">
        <v>45131</v>
      </c>
      <c r="C34" s="38">
        <v>1</v>
      </c>
      <c r="D34" s="39">
        <v>82.7</v>
      </c>
      <c r="E34" s="40">
        <f t="shared" ref="E34" si="48">D34*C34</f>
        <v>82.7</v>
      </c>
      <c r="F34" s="43"/>
      <c r="G34" s="43"/>
      <c r="H34" s="40">
        <f t="shared" ref="H34" si="49">+G34*F34</f>
        <v>0</v>
      </c>
      <c r="I34" s="42"/>
      <c r="J34" s="43"/>
      <c r="K34" s="40">
        <f t="shared" ref="K34" si="50">+J34*I34</f>
        <v>0</v>
      </c>
      <c r="L34" s="42"/>
      <c r="M34" s="43"/>
      <c r="N34" s="40"/>
      <c r="O34" s="41">
        <f t="shared" ref="O34" si="51">+E34+H34+K34</f>
        <v>82.7</v>
      </c>
    </row>
    <row r="35" spans="2:15" ht="26.25" customHeight="1" x14ac:dyDescent="0.35">
      <c r="B35" s="37">
        <v>45132</v>
      </c>
      <c r="C35" s="38">
        <v>1</v>
      </c>
      <c r="D35" s="39">
        <v>82.7</v>
      </c>
      <c r="E35" s="40">
        <f t="shared" ref="E35" si="52">D35*C35</f>
        <v>82.7</v>
      </c>
      <c r="F35" s="43"/>
      <c r="G35" s="43"/>
      <c r="H35" s="40">
        <f t="shared" ref="H35" si="53">+G35*F35</f>
        <v>0</v>
      </c>
      <c r="I35" s="42"/>
      <c r="J35" s="43"/>
      <c r="K35" s="40">
        <f t="shared" ref="K35" si="54">+J35*I35</f>
        <v>0</v>
      </c>
      <c r="L35" s="42"/>
      <c r="M35" s="43"/>
      <c r="N35" s="40"/>
      <c r="O35" s="41">
        <f t="shared" ref="O35" si="55">+E35+H35+K35</f>
        <v>82.7</v>
      </c>
    </row>
    <row r="36" spans="2:15" ht="26.25" customHeight="1" x14ac:dyDescent="0.35">
      <c r="B36" s="37">
        <v>45133</v>
      </c>
      <c r="C36" s="38">
        <v>1</v>
      </c>
      <c r="D36" s="39">
        <v>82.7</v>
      </c>
      <c r="E36" s="40">
        <f t="shared" ref="E36" si="56">D36*C36</f>
        <v>82.7</v>
      </c>
      <c r="F36" s="43"/>
      <c r="G36" s="43"/>
      <c r="H36" s="40">
        <f t="shared" ref="H36" si="57">+G36*F36</f>
        <v>0</v>
      </c>
      <c r="I36" s="42"/>
      <c r="J36" s="43"/>
      <c r="K36" s="40">
        <f t="shared" ref="K36" si="58">+J36*I36</f>
        <v>0</v>
      </c>
      <c r="L36" s="42"/>
      <c r="M36" s="43"/>
      <c r="N36" s="40"/>
      <c r="O36" s="41">
        <f t="shared" ref="O36" si="59">+E36+H36+K36</f>
        <v>82.7</v>
      </c>
    </row>
    <row r="37" spans="2:15" ht="26.25" customHeight="1" x14ac:dyDescent="0.35">
      <c r="B37" s="37">
        <v>45134</v>
      </c>
      <c r="C37" s="38">
        <v>1</v>
      </c>
      <c r="D37" s="39">
        <v>82.7</v>
      </c>
      <c r="E37" s="40">
        <f t="shared" ref="E37" si="60">D37*C37</f>
        <v>82.7</v>
      </c>
      <c r="F37" s="43"/>
      <c r="G37" s="43"/>
      <c r="H37" s="40">
        <f t="shared" ref="H37" si="61">+G37*F37</f>
        <v>0</v>
      </c>
      <c r="I37" s="42"/>
      <c r="J37" s="43"/>
      <c r="K37" s="40">
        <f t="shared" ref="K37" si="62">+J37*I37</f>
        <v>0</v>
      </c>
      <c r="L37" s="42"/>
      <c r="M37" s="43"/>
      <c r="N37" s="40"/>
      <c r="O37" s="41">
        <f t="shared" ref="O37" si="63">+E37+H37+K37</f>
        <v>82.7</v>
      </c>
    </row>
    <row r="38" spans="2:15" ht="26.25" customHeight="1" x14ac:dyDescent="0.35">
      <c r="B38" s="37">
        <v>45135</v>
      </c>
      <c r="C38" s="38">
        <v>1</v>
      </c>
      <c r="D38" s="39">
        <v>82.7</v>
      </c>
      <c r="E38" s="40">
        <f t="shared" ref="E38" si="64">D38*C38</f>
        <v>82.7</v>
      </c>
      <c r="F38" s="43"/>
      <c r="G38" s="43"/>
      <c r="H38" s="40">
        <f t="shared" ref="H38" si="65">+G38*F38</f>
        <v>0</v>
      </c>
      <c r="I38" s="42"/>
      <c r="J38" s="43"/>
      <c r="K38" s="40">
        <f t="shared" ref="K38" si="66">+J38*I38</f>
        <v>0</v>
      </c>
      <c r="L38" s="42"/>
      <c r="M38" s="43"/>
      <c r="N38" s="40"/>
      <c r="O38" s="41">
        <f t="shared" ref="O38" si="67">+E38+H38+K38</f>
        <v>82.7</v>
      </c>
    </row>
    <row r="39" spans="2:15" ht="26.25" customHeight="1" x14ac:dyDescent="0.35">
      <c r="B39" s="37">
        <v>45138</v>
      </c>
      <c r="C39" s="38">
        <v>1</v>
      </c>
      <c r="D39" s="39">
        <v>82.7</v>
      </c>
      <c r="E39" s="40">
        <f t="shared" ref="E39" si="68">D39*C39</f>
        <v>82.7</v>
      </c>
      <c r="F39" s="43"/>
      <c r="G39" s="43"/>
      <c r="H39" s="40">
        <f t="shared" ref="H39" si="69">+G39*F39</f>
        <v>0</v>
      </c>
      <c r="I39" s="42"/>
      <c r="J39" s="43"/>
      <c r="K39" s="40">
        <f t="shared" ref="K39" si="70">+J39*I39</f>
        <v>0</v>
      </c>
      <c r="L39" s="42"/>
      <c r="M39" s="43"/>
      <c r="N39" s="40"/>
      <c r="O39" s="41">
        <f t="shared" ref="O39" si="71">+E39+H39+K39</f>
        <v>82.7</v>
      </c>
    </row>
    <row r="40" spans="2:15" ht="26.25" customHeight="1" x14ac:dyDescent="0.35">
      <c r="B40" s="37">
        <v>45139</v>
      </c>
      <c r="C40" s="38">
        <v>1</v>
      </c>
      <c r="D40" s="39">
        <v>82.7</v>
      </c>
      <c r="E40" s="40">
        <f t="shared" ref="E40" si="72">D40*C40</f>
        <v>82.7</v>
      </c>
      <c r="F40" s="43"/>
      <c r="G40" s="43"/>
      <c r="H40" s="40">
        <f t="shared" ref="H40" si="73">+G40*F40</f>
        <v>0</v>
      </c>
      <c r="I40" s="42"/>
      <c r="J40" s="43"/>
      <c r="K40" s="40">
        <f t="shared" ref="K40" si="74">+J40*I40</f>
        <v>0</v>
      </c>
      <c r="L40" s="42"/>
      <c r="M40" s="43"/>
      <c r="N40" s="40"/>
      <c r="O40" s="41">
        <f t="shared" ref="O40" si="75">+E40+H40+K40</f>
        <v>82.7</v>
      </c>
    </row>
    <row r="41" spans="2:15" ht="26.25" customHeight="1" x14ac:dyDescent="0.35">
      <c r="B41" s="37">
        <v>45140</v>
      </c>
      <c r="C41" s="38">
        <v>1</v>
      </c>
      <c r="D41" s="39">
        <v>82.7</v>
      </c>
      <c r="E41" s="40">
        <f t="shared" ref="E41" si="76">D41*C41</f>
        <v>82.7</v>
      </c>
      <c r="F41" s="43"/>
      <c r="G41" s="43"/>
      <c r="H41" s="40">
        <f t="shared" ref="H41" si="77">+G41*F41</f>
        <v>0</v>
      </c>
      <c r="I41" s="42"/>
      <c r="J41" s="43"/>
      <c r="K41" s="40">
        <f t="shared" ref="K41" si="78">+J41*I41</f>
        <v>0</v>
      </c>
      <c r="L41" s="42"/>
      <c r="M41" s="43"/>
      <c r="N41" s="40"/>
      <c r="O41" s="41">
        <f t="shared" ref="O41" si="79">+E41+H41+K41</f>
        <v>82.7</v>
      </c>
    </row>
    <row r="42" spans="2:15" ht="26.25" customHeight="1" x14ac:dyDescent="0.35">
      <c r="B42" s="37">
        <v>45141</v>
      </c>
      <c r="C42" s="38">
        <v>1</v>
      </c>
      <c r="D42" s="39">
        <v>82.7</v>
      </c>
      <c r="E42" s="40">
        <f t="shared" ref="E42" si="80">D42*C42</f>
        <v>82.7</v>
      </c>
      <c r="F42" s="43"/>
      <c r="G42" s="43"/>
      <c r="H42" s="40">
        <f t="shared" ref="H42" si="81">+G42*F42</f>
        <v>0</v>
      </c>
      <c r="I42" s="42"/>
      <c r="J42" s="43"/>
      <c r="K42" s="40">
        <f t="shared" ref="K42" si="82">+J42*I42</f>
        <v>0</v>
      </c>
      <c r="L42" s="42"/>
      <c r="M42" s="43"/>
      <c r="N42" s="40"/>
      <c r="O42" s="41">
        <f t="shared" ref="O42" si="83">+E42+H42+K42</f>
        <v>82.7</v>
      </c>
    </row>
    <row r="43" spans="2:15" ht="26.25" customHeight="1" x14ac:dyDescent="0.35">
      <c r="B43" s="37">
        <v>45142</v>
      </c>
      <c r="C43" s="38">
        <v>1</v>
      </c>
      <c r="D43" s="39">
        <v>82.7</v>
      </c>
      <c r="E43" s="40">
        <f t="shared" ref="E43" si="84">D43*C43</f>
        <v>82.7</v>
      </c>
      <c r="F43" s="43"/>
      <c r="G43" s="43"/>
      <c r="H43" s="40">
        <f t="shared" ref="H43" si="85">+G43*F43</f>
        <v>0</v>
      </c>
      <c r="I43" s="42"/>
      <c r="J43" s="43"/>
      <c r="K43" s="40">
        <f t="shared" ref="K43" si="86">+J43*I43</f>
        <v>0</v>
      </c>
      <c r="L43" s="42"/>
      <c r="M43" s="43"/>
      <c r="N43" s="40"/>
      <c r="O43" s="41">
        <f t="shared" ref="O43" si="87">+E43+H43+K43</f>
        <v>82.7</v>
      </c>
    </row>
    <row r="44" spans="2:15" ht="26.25" customHeight="1" x14ac:dyDescent="0.35">
      <c r="B44" s="37">
        <v>45145</v>
      </c>
      <c r="C44" s="38">
        <v>1</v>
      </c>
      <c r="D44" s="39">
        <v>82.7</v>
      </c>
      <c r="E44" s="40">
        <f t="shared" ref="E44" si="88">D44*C44</f>
        <v>82.7</v>
      </c>
      <c r="F44" s="43"/>
      <c r="G44" s="43"/>
      <c r="H44" s="40">
        <f t="shared" ref="H44" si="89">+G44*F44</f>
        <v>0</v>
      </c>
      <c r="I44" s="42"/>
      <c r="J44" s="43"/>
      <c r="K44" s="40">
        <f t="shared" ref="K44" si="90">+J44*I44</f>
        <v>0</v>
      </c>
      <c r="L44" s="42"/>
      <c r="M44" s="43"/>
      <c r="N44" s="40"/>
      <c r="O44" s="41">
        <f t="shared" ref="O44" si="91">+E44+H44+K44</f>
        <v>82.7</v>
      </c>
    </row>
    <row r="45" spans="2:15" ht="26.25" customHeight="1" x14ac:dyDescent="0.35">
      <c r="B45" s="37">
        <v>45146</v>
      </c>
      <c r="C45" s="38">
        <v>1</v>
      </c>
      <c r="D45" s="39">
        <v>82.7</v>
      </c>
      <c r="E45" s="40">
        <f t="shared" ref="E45" si="92">D45*C45</f>
        <v>82.7</v>
      </c>
      <c r="F45" s="43"/>
      <c r="G45" s="43"/>
      <c r="H45" s="40">
        <f t="shared" ref="H45" si="93">+G45*F45</f>
        <v>0</v>
      </c>
      <c r="I45" s="42"/>
      <c r="J45" s="43"/>
      <c r="K45" s="40">
        <f t="shared" ref="K45" si="94">+J45*I45</f>
        <v>0</v>
      </c>
      <c r="L45" s="42"/>
      <c r="M45" s="43"/>
      <c r="N45" s="40"/>
      <c r="O45" s="41">
        <f t="shared" ref="O45" si="95">+E45+H45+K45</f>
        <v>82.7</v>
      </c>
    </row>
    <row r="46" spans="2:15" ht="26.25" customHeight="1" x14ac:dyDescent="0.35">
      <c r="B46" s="37">
        <v>45147</v>
      </c>
      <c r="C46" s="38">
        <v>1</v>
      </c>
      <c r="D46" s="39">
        <v>82.7</v>
      </c>
      <c r="E46" s="40">
        <f t="shared" ref="E46" si="96">D46*C46</f>
        <v>82.7</v>
      </c>
      <c r="F46" s="43"/>
      <c r="G46" s="43"/>
      <c r="H46" s="40">
        <f t="shared" ref="H46" si="97">+G46*F46</f>
        <v>0</v>
      </c>
      <c r="I46" s="42"/>
      <c r="J46" s="43"/>
      <c r="K46" s="40">
        <f t="shared" ref="K46" si="98">+J46*I46</f>
        <v>0</v>
      </c>
      <c r="L46" s="42"/>
      <c r="M46" s="43"/>
      <c r="N46" s="40"/>
      <c r="O46" s="41">
        <f t="shared" ref="O46" si="99">+E46+H46+K46</f>
        <v>82.7</v>
      </c>
    </row>
    <row r="47" spans="2:15" ht="26.25" customHeight="1" x14ac:dyDescent="0.35">
      <c r="B47" s="37">
        <v>45148</v>
      </c>
      <c r="C47" s="38">
        <v>1</v>
      </c>
      <c r="D47" s="39">
        <v>82.7</v>
      </c>
      <c r="E47" s="40">
        <f t="shared" ref="E47" si="100">D47*C47</f>
        <v>82.7</v>
      </c>
      <c r="F47" s="43"/>
      <c r="G47" s="43"/>
      <c r="H47" s="40">
        <f t="shared" ref="H47" si="101">+G47*F47</f>
        <v>0</v>
      </c>
      <c r="I47" s="42"/>
      <c r="J47" s="43"/>
      <c r="K47" s="40">
        <f t="shared" ref="K47" si="102">+J47*I47</f>
        <v>0</v>
      </c>
      <c r="L47" s="42"/>
      <c r="M47" s="43"/>
      <c r="N47" s="40"/>
      <c r="O47" s="41">
        <f t="shared" ref="O47" si="103">+E47+H47+K47</f>
        <v>82.7</v>
      </c>
    </row>
    <row r="48" spans="2:15" ht="26.25" customHeight="1" x14ac:dyDescent="0.35">
      <c r="B48" s="37">
        <v>45149</v>
      </c>
      <c r="C48" s="38">
        <v>1</v>
      </c>
      <c r="D48" s="39">
        <v>82.7</v>
      </c>
      <c r="E48" s="40">
        <f t="shared" ref="E48" si="104">D48*C48</f>
        <v>82.7</v>
      </c>
      <c r="F48" s="43"/>
      <c r="G48" s="43"/>
      <c r="H48" s="40">
        <f t="shared" ref="H48" si="105">+G48*F48</f>
        <v>0</v>
      </c>
      <c r="I48" s="42"/>
      <c r="J48" s="43"/>
      <c r="K48" s="40">
        <f t="shared" ref="K48" si="106">+J48*I48</f>
        <v>0</v>
      </c>
      <c r="L48" s="42"/>
      <c r="M48" s="43"/>
      <c r="N48" s="40"/>
      <c r="O48" s="41">
        <f t="shared" ref="O48" si="107">+E48+H48+K48</f>
        <v>82.7</v>
      </c>
    </row>
    <row r="49" spans="2:15" ht="26.25" customHeight="1" x14ac:dyDescent="0.35">
      <c r="B49" s="37">
        <v>45152</v>
      </c>
      <c r="C49" s="38">
        <v>1</v>
      </c>
      <c r="D49" s="39">
        <v>82.7</v>
      </c>
      <c r="E49" s="40">
        <f t="shared" ref="E49" si="108">D49*C49</f>
        <v>82.7</v>
      </c>
      <c r="F49" s="43"/>
      <c r="G49" s="43"/>
      <c r="H49" s="40">
        <f t="shared" ref="H49" si="109">+G49*F49</f>
        <v>0</v>
      </c>
      <c r="I49" s="42"/>
      <c r="J49" s="43"/>
      <c r="K49" s="40">
        <f t="shared" ref="K49" si="110">+J49*I49</f>
        <v>0</v>
      </c>
      <c r="L49" s="42"/>
      <c r="M49" s="43"/>
      <c r="N49" s="40"/>
      <c r="O49" s="41">
        <f t="shared" ref="O49" si="111">+E49+H49+K49</f>
        <v>82.7</v>
      </c>
    </row>
    <row r="50" spans="2:15" ht="26.25" customHeight="1" x14ac:dyDescent="0.35">
      <c r="B50" s="37">
        <v>45153</v>
      </c>
      <c r="C50" s="38">
        <v>1</v>
      </c>
      <c r="D50" s="39">
        <v>82.7</v>
      </c>
      <c r="E50" s="40">
        <f t="shared" ref="E50" si="112">D50*C50</f>
        <v>82.7</v>
      </c>
      <c r="F50" s="43"/>
      <c r="G50" s="43"/>
      <c r="H50" s="40">
        <f t="shared" ref="H50" si="113">+G50*F50</f>
        <v>0</v>
      </c>
      <c r="I50" s="42"/>
      <c r="J50" s="43"/>
      <c r="K50" s="40">
        <f t="shared" ref="K50" si="114">+J50*I50</f>
        <v>0</v>
      </c>
      <c r="L50" s="42"/>
      <c r="M50" s="43"/>
      <c r="N50" s="40"/>
      <c r="O50" s="41">
        <f t="shared" ref="O50" si="115">+E50+H50+K50</f>
        <v>82.7</v>
      </c>
    </row>
    <row r="51" spans="2:15" ht="26.25" customHeight="1" x14ac:dyDescent="0.35">
      <c r="B51" s="37">
        <v>45154</v>
      </c>
      <c r="C51" s="38">
        <v>1</v>
      </c>
      <c r="D51" s="39">
        <v>82.7</v>
      </c>
      <c r="E51" s="40">
        <f t="shared" ref="E51" si="116">D51*C51</f>
        <v>82.7</v>
      </c>
      <c r="F51" s="43"/>
      <c r="G51" s="43"/>
      <c r="H51" s="40">
        <f t="shared" ref="H51" si="117">+G51*F51</f>
        <v>0</v>
      </c>
      <c r="I51" s="42"/>
      <c r="J51" s="43"/>
      <c r="K51" s="40">
        <f t="shared" ref="K51" si="118">+J51*I51</f>
        <v>0</v>
      </c>
      <c r="L51" s="42"/>
      <c r="M51" s="43"/>
      <c r="N51" s="40"/>
      <c r="O51" s="41">
        <f t="shared" ref="O51" si="119">+E51+H51+K51</f>
        <v>82.7</v>
      </c>
    </row>
    <row r="52" spans="2:15" ht="26.25" customHeight="1" x14ac:dyDescent="0.35">
      <c r="B52" s="37">
        <v>45155</v>
      </c>
      <c r="C52" s="38">
        <v>1</v>
      </c>
      <c r="D52" s="39">
        <v>82.7</v>
      </c>
      <c r="E52" s="40">
        <f t="shared" ref="E52" si="120">D52*C52</f>
        <v>82.7</v>
      </c>
      <c r="F52" s="43"/>
      <c r="G52" s="43"/>
      <c r="H52" s="40">
        <f t="shared" ref="H52" si="121">+G52*F52</f>
        <v>0</v>
      </c>
      <c r="I52" s="42"/>
      <c r="J52" s="43"/>
      <c r="K52" s="40">
        <f t="shared" ref="K52" si="122">+J52*I52</f>
        <v>0</v>
      </c>
      <c r="L52" s="42"/>
      <c r="M52" s="43"/>
      <c r="N52" s="40"/>
      <c r="O52" s="41">
        <f t="shared" ref="O52" si="123">+E52+H52+K52</f>
        <v>82.7</v>
      </c>
    </row>
    <row r="53" spans="2:15" ht="26.25" customHeight="1" x14ac:dyDescent="0.35">
      <c r="B53" s="37">
        <v>45156</v>
      </c>
      <c r="C53" s="38">
        <v>1</v>
      </c>
      <c r="D53" s="39">
        <v>82.7</v>
      </c>
      <c r="E53" s="40">
        <f t="shared" ref="E53" si="124">D53*C53</f>
        <v>82.7</v>
      </c>
      <c r="F53" s="43"/>
      <c r="G53" s="43"/>
      <c r="H53" s="40">
        <f t="shared" ref="H53" si="125">+G53*F53</f>
        <v>0</v>
      </c>
      <c r="I53" s="42"/>
      <c r="J53" s="43"/>
      <c r="K53" s="40">
        <f t="shared" ref="K53" si="126">+J53*I53</f>
        <v>0</v>
      </c>
      <c r="L53" s="42"/>
      <c r="M53" s="43"/>
      <c r="N53" s="40"/>
      <c r="O53" s="41">
        <f t="shared" ref="O53" si="127">+E53+H53+K53</f>
        <v>82.7</v>
      </c>
    </row>
    <row r="54" spans="2:15" ht="26.25" customHeight="1" x14ac:dyDescent="0.35">
      <c r="B54" s="37">
        <v>45159</v>
      </c>
      <c r="C54" s="38">
        <v>1</v>
      </c>
      <c r="D54" s="39">
        <v>82.7</v>
      </c>
      <c r="E54" s="40">
        <f t="shared" ref="E54" si="128">D54*C54</f>
        <v>82.7</v>
      </c>
      <c r="F54" s="43"/>
      <c r="G54" s="43"/>
      <c r="H54" s="40">
        <f t="shared" ref="H54" si="129">+G54*F54</f>
        <v>0</v>
      </c>
      <c r="I54" s="42"/>
      <c r="J54" s="43"/>
      <c r="K54" s="40">
        <f t="shared" ref="K54" si="130">+J54*I54</f>
        <v>0</v>
      </c>
      <c r="L54" s="42"/>
      <c r="M54" s="43"/>
      <c r="N54" s="40"/>
      <c r="O54" s="41">
        <f t="shared" ref="O54" si="131">+E54+H54+K54</f>
        <v>82.7</v>
      </c>
    </row>
    <row r="55" spans="2:15" ht="26.25" customHeight="1" x14ac:dyDescent="0.35">
      <c r="B55" s="37">
        <v>45160</v>
      </c>
      <c r="C55" s="38">
        <v>1</v>
      </c>
      <c r="D55" s="39">
        <v>82.7</v>
      </c>
      <c r="E55" s="40">
        <f t="shared" ref="E55" si="132">D55*C55</f>
        <v>82.7</v>
      </c>
      <c r="F55" s="43"/>
      <c r="G55" s="43"/>
      <c r="H55" s="40">
        <f t="shared" ref="H55" si="133">+G55*F55</f>
        <v>0</v>
      </c>
      <c r="I55" s="42"/>
      <c r="J55" s="43"/>
      <c r="K55" s="40">
        <f t="shared" ref="K55" si="134">+J55*I55</f>
        <v>0</v>
      </c>
      <c r="L55" s="42"/>
      <c r="M55" s="43"/>
      <c r="N55" s="40"/>
      <c r="O55" s="41">
        <f t="shared" ref="O55" si="135">+E55+H55+K55</f>
        <v>82.7</v>
      </c>
    </row>
    <row r="56" spans="2:15" ht="26.25" customHeight="1" x14ac:dyDescent="0.35">
      <c r="B56" s="37">
        <v>45161</v>
      </c>
      <c r="C56" s="38">
        <v>1</v>
      </c>
      <c r="D56" s="39">
        <v>82.7</v>
      </c>
      <c r="E56" s="40">
        <f t="shared" ref="E56" si="136">D56*C56</f>
        <v>82.7</v>
      </c>
      <c r="F56" s="43"/>
      <c r="G56" s="43"/>
      <c r="H56" s="40">
        <f t="shared" ref="H56" si="137">+G56*F56</f>
        <v>0</v>
      </c>
      <c r="I56" s="42"/>
      <c r="J56" s="43"/>
      <c r="K56" s="40">
        <f t="shared" ref="K56" si="138">+J56*I56</f>
        <v>0</v>
      </c>
      <c r="L56" s="42"/>
      <c r="M56" s="43"/>
      <c r="N56" s="40"/>
      <c r="O56" s="41">
        <f t="shared" ref="O56" si="139">+E56+H56+K56</f>
        <v>82.7</v>
      </c>
    </row>
    <row r="57" spans="2:15" ht="26.25" customHeight="1" x14ac:dyDescent="0.35">
      <c r="B57" s="37">
        <v>45162</v>
      </c>
      <c r="C57" s="38">
        <v>1</v>
      </c>
      <c r="D57" s="39">
        <v>82.7</v>
      </c>
      <c r="E57" s="40">
        <f t="shared" ref="E57" si="140">D57*C57</f>
        <v>82.7</v>
      </c>
      <c r="F57" s="43"/>
      <c r="G57" s="43"/>
      <c r="H57" s="40">
        <f t="shared" ref="H57" si="141">+G57*F57</f>
        <v>0</v>
      </c>
      <c r="I57" s="42"/>
      <c r="J57" s="43"/>
      <c r="K57" s="40">
        <f t="shared" ref="K57" si="142">+J57*I57</f>
        <v>0</v>
      </c>
      <c r="L57" s="42"/>
      <c r="M57" s="43"/>
      <c r="N57" s="40"/>
      <c r="O57" s="41">
        <f t="shared" ref="O57" si="143">+E57+H57+K57</f>
        <v>82.7</v>
      </c>
    </row>
    <row r="58" spans="2:15" ht="26.25" customHeight="1" x14ac:dyDescent="0.35">
      <c r="B58" s="37">
        <v>45163</v>
      </c>
      <c r="C58" s="38">
        <v>1</v>
      </c>
      <c r="D58" s="39">
        <v>82.7</v>
      </c>
      <c r="E58" s="40">
        <f t="shared" ref="E58" si="144">D58*C58</f>
        <v>82.7</v>
      </c>
      <c r="F58" s="43"/>
      <c r="G58" s="43"/>
      <c r="H58" s="40">
        <f t="shared" ref="H58" si="145">+G58*F58</f>
        <v>0</v>
      </c>
      <c r="I58" s="42"/>
      <c r="J58" s="43"/>
      <c r="K58" s="40">
        <f t="shared" ref="K58" si="146">+J58*I58</f>
        <v>0</v>
      </c>
      <c r="L58" s="42"/>
      <c r="M58" s="43"/>
      <c r="N58" s="40"/>
      <c r="O58" s="41">
        <f t="shared" ref="O58" si="147">+E58+H58+K58</f>
        <v>82.7</v>
      </c>
    </row>
    <row r="59" spans="2:15" ht="26.25" customHeight="1" x14ac:dyDescent="0.35">
      <c r="B59" s="37">
        <v>45166</v>
      </c>
      <c r="C59" s="38">
        <v>1</v>
      </c>
      <c r="D59" s="39">
        <v>82.7</v>
      </c>
      <c r="E59" s="40">
        <f t="shared" ref="E59" si="148">D59*C59</f>
        <v>82.7</v>
      </c>
      <c r="F59" s="43"/>
      <c r="G59" s="43"/>
      <c r="H59" s="40">
        <f t="shared" ref="H59" si="149">+G59*F59</f>
        <v>0</v>
      </c>
      <c r="I59" s="42"/>
      <c r="J59" s="43"/>
      <c r="K59" s="40">
        <f t="shared" ref="K59" si="150">+J59*I59</f>
        <v>0</v>
      </c>
      <c r="L59" s="42"/>
      <c r="M59" s="43"/>
      <c r="N59" s="40"/>
      <c r="O59" s="41">
        <f t="shared" ref="O59" si="151">+E59+H59+K59</f>
        <v>82.7</v>
      </c>
    </row>
    <row r="60" spans="2:15" ht="26.25" customHeight="1" x14ac:dyDescent="0.35">
      <c r="B60" s="37">
        <v>45167</v>
      </c>
      <c r="C60" s="38">
        <v>1</v>
      </c>
      <c r="D60" s="39">
        <v>82.7</v>
      </c>
      <c r="E60" s="40">
        <f t="shared" ref="E60" si="152">D60*C60</f>
        <v>82.7</v>
      </c>
      <c r="F60" s="43"/>
      <c r="G60" s="43"/>
      <c r="H60" s="40">
        <f t="shared" ref="H60" si="153">+G60*F60</f>
        <v>0</v>
      </c>
      <c r="I60" s="42"/>
      <c r="J60" s="43"/>
      <c r="K60" s="40">
        <f t="shared" ref="K60" si="154">+J60*I60</f>
        <v>0</v>
      </c>
      <c r="L60" s="42"/>
      <c r="M60" s="43"/>
      <c r="N60" s="40"/>
      <c r="O60" s="41">
        <f t="shared" ref="O60" si="155">+E60+H60+K60</f>
        <v>82.7</v>
      </c>
    </row>
    <row r="61" spans="2:15" ht="26.25" customHeight="1" x14ac:dyDescent="0.35">
      <c r="B61" s="37">
        <v>45168</v>
      </c>
      <c r="C61" s="38">
        <v>1</v>
      </c>
      <c r="D61" s="39">
        <v>82.7</v>
      </c>
      <c r="E61" s="40">
        <f t="shared" ref="E61" si="156">D61*C61</f>
        <v>82.7</v>
      </c>
      <c r="F61" s="43"/>
      <c r="G61" s="43"/>
      <c r="H61" s="40">
        <f t="shared" ref="H61" si="157">+G61*F61</f>
        <v>0</v>
      </c>
      <c r="I61" s="42"/>
      <c r="J61" s="43"/>
      <c r="K61" s="40">
        <f t="shared" ref="K61" si="158">+J61*I61</f>
        <v>0</v>
      </c>
      <c r="L61" s="42"/>
      <c r="M61" s="43"/>
      <c r="N61" s="40"/>
      <c r="O61" s="41">
        <f t="shared" ref="O61" si="159">+E61+H61+K61</f>
        <v>82.7</v>
      </c>
    </row>
    <row r="62" spans="2:15" ht="26.25" customHeight="1" x14ac:dyDescent="0.35">
      <c r="B62" s="37">
        <v>45169</v>
      </c>
      <c r="C62" s="38">
        <v>1</v>
      </c>
      <c r="D62" s="39">
        <v>82.7</v>
      </c>
      <c r="E62" s="40">
        <f t="shared" ref="E62" si="160">D62*C62</f>
        <v>82.7</v>
      </c>
      <c r="F62" s="43"/>
      <c r="G62" s="43"/>
      <c r="H62" s="40">
        <f t="shared" ref="H62" si="161">+G62*F62</f>
        <v>0</v>
      </c>
      <c r="I62" s="42"/>
      <c r="J62" s="43"/>
      <c r="K62" s="40">
        <f t="shared" ref="K62" si="162">+J62*I62</f>
        <v>0</v>
      </c>
      <c r="L62" s="42"/>
      <c r="M62" s="43"/>
      <c r="N62" s="40"/>
      <c r="O62" s="41">
        <f t="shared" ref="O62" si="163">+E62+H62+K62</f>
        <v>82.7</v>
      </c>
    </row>
    <row r="63" spans="2:15" ht="26.25" customHeight="1" x14ac:dyDescent="0.35">
      <c r="B63" s="37">
        <v>45170</v>
      </c>
      <c r="C63" s="38">
        <v>1</v>
      </c>
      <c r="D63" s="39">
        <v>82.7</v>
      </c>
      <c r="E63" s="40">
        <f t="shared" ref="E63" si="164">D63*C63</f>
        <v>82.7</v>
      </c>
      <c r="F63" s="43"/>
      <c r="G63" s="43"/>
      <c r="H63" s="40">
        <f t="shared" ref="H63" si="165">+G63*F63</f>
        <v>0</v>
      </c>
      <c r="I63" s="42"/>
      <c r="J63" s="43"/>
      <c r="K63" s="40">
        <f t="shared" ref="K63" si="166">+J63*I63</f>
        <v>0</v>
      </c>
      <c r="L63" s="42"/>
      <c r="M63" s="43"/>
      <c r="N63" s="40"/>
      <c r="O63" s="41">
        <f t="shared" ref="O63" si="167">+E63+H63+K63</f>
        <v>82.7</v>
      </c>
    </row>
    <row r="64" spans="2:15" ht="26.25" customHeight="1" x14ac:dyDescent="0.35">
      <c r="B64" s="37">
        <v>45173</v>
      </c>
      <c r="C64" s="38">
        <v>1</v>
      </c>
      <c r="D64" s="39">
        <v>82.7</v>
      </c>
      <c r="E64" s="40">
        <f t="shared" ref="E64" si="168">D64*C64</f>
        <v>82.7</v>
      </c>
      <c r="F64" s="43"/>
      <c r="G64" s="43"/>
      <c r="H64" s="40">
        <f t="shared" ref="H64" si="169">+G64*F64</f>
        <v>0</v>
      </c>
      <c r="I64" s="42"/>
      <c r="J64" s="43"/>
      <c r="K64" s="40">
        <f t="shared" ref="K64" si="170">+J64*I64</f>
        <v>0</v>
      </c>
      <c r="L64" s="42"/>
      <c r="M64" s="43"/>
      <c r="N64" s="40"/>
      <c r="O64" s="41">
        <f t="shared" ref="O64" si="171">+E64+H64+K64</f>
        <v>82.7</v>
      </c>
    </row>
    <row r="65" spans="2:15" ht="26.25" customHeight="1" x14ac:dyDescent="0.35">
      <c r="B65" s="37">
        <v>45174</v>
      </c>
      <c r="C65" s="38">
        <v>1</v>
      </c>
      <c r="D65" s="39">
        <v>82.7</v>
      </c>
      <c r="E65" s="40">
        <f t="shared" ref="E65" si="172">D65*C65</f>
        <v>82.7</v>
      </c>
      <c r="F65" s="43"/>
      <c r="G65" s="43"/>
      <c r="H65" s="40">
        <f t="shared" ref="H65" si="173">+G65*F65</f>
        <v>0</v>
      </c>
      <c r="I65" s="42"/>
      <c r="J65" s="43"/>
      <c r="K65" s="40">
        <f t="shared" ref="K65" si="174">+J65*I65</f>
        <v>0</v>
      </c>
      <c r="L65" s="42"/>
      <c r="M65" s="43"/>
      <c r="N65" s="40"/>
      <c r="O65" s="41">
        <f t="shared" ref="O65" si="175">+E65+H65+K65</f>
        <v>82.7</v>
      </c>
    </row>
    <row r="66" spans="2:15" ht="26.25" customHeight="1" x14ac:dyDescent="0.35">
      <c r="B66" s="37">
        <v>45175</v>
      </c>
      <c r="C66" s="38">
        <v>1</v>
      </c>
      <c r="D66" s="39">
        <v>82.7</v>
      </c>
      <c r="E66" s="40">
        <f t="shared" ref="E66" si="176">D66*C66</f>
        <v>82.7</v>
      </c>
      <c r="F66" s="43"/>
      <c r="G66" s="43"/>
      <c r="H66" s="40">
        <f t="shared" ref="H66" si="177">+G66*F66</f>
        <v>0</v>
      </c>
      <c r="I66" s="42"/>
      <c r="J66" s="43"/>
      <c r="K66" s="40">
        <f t="shared" ref="K66" si="178">+J66*I66</f>
        <v>0</v>
      </c>
      <c r="L66" s="42"/>
      <c r="M66" s="43"/>
      <c r="N66" s="40"/>
      <c r="O66" s="41">
        <f t="shared" ref="O66" si="179">+E66+H66+K66</f>
        <v>82.7</v>
      </c>
    </row>
    <row r="67" spans="2:15" ht="26.25" customHeight="1" x14ac:dyDescent="0.35">
      <c r="B67" s="37">
        <v>45176</v>
      </c>
      <c r="C67" s="38">
        <v>1</v>
      </c>
      <c r="D67" s="39">
        <v>82.7</v>
      </c>
      <c r="E67" s="40">
        <f t="shared" ref="E67" si="180">D67*C67</f>
        <v>82.7</v>
      </c>
      <c r="F67" s="43"/>
      <c r="G67" s="43"/>
      <c r="H67" s="40">
        <f t="shared" ref="H67" si="181">+G67*F67</f>
        <v>0</v>
      </c>
      <c r="I67" s="42"/>
      <c r="J67" s="43"/>
      <c r="K67" s="40">
        <f t="shared" ref="K67" si="182">+J67*I67</f>
        <v>0</v>
      </c>
      <c r="L67" s="42"/>
      <c r="M67" s="43"/>
      <c r="N67" s="40"/>
      <c r="O67" s="41">
        <f t="shared" ref="O67" si="183">+E67+H67+K67</f>
        <v>82.7</v>
      </c>
    </row>
    <row r="68" spans="2:15" ht="26.25" customHeight="1" x14ac:dyDescent="0.35">
      <c r="B68" s="37">
        <v>45177</v>
      </c>
      <c r="C68" s="38">
        <v>1</v>
      </c>
      <c r="D68" s="39">
        <v>82.7</v>
      </c>
      <c r="E68" s="40">
        <f t="shared" ref="E68" si="184">D68*C68</f>
        <v>82.7</v>
      </c>
      <c r="F68" s="43"/>
      <c r="G68" s="43"/>
      <c r="H68" s="40">
        <f t="shared" ref="H68" si="185">+G68*F68</f>
        <v>0</v>
      </c>
      <c r="I68" s="42"/>
      <c r="J68" s="43"/>
      <c r="K68" s="40">
        <f t="shared" ref="K68" si="186">+J68*I68</f>
        <v>0</v>
      </c>
      <c r="L68" s="42"/>
      <c r="M68" s="43"/>
      <c r="N68" s="40"/>
      <c r="O68" s="41">
        <f t="shared" ref="O68" si="187">+E68+H68+K68</f>
        <v>82.7</v>
      </c>
    </row>
    <row r="69" spans="2:15" ht="26.25" customHeight="1" x14ac:dyDescent="0.35">
      <c r="B69" s="37">
        <v>45180</v>
      </c>
      <c r="C69" s="38">
        <v>1</v>
      </c>
      <c r="D69" s="39">
        <v>82.7</v>
      </c>
      <c r="E69" s="40">
        <f t="shared" ref="E69" si="188">D69*C69</f>
        <v>82.7</v>
      </c>
      <c r="F69" s="43"/>
      <c r="G69" s="43"/>
      <c r="H69" s="40">
        <f t="shared" ref="H69" si="189">+G69*F69</f>
        <v>0</v>
      </c>
      <c r="I69" s="42"/>
      <c r="J69" s="43"/>
      <c r="K69" s="40">
        <f t="shared" ref="K69" si="190">+J69*I69</f>
        <v>0</v>
      </c>
      <c r="L69" s="42"/>
      <c r="M69" s="43"/>
      <c r="N69" s="40"/>
      <c r="O69" s="41">
        <f t="shared" ref="O69" si="191">+E69+H69+K69</f>
        <v>82.7</v>
      </c>
    </row>
    <row r="70" spans="2:15" ht="26.25" customHeight="1" x14ac:dyDescent="0.35">
      <c r="B70" s="37">
        <v>45181</v>
      </c>
      <c r="C70" s="38">
        <v>1</v>
      </c>
      <c r="D70" s="39">
        <v>82.7</v>
      </c>
      <c r="E70" s="40">
        <f t="shared" ref="E70" si="192">D70*C70</f>
        <v>82.7</v>
      </c>
      <c r="F70" s="43"/>
      <c r="G70" s="43"/>
      <c r="H70" s="40">
        <f t="shared" ref="H70" si="193">+G70*F70</f>
        <v>0</v>
      </c>
      <c r="I70" s="42"/>
      <c r="J70" s="43"/>
      <c r="K70" s="40">
        <f t="shared" ref="K70" si="194">+J70*I70</f>
        <v>0</v>
      </c>
      <c r="L70" s="42"/>
      <c r="M70" s="43"/>
      <c r="N70" s="40"/>
      <c r="O70" s="41">
        <f t="shared" ref="O70" si="195">+E70+H70+K70</f>
        <v>82.7</v>
      </c>
    </row>
    <row r="71" spans="2:15" ht="26.25" customHeight="1" x14ac:dyDescent="0.35">
      <c r="B71" s="37">
        <v>45182</v>
      </c>
      <c r="C71" s="38">
        <v>1</v>
      </c>
      <c r="D71" s="39">
        <v>82.7</v>
      </c>
      <c r="E71" s="40">
        <f t="shared" ref="E71" si="196">D71*C71</f>
        <v>82.7</v>
      </c>
      <c r="F71" s="43"/>
      <c r="G71" s="43"/>
      <c r="H71" s="40">
        <f t="shared" ref="H71" si="197">+G71*F71</f>
        <v>0</v>
      </c>
      <c r="I71" s="42"/>
      <c r="J71" s="43"/>
      <c r="K71" s="40">
        <f t="shared" ref="K71" si="198">+J71*I71</f>
        <v>0</v>
      </c>
      <c r="L71" s="42"/>
      <c r="M71" s="43"/>
      <c r="N71" s="40"/>
      <c r="O71" s="41">
        <f t="shared" ref="O71" si="199">+E71+H71+K71</f>
        <v>82.7</v>
      </c>
    </row>
    <row r="72" spans="2:15" ht="26.25" customHeight="1" x14ac:dyDescent="0.35">
      <c r="B72" s="37">
        <v>45183</v>
      </c>
      <c r="C72" s="38">
        <v>1</v>
      </c>
      <c r="D72" s="39">
        <v>82.7</v>
      </c>
      <c r="E72" s="40">
        <f t="shared" ref="E72" si="200">D72*C72</f>
        <v>82.7</v>
      </c>
      <c r="F72" s="43"/>
      <c r="G72" s="43"/>
      <c r="H72" s="40">
        <f t="shared" ref="H72" si="201">+G72*F72</f>
        <v>0</v>
      </c>
      <c r="I72" s="42"/>
      <c r="J72" s="43"/>
      <c r="K72" s="40">
        <f t="shared" ref="K72" si="202">+J72*I72</f>
        <v>0</v>
      </c>
      <c r="L72" s="42"/>
      <c r="M72" s="43"/>
      <c r="N72" s="40"/>
      <c r="O72" s="41">
        <f t="shared" ref="O72" si="203">+E72+H72+K72</f>
        <v>82.7</v>
      </c>
    </row>
    <row r="73" spans="2:15" ht="26.25" customHeight="1" x14ac:dyDescent="0.35">
      <c r="B73" s="37">
        <v>45184</v>
      </c>
      <c r="C73" s="38">
        <v>1</v>
      </c>
      <c r="D73" s="39">
        <v>82.7</v>
      </c>
      <c r="E73" s="40">
        <f t="shared" ref="E73" si="204">D73*C73</f>
        <v>82.7</v>
      </c>
      <c r="F73" s="43"/>
      <c r="G73" s="43"/>
      <c r="H73" s="40">
        <f t="shared" ref="H73" si="205">+G73*F73</f>
        <v>0</v>
      </c>
      <c r="I73" s="42"/>
      <c r="J73" s="43"/>
      <c r="K73" s="40">
        <f t="shared" ref="K73" si="206">+J73*I73</f>
        <v>0</v>
      </c>
      <c r="L73" s="42"/>
      <c r="M73" s="43"/>
      <c r="N73" s="40"/>
      <c r="O73" s="41">
        <f t="shared" ref="O73" si="207">+E73+H73+K73</f>
        <v>82.7</v>
      </c>
    </row>
    <row r="74" spans="2:15" ht="26.25" customHeight="1" x14ac:dyDescent="0.35">
      <c r="B74" s="37">
        <v>45187</v>
      </c>
      <c r="C74" s="38">
        <v>1</v>
      </c>
      <c r="D74" s="39">
        <v>82.7</v>
      </c>
      <c r="E74" s="40">
        <f t="shared" ref="E74" si="208">D74*C74</f>
        <v>82.7</v>
      </c>
      <c r="F74" s="43"/>
      <c r="G74" s="43"/>
      <c r="H74" s="40">
        <f t="shared" ref="H74" si="209">+G74*F74</f>
        <v>0</v>
      </c>
      <c r="I74" s="42"/>
      <c r="J74" s="43"/>
      <c r="K74" s="40">
        <f t="shared" ref="K74" si="210">+J74*I74</f>
        <v>0</v>
      </c>
      <c r="L74" s="42"/>
      <c r="M74" s="43"/>
      <c r="N74" s="40"/>
      <c r="O74" s="41">
        <f t="shared" ref="O74" si="211">+E74+H74+K74</f>
        <v>82.7</v>
      </c>
    </row>
    <row r="75" spans="2:15" ht="26.25" customHeight="1" x14ac:dyDescent="0.35">
      <c r="B75" s="37">
        <v>45188</v>
      </c>
      <c r="C75" s="38">
        <v>1</v>
      </c>
      <c r="D75" s="39">
        <v>82.7</v>
      </c>
      <c r="E75" s="40">
        <f t="shared" ref="E75" si="212">D75*C75</f>
        <v>82.7</v>
      </c>
      <c r="F75" s="43"/>
      <c r="G75" s="43"/>
      <c r="H75" s="40">
        <f t="shared" ref="H75" si="213">+G75*F75</f>
        <v>0</v>
      </c>
      <c r="I75" s="42"/>
      <c r="J75" s="43"/>
      <c r="K75" s="40">
        <f t="shared" ref="K75" si="214">+J75*I75</f>
        <v>0</v>
      </c>
      <c r="L75" s="42"/>
      <c r="M75" s="43"/>
      <c r="N75" s="40"/>
      <c r="O75" s="41">
        <f t="shared" ref="O75" si="215">+E75+H75+K75</f>
        <v>82.7</v>
      </c>
    </row>
    <row r="76" spans="2:15" ht="26.25" customHeight="1" x14ac:dyDescent="0.35">
      <c r="B76" s="37">
        <v>45189</v>
      </c>
      <c r="C76" s="38">
        <v>1</v>
      </c>
      <c r="D76" s="39">
        <v>82.7</v>
      </c>
      <c r="E76" s="40">
        <f t="shared" ref="E76" si="216">D76*C76</f>
        <v>82.7</v>
      </c>
      <c r="F76" s="43"/>
      <c r="G76" s="43"/>
      <c r="H76" s="40">
        <f t="shared" ref="H76" si="217">+G76*F76</f>
        <v>0</v>
      </c>
      <c r="I76" s="42"/>
      <c r="J76" s="43"/>
      <c r="K76" s="40">
        <f t="shared" ref="K76" si="218">+J76*I76</f>
        <v>0</v>
      </c>
      <c r="L76" s="42"/>
      <c r="M76" s="43"/>
      <c r="N76" s="40"/>
      <c r="O76" s="41">
        <f t="shared" ref="O76" si="219">+E76+H76+K76</f>
        <v>82.7</v>
      </c>
    </row>
    <row r="77" spans="2:15" ht="26.25" customHeight="1" x14ac:dyDescent="0.35">
      <c r="B77" s="37">
        <v>45190</v>
      </c>
      <c r="C77" s="38">
        <v>1</v>
      </c>
      <c r="D77" s="39">
        <v>82.7</v>
      </c>
      <c r="E77" s="40">
        <f t="shared" ref="E77" si="220">D77*C77</f>
        <v>82.7</v>
      </c>
      <c r="F77" s="43"/>
      <c r="G77" s="43"/>
      <c r="H77" s="40">
        <f t="shared" ref="H77" si="221">+G77*F77</f>
        <v>0</v>
      </c>
      <c r="I77" s="42"/>
      <c r="J77" s="43"/>
      <c r="K77" s="40">
        <f t="shared" ref="K77" si="222">+J77*I77</f>
        <v>0</v>
      </c>
      <c r="L77" s="42"/>
      <c r="M77" s="43"/>
      <c r="N77" s="40"/>
      <c r="O77" s="41">
        <f t="shared" ref="O77" si="223">+E77+H77+K77</f>
        <v>82.7</v>
      </c>
    </row>
    <row r="78" spans="2:15" ht="26.25" customHeight="1" x14ac:dyDescent="0.35">
      <c r="B78" s="37">
        <v>45191</v>
      </c>
      <c r="C78" s="38">
        <v>1</v>
      </c>
      <c r="D78" s="39">
        <v>82.7</v>
      </c>
      <c r="E78" s="40">
        <f t="shared" ref="E78" si="224">D78*C78</f>
        <v>82.7</v>
      </c>
      <c r="F78" s="43"/>
      <c r="G78" s="43"/>
      <c r="H78" s="40">
        <f t="shared" ref="H78" si="225">+G78*F78</f>
        <v>0</v>
      </c>
      <c r="I78" s="42"/>
      <c r="J78" s="43"/>
      <c r="K78" s="40">
        <f t="shared" ref="K78" si="226">+J78*I78</f>
        <v>0</v>
      </c>
      <c r="L78" s="42"/>
      <c r="M78" s="43"/>
      <c r="N78" s="40"/>
      <c r="O78" s="41">
        <f t="shared" ref="O78" si="227">+E78+H78+K78</f>
        <v>82.7</v>
      </c>
    </row>
    <row r="79" spans="2:15" ht="26.25" customHeight="1" x14ac:dyDescent="0.35">
      <c r="B79" s="37">
        <v>45194</v>
      </c>
      <c r="C79" s="38">
        <v>1</v>
      </c>
      <c r="D79" s="39">
        <v>82.7</v>
      </c>
      <c r="E79" s="40">
        <f t="shared" ref="E79" si="228">D79*C79</f>
        <v>82.7</v>
      </c>
      <c r="F79" s="43"/>
      <c r="G79" s="43"/>
      <c r="H79" s="40">
        <f t="shared" ref="H79" si="229">+G79*F79</f>
        <v>0</v>
      </c>
      <c r="I79" s="42"/>
      <c r="J79" s="43"/>
      <c r="K79" s="40">
        <f t="shared" ref="K79" si="230">+J79*I79</f>
        <v>0</v>
      </c>
      <c r="L79" s="42"/>
      <c r="M79" s="43"/>
      <c r="N79" s="40"/>
      <c r="O79" s="41">
        <f t="shared" ref="O79" si="231">+E79+H79+K79</f>
        <v>82.7</v>
      </c>
    </row>
    <row r="80" spans="2:15" ht="26.25" customHeight="1" x14ac:dyDescent="0.35">
      <c r="B80" s="37">
        <v>45195</v>
      </c>
      <c r="C80" s="38">
        <v>1</v>
      </c>
      <c r="D80" s="39">
        <v>82.7</v>
      </c>
      <c r="E80" s="40">
        <f t="shared" ref="E80" si="232">D80*C80</f>
        <v>82.7</v>
      </c>
      <c r="F80" s="43"/>
      <c r="G80" s="43"/>
      <c r="H80" s="40">
        <f t="shared" ref="H80" si="233">+G80*F80</f>
        <v>0</v>
      </c>
      <c r="I80" s="42"/>
      <c r="J80" s="43"/>
      <c r="K80" s="40">
        <f t="shared" ref="K80" si="234">+J80*I80</f>
        <v>0</v>
      </c>
      <c r="L80" s="42"/>
      <c r="M80" s="43"/>
      <c r="N80" s="40"/>
      <c r="O80" s="41">
        <f t="shared" ref="O80" si="235">+E80+H80+K80</f>
        <v>82.7</v>
      </c>
    </row>
    <row r="81" spans="2:15" ht="26.25" customHeight="1" x14ac:dyDescent="0.35">
      <c r="B81" s="37">
        <v>45196</v>
      </c>
      <c r="C81" s="38">
        <v>1</v>
      </c>
      <c r="D81" s="39">
        <v>82.7</v>
      </c>
      <c r="E81" s="40">
        <f t="shared" ref="E81" si="236">D81*C81</f>
        <v>82.7</v>
      </c>
      <c r="F81" s="43"/>
      <c r="G81" s="43"/>
      <c r="H81" s="40">
        <f t="shared" ref="H81" si="237">+G81*F81</f>
        <v>0</v>
      </c>
      <c r="I81" s="42"/>
      <c r="J81" s="43"/>
      <c r="K81" s="40">
        <f t="shared" ref="K81" si="238">+J81*I81</f>
        <v>0</v>
      </c>
      <c r="L81" s="42"/>
      <c r="M81" s="43"/>
      <c r="N81" s="40"/>
      <c r="O81" s="41">
        <f t="shared" ref="O81" si="239">+E81+H81+K81</f>
        <v>82.7</v>
      </c>
    </row>
    <row r="82" spans="2:15" ht="26.25" customHeight="1" x14ac:dyDescent="0.35">
      <c r="B82" s="37">
        <v>45197</v>
      </c>
      <c r="C82" s="38">
        <v>1</v>
      </c>
      <c r="D82" s="39">
        <v>82.7</v>
      </c>
      <c r="E82" s="40">
        <f t="shared" ref="E82" si="240">D82*C82</f>
        <v>82.7</v>
      </c>
      <c r="F82" s="43"/>
      <c r="G82" s="43"/>
      <c r="H82" s="40">
        <f t="shared" ref="H82" si="241">+G82*F82</f>
        <v>0</v>
      </c>
      <c r="I82" s="42"/>
      <c r="J82" s="43"/>
      <c r="K82" s="40">
        <f t="shared" ref="K82" si="242">+J82*I82</f>
        <v>0</v>
      </c>
      <c r="L82" s="42"/>
      <c r="M82" s="43"/>
      <c r="N82" s="40"/>
      <c r="O82" s="41">
        <f t="shared" ref="O82" si="243">+E82+H82+K82</f>
        <v>82.7</v>
      </c>
    </row>
    <row r="83" spans="2:15" ht="26.25" customHeight="1" x14ac:dyDescent="0.35">
      <c r="B83" s="37">
        <v>45198</v>
      </c>
      <c r="C83" s="38">
        <v>1</v>
      </c>
      <c r="D83" s="39">
        <v>82.7</v>
      </c>
      <c r="E83" s="40">
        <f t="shared" ref="E83" si="244">D83*C83</f>
        <v>82.7</v>
      </c>
      <c r="F83" s="43"/>
      <c r="G83" s="43"/>
      <c r="H83" s="40">
        <f t="shared" ref="H83" si="245">+G83*F83</f>
        <v>0</v>
      </c>
      <c r="I83" s="42"/>
      <c r="J83" s="43"/>
      <c r="K83" s="40">
        <f t="shared" ref="K83" si="246">+J83*I83</f>
        <v>0</v>
      </c>
      <c r="L83" s="42"/>
      <c r="M83" s="43"/>
      <c r="N83" s="40"/>
      <c r="O83" s="41">
        <f t="shared" ref="O83" si="247">+E83+H83+K83</f>
        <v>82.7</v>
      </c>
    </row>
    <row r="84" spans="2:15" ht="26.25" customHeight="1" x14ac:dyDescent="0.35">
      <c r="B84" s="37">
        <v>45201</v>
      </c>
      <c r="C84" s="38">
        <v>1</v>
      </c>
      <c r="D84" s="39">
        <v>82.7</v>
      </c>
      <c r="E84" s="40">
        <f t="shared" ref="E84" si="248">D84*C84</f>
        <v>82.7</v>
      </c>
      <c r="F84" s="43"/>
      <c r="G84" s="43"/>
      <c r="H84" s="40">
        <f t="shared" ref="H84" si="249">+G84*F84</f>
        <v>0</v>
      </c>
      <c r="I84" s="42"/>
      <c r="J84" s="43"/>
      <c r="K84" s="40">
        <f t="shared" ref="K84" si="250">+J84*I84</f>
        <v>0</v>
      </c>
      <c r="L84" s="42"/>
      <c r="M84" s="43"/>
      <c r="N84" s="40"/>
      <c r="O84" s="41">
        <f t="shared" ref="O84" si="251">+E84+H84+K84</f>
        <v>82.7</v>
      </c>
    </row>
    <row r="85" spans="2:15" ht="26.25" customHeight="1" x14ac:dyDescent="0.35">
      <c r="B85" s="37">
        <v>45202</v>
      </c>
      <c r="C85" s="38">
        <v>1</v>
      </c>
      <c r="D85" s="39">
        <v>82.7</v>
      </c>
      <c r="E85" s="40">
        <f t="shared" ref="E85" si="252">D85*C85</f>
        <v>82.7</v>
      </c>
      <c r="F85" s="43"/>
      <c r="G85" s="43"/>
      <c r="H85" s="40">
        <f t="shared" ref="H85" si="253">+G85*F85</f>
        <v>0</v>
      </c>
      <c r="I85" s="42"/>
      <c r="J85" s="43"/>
      <c r="K85" s="40">
        <f t="shared" ref="K85" si="254">+J85*I85</f>
        <v>0</v>
      </c>
      <c r="L85" s="42"/>
      <c r="M85" s="43"/>
      <c r="N85" s="40"/>
      <c r="O85" s="41">
        <f t="shared" ref="O85" si="255">+E85+H85+K85</f>
        <v>82.7</v>
      </c>
    </row>
    <row r="86" spans="2:15" ht="26.25" customHeight="1" x14ac:dyDescent="0.35">
      <c r="B86" s="37">
        <v>45203</v>
      </c>
      <c r="C86" s="38">
        <v>1</v>
      </c>
      <c r="D86" s="39">
        <v>82.7</v>
      </c>
      <c r="E86" s="40">
        <f t="shared" ref="E86" si="256">D86*C86</f>
        <v>82.7</v>
      </c>
      <c r="F86" s="43"/>
      <c r="G86" s="43"/>
      <c r="H86" s="40">
        <f t="shared" ref="H86" si="257">+G86*F86</f>
        <v>0</v>
      </c>
      <c r="I86" s="42"/>
      <c r="J86" s="43"/>
      <c r="K86" s="40">
        <f t="shared" ref="K86" si="258">+J86*I86</f>
        <v>0</v>
      </c>
      <c r="L86" s="42"/>
      <c r="M86" s="43"/>
      <c r="N86" s="40"/>
      <c r="O86" s="41">
        <f t="shared" ref="O86" si="259">+E86+H86+K86</f>
        <v>82.7</v>
      </c>
    </row>
    <row r="87" spans="2:15" ht="26.25" customHeight="1" x14ac:dyDescent="0.35">
      <c r="B87" s="37">
        <v>45204</v>
      </c>
      <c r="C87" s="38">
        <v>1</v>
      </c>
      <c r="D87" s="39">
        <v>82.7</v>
      </c>
      <c r="E87" s="40">
        <f t="shared" ref="E87" si="260">D87*C87</f>
        <v>82.7</v>
      </c>
      <c r="F87" s="43"/>
      <c r="G87" s="43"/>
      <c r="H87" s="40">
        <f t="shared" ref="H87" si="261">+G87*F87</f>
        <v>0</v>
      </c>
      <c r="I87" s="42"/>
      <c r="J87" s="43"/>
      <c r="K87" s="40">
        <f t="shared" ref="K87" si="262">+J87*I87</f>
        <v>0</v>
      </c>
      <c r="L87" s="42"/>
      <c r="M87" s="43"/>
      <c r="N87" s="40"/>
      <c r="O87" s="41">
        <f t="shared" ref="O87" si="263">+E87+H87+K87</f>
        <v>82.7</v>
      </c>
    </row>
    <row r="88" spans="2:15" ht="26.25" customHeight="1" x14ac:dyDescent="0.35">
      <c r="B88" s="37">
        <v>45205</v>
      </c>
      <c r="C88" s="38">
        <v>1</v>
      </c>
      <c r="D88" s="39">
        <v>82.7</v>
      </c>
      <c r="E88" s="40">
        <f t="shared" ref="E88" si="264">D88*C88</f>
        <v>82.7</v>
      </c>
      <c r="F88" s="43"/>
      <c r="G88" s="43"/>
      <c r="H88" s="40">
        <f t="shared" ref="H88" si="265">+G88*F88</f>
        <v>0</v>
      </c>
      <c r="I88" s="42"/>
      <c r="J88" s="43"/>
      <c r="K88" s="40">
        <f t="shared" ref="K88" si="266">+J88*I88</f>
        <v>0</v>
      </c>
      <c r="L88" s="42"/>
      <c r="M88" s="43"/>
      <c r="N88" s="40"/>
      <c r="O88" s="41">
        <f t="shared" ref="O88" si="267">+E88+H88+K88</f>
        <v>82.7</v>
      </c>
    </row>
    <row r="89" spans="2:15" ht="26.25" customHeight="1" x14ac:dyDescent="0.35">
      <c r="B89" s="37">
        <v>45208</v>
      </c>
      <c r="C89" s="38">
        <v>1</v>
      </c>
      <c r="D89" s="39">
        <v>82.7</v>
      </c>
      <c r="E89" s="40">
        <f t="shared" ref="E89" si="268">D89*C89</f>
        <v>82.7</v>
      </c>
      <c r="F89" s="43"/>
      <c r="G89" s="43"/>
      <c r="H89" s="40">
        <f t="shared" ref="H89" si="269">+G89*F89</f>
        <v>0</v>
      </c>
      <c r="I89" s="42"/>
      <c r="J89" s="43"/>
      <c r="K89" s="40">
        <f t="shared" ref="K89" si="270">+J89*I89</f>
        <v>0</v>
      </c>
      <c r="L89" s="42"/>
      <c r="M89" s="43"/>
      <c r="N89" s="40"/>
      <c r="O89" s="41">
        <f t="shared" ref="O89" si="271">+E89+H89+K89</f>
        <v>82.7</v>
      </c>
    </row>
    <row r="90" spans="2:15" ht="26.25" customHeight="1" x14ac:dyDescent="0.35">
      <c r="B90" s="37">
        <v>45209</v>
      </c>
      <c r="C90" s="38">
        <v>1</v>
      </c>
      <c r="D90" s="39">
        <v>82.7</v>
      </c>
      <c r="E90" s="40">
        <f t="shared" ref="E90" si="272">D90*C90</f>
        <v>82.7</v>
      </c>
      <c r="F90" s="43"/>
      <c r="G90" s="43"/>
      <c r="H90" s="40">
        <f t="shared" ref="H90" si="273">+G90*F90</f>
        <v>0</v>
      </c>
      <c r="I90" s="42"/>
      <c r="J90" s="43"/>
      <c r="K90" s="40">
        <f t="shared" ref="K90" si="274">+J90*I90</f>
        <v>0</v>
      </c>
      <c r="L90" s="42"/>
      <c r="M90" s="43"/>
      <c r="N90" s="40"/>
      <c r="O90" s="41">
        <f t="shared" ref="O90" si="275">+E90+H90+K90</f>
        <v>82.7</v>
      </c>
    </row>
    <row r="91" spans="2:15" ht="26.25" customHeight="1" x14ac:dyDescent="0.35">
      <c r="B91" s="37">
        <v>45210</v>
      </c>
      <c r="C91" s="38">
        <v>1</v>
      </c>
      <c r="D91" s="39">
        <v>82.7</v>
      </c>
      <c r="E91" s="40">
        <f t="shared" ref="E91" si="276">D91*C91</f>
        <v>82.7</v>
      </c>
      <c r="F91" s="43"/>
      <c r="G91" s="43"/>
      <c r="H91" s="40">
        <f t="shared" ref="H91" si="277">+G91*F91</f>
        <v>0</v>
      </c>
      <c r="I91" s="42"/>
      <c r="J91" s="43"/>
      <c r="K91" s="40">
        <f t="shared" ref="K91" si="278">+J91*I91</f>
        <v>0</v>
      </c>
      <c r="L91" s="42"/>
      <c r="M91" s="43"/>
      <c r="N91" s="40"/>
      <c r="O91" s="41">
        <f t="shared" ref="O91" si="279">+E91+H91+K91</f>
        <v>82.7</v>
      </c>
    </row>
    <row r="92" spans="2:15" ht="26.25" customHeight="1" x14ac:dyDescent="0.35">
      <c r="B92" s="37">
        <v>45211</v>
      </c>
      <c r="C92" s="38">
        <v>1</v>
      </c>
      <c r="D92" s="39">
        <v>82.7</v>
      </c>
      <c r="E92" s="40">
        <f t="shared" ref="E92" si="280">D92*C92</f>
        <v>82.7</v>
      </c>
      <c r="F92" s="43"/>
      <c r="G92" s="43"/>
      <c r="H92" s="40">
        <f t="shared" ref="H92" si="281">+G92*F92</f>
        <v>0</v>
      </c>
      <c r="I92" s="42"/>
      <c r="J92" s="43"/>
      <c r="K92" s="40">
        <f t="shared" ref="K92" si="282">+J92*I92</f>
        <v>0</v>
      </c>
      <c r="L92" s="42"/>
      <c r="M92" s="43"/>
      <c r="N92" s="40"/>
      <c r="O92" s="41">
        <f t="shared" ref="O92" si="283">+E92+H92+K92</f>
        <v>82.7</v>
      </c>
    </row>
    <row r="93" spans="2:15" ht="26.25" customHeight="1" x14ac:dyDescent="0.35">
      <c r="B93" s="37">
        <v>45212</v>
      </c>
      <c r="C93" s="38">
        <v>1</v>
      </c>
      <c r="D93" s="39">
        <v>82.7</v>
      </c>
      <c r="E93" s="40">
        <f t="shared" ref="E93" si="284">D93*C93</f>
        <v>82.7</v>
      </c>
      <c r="F93" s="43"/>
      <c r="G93" s="43"/>
      <c r="H93" s="40">
        <f t="shared" ref="H93" si="285">+G93*F93</f>
        <v>0</v>
      </c>
      <c r="I93" s="42"/>
      <c r="J93" s="43"/>
      <c r="K93" s="40">
        <f t="shared" ref="K93" si="286">+J93*I93</f>
        <v>0</v>
      </c>
      <c r="L93" s="42"/>
      <c r="M93" s="43"/>
      <c r="N93" s="40"/>
      <c r="O93" s="41">
        <f t="shared" ref="O93" si="287">+E93+H93+K93</f>
        <v>82.7</v>
      </c>
    </row>
    <row r="94" spans="2:15" ht="26.25" customHeight="1" x14ac:dyDescent="0.35">
      <c r="B94" s="37">
        <v>45215</v>
      </c>
      <c r="C94" s="38">
        <v>1</v>
      </c>
      <c r="D94" s="39">
        <v>82.7</v>
      </c>
      <c r="E94" s="40">
        <f t="shared" ref="E94" si="288">D94*C94</f>
        <v>82.7</v>
      </c>
      <c r="F94" s="43"/>
      <c r="G94" s="43"/>
      <c r="H94" s="40">
        <f t="shared" ref="H94" si="289">+G94*F94</f>
        <v>0</v>
      </c>
      <c r="I94" s="42"/>
      <c r="J94" s="43"/>
      <c r="K94" s="40">
        <f t="shared" ref="K94" si="290">+J94*I94</f>
        <v>0</v>
      </c>
      <c r="L94" s="42"/>
      <c r="M94" s="43"/>
      <c r="N94" s="40"/>
      <c r="O94" s="41">
        <f t="shared" ref="O94" si="291">+E94+H94+K94</f>
        <v>82.7</v>
      </c>
    </row>
    <row r="95" spans="2:15" ht="26.25" customHeight="1" x14ac:dyDescent="0.35">
      <c r="B95" s="37">
        <v>45216</v>
      </c>
      <c r="C95" s="38">
        <v>1</v>
      </c>
      <c r="D95" s="39">
        <v>82.7</v>
      </c>
      <c r="E95" s="40">
        <f t="shared" ref="E95" si="292">D95*C95</f>
        <v>82.7</v>
      </c>
      <c r="F95" s="43"/>
      <c r="G95" s="43"/>
      <c r="H95" s="40">
        <f t="shared" ref="H95" si="293">+G95*F95</f>
        <v>0</v>
      </c>
      <c r="I95" s="42"/>
      <c r="J95" s="43"/>
      <c r="K95" s="40">
        <f t="shared" ref="K95" si="294">+J95*I95</f>
        <v>0</v>
      </c>
      <c r="L95" s="42"/>
      <c r="M95" s="43"/>
      <c r="N95" s="40"/>
      <c r="O95" s="41">
        <f t="shared" ref="O95" si="295">+E95+H95+K95</f>
        <v>82.7</v>
      </c>
    </row>
    <row r="96" spans="2:15" ht="26.25" customHeight="1" x14ac:dyDescent="0.35">
      <c r="B96" s="37">
        <v>45217</v>
      </c>
      <c r="C96" s="38">
        <v>1</v>
      </c>
      <c r="D96" s="39">
        <v>82.7</v>
      </c>
      <c r="E96" s="40">
        <f t="shared" ref="E96" si="296">D96*C96</f>
        <v>82.7</v>
      </c>
      <c r="F96" s="43"/>
      <c r="G96" s="43"/>
      <c r="H96" s="40">
        <f t="shared" ref="H96" si="297">+G96*F96</f>
        <v>0</v>
      </c>
      <c r="I96" s="42"/>
      <c r="J96" s="43"/>
      <c r="K96" s="40">
        <f t="shared" ref="K96" si="298">+J96*I96</f>
        <v>0</v>
      </c>
      <c r="L96" s="42"/>
      <c r="M96" s="43"/>
      <c r="N96" s="40"/>
      <c r="O96" s="41">
        <f t="shared" ref="O96" si="299">+E96+H96+K96</f>
        <v>82.7</v>
      </c>
    </row>
    <row r="97" spans="2:15" ht="26.25" customHeight="1" x14ac:dyDescent="0.35">
      <c r="B97" s="37">
        <v>45218</v>
      </c>
      <c r="C97" s="38">
        <v>1</v>
      </c>
      <c r="D97" s="39">
        <v>82.7</v>
      </c>
      <c r="E97" s="40">
        <f t="shared" ref="E97" si="300">D97*C97</f>
        <v>82.7</v>
      </c>
      <c r="F97" s="43"/>
      <c r="G97" s="43"/>
      <c r="H97" s="40">
        <f t="shared" ref="H97" si="301">+G97*F97</f>
        <v>0</v>
      </c>
      <c r="I97" s="42"/>
      <c r="J97" s="43"/>
      <c r="K97" s="40">
        <f t="shared" ref="K97" si="302">+J97*I97</f>
        <v>0</v>
      </c>
      <c r="L97" s="42"/>
      <c r="M97" s="43"/>
      <c r="N97" s="40"/>
      <c r="O97" s="41">
        <f t="shared" ref="O97" si="303">+E97+H97+K97</f>
        <v>82.7</v>
      </c>
    </row>
    <row r="98" spans="2:15" ht="26.25" customHeight="1" x14ac:dyDescent="0.35">
      <c r="B98" s="37">
        <v>45219</v>
      </c>
      <c r="C98" s="38">
        <v>1</v>
      </c>
      <c r="D98" s="39">
        <v>82.7</v>
      </c>
      <c r="E98" s="40">
        <f t="shared" ref="E98" si="304">D98*C98</f>
        <v>82.7</v>
      </c>
      <c r="F98" s="43"/>
      <c r="G98" s="43"/>
      <c r="H98" s="40">
        <f t="shared" ref="H98" si="305">+G98*F98</f>
        <v>0</v>
      </c>
      <c r="I98" s="42"/>
      <c r="J98" s="43"/>
      <c r="K98" s="40">
        <f t="shared" ref="K98" si="306">+J98*I98</f>
        <v>0</v>
      </c>
      <c r="L98" s="42"/>
      <c r="M98" s="43"/>
      <c r="N98" s="40"/>
      <c r="O98" s="41">
        <f t="shared" ref="O98" si="307">+E98+H98+K98</f>
        <v>82.7</v>
      </c>
    </row>
    <row r="99" spans="2:15" ht="26.25" customHeight="1" x14ac:dyDescent="0.35">
      <c r="B99" s="37">
        <v>45222</v>
      </c>
      <c r="C99" s="38">
        <v>1</v>
      </c>
      <c r="D99" s="39">
        <v>82.7</v>
      </c>
      <c r="E99" s="40">
        <f t="shared" ref="E99" si="308">D99*C99</f>
        <v>82.7</v>
      </c>
      <c r="F99" s="43"/>
      <c r="G99" s="43"/>
      <c r="H99" s="40">
        <f t="shared" ref="H99" si="309">+G99*F99</f>
        <v>0</v>
      </c>
      <c r="I99" s="42"/>
      <c r="J99" s="43"/>
      <c r="K99" s="40">
        <f t="shared" ref="K99" si="310">+J99*I99</f>
        <v>0</v>
      </c>
      <c r="L99" s="42"/>
      <c r="M99" s="43"/>
      <c r="N99" s="40"/>
      <c r="O99" s="41">
        <f t="shared" ref="O99" si="311">+E99+H99+K99</f>
        <v>82.7</v>
      </c>
    </row>
    <row r="100" spans="2:15" ht="26.25" customHeight="1" x14ac:dyDescent="0.35">
      <c r="B100" s="37">
        <v>45223</v>
      </c>
      <c r="C100" s="38">
        <v>1</v>
      </c>
      <c r="D100" s="39">
        <v>82.7</v>
      </c>
      <c r="E100" s="40">
        <f t="shared" ref="E100" si="312">D100*C100</f>
        <v>82.7</v>
      </c>
      <c r="F100" s="43"/>
      <c r="G100" s="43"/>
      <c r="H100" s="40">
        <f t="shared" ref="H100" si="313">+G100*F100</f>
        <v>0</v>
      </c>
      <c r="I100" s="42"/>
      <c r="J100" s="43"/>
      <c r="K100" s="40">
        <f t="shared" ref="K100" si="314">+J100*I100</f>
        <v>0</v>
      </c>
      <c r="L100" s="42"/>
      <c r="M100" s="43"/>
      <c r="N100" s="40"/>
      <c r="O100" s="41">
        <f t="shared" ref="O100" si="315">+E100+H100+K100</f>
        <v>82.7</v>
      </c>
    </row>
    <row r="101" spans="2:15" ht="26.25" customHeight="1" x14ac:dyDescent="0.35">
      <c r="B101" s="37">
        <v>45224</v>
      </c>
      <c r="C101" s="38">
        <v>1</v>
      </c>
      <c r="D101" s="39">
        <v>82.7</v>
      </c>
      <c r="E101" s="40">
        <f t="shared" ref="E101" si="316">D101*C101</f>
        <v>82.7</v>
      </c>
      <c r="F101" s="43"/>
      <c r="G101" s="43"/>
      <c r="H101" s="40">
        <f t="shared" ref="H101" si="317">+G101*F101</f>
        <v>0</v>
      </c>
      <c r="I101" s="42"/>
      <c r="J101" s="43"/>
      <c r="K101" s="40">
        <f t="shared" ref="K101" si="318">+J101*I101</f>
        <v>0</v>
      </c>
      <c r="L101" s="42"/>
      <c r="M101" s="43"/>
      <c r="N101" s="40"/>
      <c r="O101" s="41">
        <f t="shared" ref="O101" si="319">+E101+H101+K101</f>
        <v>82.7</v>
      </c>
    </row>
    <row r="102" spans="2:15" ht="26.25" customHeight="1" x14ac:dyDescent="0.35">
      <c r="B102" s="37">
        <v>45225</v>
      </c>
      <c r="C102" s="38">
        <v>1</v>
      </c>
      <c r="D102" s="39">
        <v>82.7</v>
      </c>
      <c r="E102" s="40">
        <f t="shared" ref="E102" si="320">D102*C102</f>
        <v>82.7</v>
      </c>
      <c r="F102" s="43"/>
      <c r="G102" s="43"/>
      <c r="H102" s="40">
        <f t="shared" ref="H102" si="321">+G102*F102</f>
        <v>0</v>
      </c>
      <c r="I102" s="42"/>
      <c r="J102" s="43"/>
      <c r="K102" s="40">
        <f t="shared" ref="K102" si="322">+J102*I102</f>
        <v>0</v>
      </c>
      <c r="L102" s="42"/>
      <c r="M102" s="43"/>
      <c r="N102" s="40"/>
      <c r="O102" s="41">
        <f t="shared" ref="O102" si="323">+E102+H102+K102</f>
        <v>82.7</v>
      </c>
    </row>
    <row r="103" spans="2:15" ht="26.25" customHeight="1" x14ac:dyDescent="0.35">
      <c r="B103" s="37">
        <v>45226</v>
      </c>
      <c r="C103" s="38">
        <v>1</v>
      </c>
      <c r="D103" s="39">
        <v>82.7</v>
      </c>
      <c r="E103" s="40">
        <f t="shared" ref="E103" si="324">D103*C103</f>
        <v>82.7</v>
      </c>
      <c r="F103" s="43"/>
      <c r="G103" s="43"/>
      <c r="H103" s="40">
        <f t="shared" ref="H103" si="325">+G103*F103</f>
        <v>0</v>
      </c>
      <c r="I103" s="42"/>
      <c r="J103" s="43"/>
      <c r="K103" s="40">
        <f t="shared" ref="K103" si="326">+J103*I103</f>
        <v>0</v>
      </c>
      <c r="L103" s="42"/>
      <c r="M103" s="43"/>
      <c r="N103" s="40"/>
      <c r="O103" s="41">
        <f t="shared" ref="O103" si="327">+E103+H103+K103</f>
        <v>82.7</v>
      </c>
    </row>
    <row r="104" spans="2:15" ht="26.25" customHeight="1" x14ac:dyDescent="0.35">
      <c r="B104" s="37">
        <v>45229</v>
      </c>
      <c r="C104" s="38">
        <v>1</v>
      </c>
      <c r="D104" s="39">
        <v>82.7</v>
      </c>
      <c r="E104" s="40">
        <f t="shared" ref="E104" si="328">D104*C104</f>
        <v>82.7</v>
      </c>
      <c r="F104" s="43"/>
      <c r="G104" s="43"/>
      <c r="H104" s="40">
        <f t="shared" ref="H104" si="329">+G104*F104</f>
        <v>0</v>
      </c>
      <c r="I104" s="42"/>
      <c r="J104" s="43"/>
      <c r="K104" s="40">
        <f t="shared" ref="K104" si="330">+J104*I104</f>
        <v>0</v>
      </c>
      <c r="L104" s="42"/>
      <c r="M104" s="43"/>
      <c r="N104" s="40"/>
      <c r="O104" s="41">
        <f t="shared" ref="O104" si="331">+E104+H104+K104</f>
        <v>82.7</v>
      </c>
    </row>
    <row r="105" spans="2:15" ht="26.25" customHeight="1" x14ac:dyDescent="0.35">
      <c r="B105" s="37">
        <v>45230</v>
      </c>
      <c r="C105" s="38">
        <v>1</v>
      </c>
      <c r="D105" s="39">
        <v>82.7</v>
      </c>
      <c r="E105" s="40">
        <f t="shared" ref="E105" si="332">D105*C105</f>
        <v>82.7</v>
      </c>
      <c r="F105" s="43"/>
      <c r="G105" s="43"/>
      <c r="H105" s="40">
        <f t="shared" ref="H105" si="333">+G105*F105</f>
        <v>0</v>
      </c>
      <c r="I105" s="42"/>
      <c r="J105" s="43"/>
      <c r="K105" s="40">
        <f t="shared" ref="K105" si="334">+J105*I105</f>
        <v>0</v>
      </c>
      <c r="L105" s="42"/>
      <c r="M105" s="43"/>
      <c r="N105" s="40"/>
      <c r="O105" s="41">
        <f t="shared" ref="O105" si="335">+E105+H105+K105</f>
        <v>82.7</v>
      </c>
    </row>
    <row r="106" spans="2:15" ht="26.25" customHeight="1" x14ac:dyDescent="0.35">
      <c r="B106" s="37">
        <v>45231</v>
      </c>
      <c r="C106" s="38">
        <v>1</v>
      </c>
      <c r="D106" s="39">
        <v>82.7</v>
      </c>
      <c r="E106" s="40">
        <f t="shared" ref="E106" si="336">D106*C106</f>
        <v>82.7</v>
      </c>
      <c r="F106" s="43"/>
      <c r="G106" s="43"/>
      <c r="H106" s="40">
        <f t="shared" ref="H106" si="337">+G106*F106</f>
        <v>0</v>
      </c>
      <c r="I106" s="42"/>
      <c r="J106" s="43"/>
      <c r="K106" s="40">
        <f t="shared" ref="K106" si="338">+J106*I106</f>
        <v>0</v>
      </c>
      <c r="L106" s="42"/>
      <c r="M106" s="43"/>
      <c r="N106" s="40"/>
      <c r="O106" s="41">
        <f t="shared" ref="O106" si="339">+E106+H106+K106</f>
        <v>82.7</v>
      </c>
    </row>
    <row r="107" spans="2:15" ht="26.25" customHeight="1" x14ac:dyDescent="0.35">
      <c r="B107" s="37">
        <v>45232</v>
      </c>
      <c r="C107" s="38">
        <v>1</v>
      </c>
      <c r="D107" s="39">
        <v>82.7</v>
      </c>
      <c r="E107" s="40">
        <f t="shared" ref="E107" si="340">D107*C107</f>
        <v>82.7</v>
      </c>
      <c r="F107" s="43"/>
      <c r="G107" s="43"/>
      <c r="H107" s="40">
        <f t="shared" ref="H107" si="341">+G107*F107</f>
        <v>0</v>
      </c>
      <c r="I107" s="42"/>
      <c r="J107" s="43"/>
      <c r="K107" s="40">
        <f t="shared" ref="K107" si="342">+J107*I107</f>
        <v>0</v>
      </c>
      <c r="L107" s="42"/>
      <c r="M107" s="43"/>
      <c r="N107" s="40"/>
      <c r="O107" s="41">
        <f t="shared" ref="O107" si="343">+E107+H107+K107</f>
        <v>82.7</v>
      </c>
    </row>
    <row r="108" spans="2:15" ht="26.25" customHeight="1" x14ac:dyDescent="0.35">
      <c r="B108" s="37">
        <v>45233</v>
      </c>
      <c r="C108" s="38">
        <v>1</v>
      </c>
      <c r="D108" s="39">
        <v>82.7</v>
      </c>
      <c r="E108" s="40">
        <f t="shared" ref="E108" si="344">D108*C108</f>
        <v>82.7</v>
      </c>
      <c r="F108" s="43"/>
      <c r="G108" s="43"/>
      <c r="H108" s="40">
        <f t="shared" ref="H108" si="345">+G108*F108</f>
        <v>0</v>
      </c>
      <c r="I108" s="42"/>
      <c r="J108" s="43"/>
      <c r="K108" s="40">
        <f t="shared" ref="K108" si="346">+J108*I108</f>
        <v>0</v>
      </c>
      <c r="L108" s="42"/>
      <c r="M108" s="43"/>
      <c r="N108" s="40"/>
      <c r="O108" s="41">
        <f t="shared" ref="O108" si="347">+E108+H108+K108</f>
        <v>82.7</v>
      </c>
    </row>
    <row r="109" spans="2:15" ht="26.25" customHeight="1" x14ac:dyDescent="0.35">
      <c r="B109" s="37">
        <v>45237</v>
      </c>
      <c r="C109" s="38">
        <v>1</v>
      </c>
      <c r="D109" s="39">
        <v>82.7</v>
      </c>
      <c r="E109" s="40">
        <f t="shared" ref="E109" si="348">D109*C109</f>
        <v>82.7</v>
      </c>
      <c r="F109" s="43"/>
      <c r="G109" s="43"/>
      <c r="H109" s="40">
        <f t="shared" ref="H109" si="349">+G109*F109</f>
        <v>0</v>
      </c>
      <c r="I109" s="42"/>
      <c r="J109" s="43"/>
      <c r="K109" s="40">
        <f t="shared" ref="K109" si="350">+J109*I109</f>
        <v>0</v>
      </c>
      <c r="L109" s="42"/>
      <c r="M109" s="43"/>
      <c r="N109" s="40"/>
      <c r="O109" s="41">
        <f t="shared" ref="O109" si="351">+E109+H109+K109</f>
        <v>82.7</v>
      </c>
    </row>
    <row r="110" spans="2:15" ht="26.25" customHeight="1" x14ac:dyDescent="0.35">
      <c r="B110" s="37">
        <v>45238</v>
      </c>
      <c r="C110" s="38">
        <v>1</v>
      </c>
      <c r="D110" s="39">
        <v>82.7</v>
      </c>
      <c r="E110" s="40">
        <f t="shared" ref="E110" si="352">D110*C110</f>
        <v>82.7</v>
      </c>
      <c r="F110" s="43"/>
      <c r="G110" s="43"/>
      <c r="H110" s="40">
        <f t="shared" ref="H110" si="353">+G110*F110</f>
        <v>0</v>
      </c>
      <c r="I110" s="42"/>
      <c r="J110" s="43"/>
      <c r="K110" s="40">
        <f t="shared" ref="K110" si="354">+J110*I110</f>
        <v>0</v>
      </c>
      <c r="L110" s="42"/>
      <c r="M110" s="43"/>
      <c r="N110" s="40"/>
      <c r="O110" s="41">
        <f t="shared" ref="O110" si="355">+E110+H110+K110</f>
        <v>82.7</v>
      </c>
    </row>
    <row r="111" spans="2:15" ht="26.25" customHeight="1" x14ac:dyDescent="0.35">
      <c r="B111" s="37">
        <v>45239</v>
      </c>
      <c r="C111" s="38">
        <v>1</v>
      </c>
      <c r="D111" s="39">
        <v>82.7</v>
      </c>
      <c r="E111" s="40">
        <f t="shared" ref="E111" si="356">D111*C111</f>
        <v>82.7</v>
      </c>
      <c r="F111" s="43"/>
      <c r="G111" s="43"/>
      <c r="H111" s="40">
        <f t="shared" ref="H111" si="357">+G111*F111</f>
        <v>0</v>
      </c>
      <c r="I111" s="42"/>
      <c r="J111" s="43"/>
      <c r="K111" s="40">
        <f t="shared" ref="K111" si="358">+J111*I111</f>
        <v>0</v>
      </c>
      <c r="L111" s="42"/>
      <c r="M111" s="43"/>
      <c r="N111" s="40"/>
      <c r="O111" s="41">
        <f t="shared" ref="O111" si="359">+E111+H111+K111</f>
        <v>82.7</v>
      </c>
    </row>
    <row r="112" spans="2:15" ht="26.25" customHeight="1" x14ac:dyDescent="0.35">
      <c r="B112" s="37">
        <v>45240</v>
      </c>
      <c r="C112" s="38">
        <v>1</v>
      </c>
      <c r="D112" s="39">
        <v>82.7</v>
      </c>
      <c r="E112" s="40">
        <f t="shared" ref="E112" si="360">D112*C112</f>
        <v>82.7</v>
      </c>
      <c r="F112" s="43"/>
      <c r="G112" s="43"/>
      <c r="H112" s="40">
        <f t="shared" ref="H112" si="361">+G112*F112</f>
        <v>0</v>
      </c>
      <c r="I112" s="42"/>
      <c r="J112" s="43"/>
      <c r="K112" s="40">
        <f t="shared" ref="K112" si="362">+J112*I112</f>
        <v>0</v>
      </c>
      <c r="L112" s="42"/>
      <c r="M112" s="43"/>
      <c r="N112" s="40"/>
      <c r="O112" s="41">
        <f t="shared" ref="O112" si="363">+E112+H112+K112</f>
        <v>82.7</v>
      </c>
    </row>
    <row r="113" spans="2:15" ht="26.25" customHeight="1" x14ac:dyDescent="0.35">
      <c r="B113" s="37">
        <v>45243</v>
      </c>
      <c r="C113" s="38">
        <v>1</v>
      </c>
      <c r="D113" s="39">
        <v>82.7</v>
      </c>
      <c r="E113" s="40">
        <f t="shared" ref="E113" si="364">D113*C113</f>
        <v>82.7</v>
      </c>
      <c r="F113" s="43"/>
      <c r="G113" s="43"/>
      <c r="H113" s="40">
        <f t="shared" ref="H113" si="365">+G113*F113</f>
        <v>0</v>
      </c>
      <c r="I113" s="42"/>
      <c r="J113" s="43"/>
      <c r="K113" s="40">
        <f t="shared" ref="K113" si="366">+J113*I113</f>
        <v>0</v>
      </c>
      <c r="L113" s="42"/>
      <c r="M113" s="43"/>
      <c r="N113" s="40"/>
      <c r="O113" s="41">
        <f t="shared" ref="O113" si="367">+E113+H113+K113</f>
        <v>82.7</v>
      </c>
    </row>
    <row r="114" spans="2:15" ht="26.25" customHeight="1" x14ac:dyDescent="0.35">
      <c r="B114" s="37">
        <v>45244</v>
      </c>
      <c r="C114" s="38">
        <v>1</v>
      </c>
      <c r="D114" s="39">
        <v>82.7</v>
      </c>
      <c r="E114" s="40">
        <f t="shared" ref="E114" si="368">D114*C114</f>
        <v>82.7</v>
      </c>
      <c r="F114" s="43"/>
      <c r="G114" s="43"/>
      <c r="H114" s="40">
        <f t="shared" ref="H114" si="369">+G114*F114</f>
        <v>0</v>
      </c>
      <c r="I114" s="42"/>
      <c r="J114" s="43"/>
      <c r="K114" s="40">
        <f t="shared" ref="K114" si="370">+J114*I114</f>
        <v>0</v>
      </c>
      <c r="L114" s="42"/>
      <c r="M114" s="43"/>
      <c r="N114" s="40"/>
      <c r="O114" s="41">
        <f t="shared" ref="O114" si="371">+E114+H114+K114</f>
        <v>82.7</v>
      </c>
    </row>
    <row r="115" spans="2:15" ht="26.25" customHeight="1" x14ac:dyDescent="0.35">
      <c r="B115" s="37">
        <v>45245</v>
      </c>
      <c r="C115" s="38">
        <v>1</v>
      </c>
      <c r="D115" s="39">
        <v>82.7</v>
      </c>
      <c r="E115" s="40">
        <f t="shared" ref="E115" si="372">D115*C115</f>
        <v>82.7</v>
      </c>
      <c r="F115" s="43"/>
      <c r="G115" s="43"/>
      <c r="H115" s="40">
        <f t="shared" ref="H115" si="373">+G115*F115</f>
        <v>0</v>
      </c>
      <c r="I115" s="42"/>
      <c r="J115" s="43"/>
      <c r="K115" s="40">
        <f t="shared" ref="K115" si="374">+J115*I115</f>
        <v>0</v>
      </c>
      <c r="L115" s="42"/>
      <c r="M115" s="43"/>
      <c r="N115" s="40"/>
      <c r="O115" s="41">
        <f t="shared" ref="O115" si="375">+E115+H115+K115</f>
        <v>82.7</v>
      </c>
    </row>
    <row r="116" spans="2:15" ht="26.25" customHeight="1" x14ac:dyDescent="0.35">
      <c r="B116" s="37">
        <v>45246</v>
      </c>
      <c r="C116" s="38">
        <v>1</v>
      </c>
      <c r="D116" s="39">
        <v>82.7</v>
      </c>
      <c r="E116" s="40">
        <f t="shared" ref="E116" si="376">D116*C116</f>
        <v>82.7</v>
      </c>
      <c r="F116" s="43"/>
      <c r="G116" s="43"/>
      <c r="H116" s="40">
        <f t="shared" ref="H116" si="377">+G116*F116</f>
        <v>0</v>
      </c>
      <c r="I116" s="42"/>
      <c r="J116" s="43"/>
      <c r="K116" s="40">
        <f t="shared" ref="K116" si="378">+J116*I116</f>
        <v>0</v>
      </c>
      <c r="L116" s="42"/>
      <c r="M116" s="43"/>
      <c r="N116" s="40"/>
      <c r="O116" s="41">
        <f t="shared" ref="O116" si="379">+E116+H116+K116</f>
        <v>82.7</v>
      </c>
    </row>
    <row r="117" spans="2:15" ht="26.25" customHeight="1" x14ac:dyDescent="0.35">
      <c r="B117" s="37">
        <v>45247</v>
      </c>
      <c r="C117" s="38">
        <v>1</v>
      </c>
      <c r="D117" s="39">
        <v>82.7</v>
      </c>
      <c r="E117" s="40">
        <f t="shared" ref="E117" si="380">D117*C117</f>
        <v>82.7</v>
      </c>
      <c r="F117" s="43"/>
      <c r="G117" s="43"/>
      <c r="H117" s="40">
        <f t="shared" ref="H117" si="381">+G117*F117</f>
        <v>0</v>
      </c>
      <c r="I117" s="42"/>
      <c r="J117" s="43"/>
      <c r="K117" s="40">
        <f t="shared" ref="K117" si="382">+J117*I117</f>
        <v>0</v>
      </c>
      <c r="L117" s="42"/>
      <c r="M117" s="43"/>
      <c r="N117" s="40"/>
      <c r="O117" s="41">
        <f t="shared" ref="O117" si="383">+E117+H117+K117</f>
        <v>82.7</v>
      </c>
    </row>
    <row r="118" spans="2:15" ht="26.25" customHeight="1" x14ac:dyDescent="0.35">
      <c r="B118" s="37">
        <v>45250</v>
      </c>
      <c r="C118" s="38">
        <v>1</v>
      </c>
      <c r="D118" s="39">
        <v>82.7</v>
      </c>
      <c r="E118" s="40">
        <f t="shared" ref="E118" si="384">D118*C118</f>
        <v>82.7</v>
      </c>
      <c r="F118" s="43"/>
      <c r="G118" s="43"/>
      <c r="H118" s="40">
        <f t="shared" ref="H118" si="385">+G118*F118</f>
        <v>0</v>
      </c>
      <c r="I118" s="42"/>
      <c r="J118" s="43"/>
      <c r="K118" s="40">
        <f t="shared" ref="K118" si="386">+J118*I118</f>
        <v>0</v>
      </c>
      <c r="L118" s="42"/>
      <c r="M118" s="43"/>
      <c r="N118" s="40"/>
      <c r="O118" s="41">
        <f t="shared" ref="O118" si="387">+E118+H118+K118</f>
        <v>82.7</v>
      </c>
    </row>
    <row r="119" spans="2:15" ht="26.25" customHeight="1" x14ac:dyDescent="0.35">
      <c r="B119" s="37">
        <v>45251</v>
      </c>
      <c r="C119" s="38">
        <v>1</v>
      </c>
      <c r="D119" s="39">
        <v>82.7</v>
      </c>
      <c r="E119" s="40">
        <f t="shared" ref="E119" si="388">D119*C119</f>
        <v>82.7</v>
      </c>
      <c r="F119" s="43"/>
      <c r="G119" s="43"/>
      <c r="H119" s="40">
        <f t="shared" ref="H119" si="389">+G119*F119</f>
        <v>0</v>
      </c>
      <c r="I119" s="42"/>
      <c r="J119" s="43"/>
      <c r="K119" s="40">
        <f t="shared" ref="K119" si="390">+J119*I119</f>
        <v>0</v>
      </c>
      <c r="L119" s="42"/>
      <c r="M119" s="43"/>
      <c r="N119" s="40"/>
      <c r="O119" s="41">
        <f t="shared" ref="O119" si="391">+E119+H119+K119</f>
        <v>82.7</v>
      </c>
    </row>
    <row r="120" spans="2:15" ht="26.25" customHeight="1" x14ac:dyDescent="0.35">
      <c r="B120" s="37">
        <v>45252</v>
      </c>
      <c r="C120" s="38">
        <v>1</v>
      </c>
      <c r="D120" s="39">
        <v>82.7</v>
      </c>
      <c r="E120" s="40">
        <f t="shared" ref="E120" si="392">D120*C120</f>
        <v>82.7</v>
      </c>
      <c r="F120" s="43"/>
      <c r="G120" s="43"/>
      <c r="H120" s="40">
        <f t="shared" ref="H120" si="393">+G120*F120</f>
        <v>0</v>
      </c>
      <c r="I120" s="42"/>
      <c r="J120" s="43"/>
      <c r="K120" s="40">
        <f t="shared" ref="K120" si="394">+J120*I120</f>
        <v>0</v>
      </c>
      <c r="L120" s="42"/>
      <c r="M120" s="43"/>
      <c r="N120" s="40"/>
      <c r="O120" s="41">
        <f t="shared" ref="O120" si="395">+E120+H120+K120</f>
        <v>82.7</v>
      </c>
    </row>
    <row r="121" spans="2:15" ht="26.25" customHeight="1" x14ac:dyDescent="0.35">
      <c r="B121" s="37">
        <v>45253</v>
      </c>
      <c r="C121" s="38">
        <v>1</v>
      </c>
      <c r="D121" s="39">
        <v>82.7</v>
      </c>
      <c r="E121" s="40">
        <f t="shared" ref="E121" si="396">D121*C121</f>
        <v>82.7</v>
      </c>
      <c r="F121" s="43"/>
      <c r="G121" s="43"/>
      <c r="H121" s="40">
        <f t="shared" ref="H121" si="397">+G121*F121</f>
        <v>0</v>
      </c>
      <c r="I121" s="42"/>
      <c r="J121" s="43"/>
      <c r="K121" s="40">
        <f t="shared" ref="K121" si="398">+J121*I121</f>
        <v>0</v>
      </c>
      <c r="L121" s="42"/>
      <c r="M121" s="43"/>
      <c r="N121" s="40"/>
      <c r="O121" s="41">
        <f t="shared" ref="O121" si="399">+E121+H121+K121</f>
        <v>82.7</v>
      </c>
    </row>
    <row r="122" spans="2:15" ht="26.25" customHeight="1" x14ac:dyDescent="0.35">
      <c r="B122" s="37">
        <v>45254</v>
      </c>
      <c r="C122" s="38">
        <v>1</v>
      </c>
      <c r="D122" s="39">
        <v>82.7</v>
      </c>
      <c r="E122" s="40">
        <f t="shared" ref="E122" si="400">D122*C122</f>
        <v>82.7</v>
      </c>
      <c r="F122" s="43"/>
      <c r="G122" s="43"/>
      <c r="H122" s="40">
        <f t="shared" ref="H122" si="401">+G122*F122</f>
        <v>0</v>
      </c>
      <c r="I122" s="42"/>
      <c r="J122" s="43"/>
      <c r="K122" s="40">
        <f t="shared" ref="K122" si="402">+J122*I122</f>
        <v>0</v>
      </c>
      <c r="L122" s="42"/>
      <c r="M122" s="43"/>
      <c r="N122" s="40"/>
      <c r="O122" s="41">
        <f t="shared" ref="O122" si="403">+E122+H122+K122</f>
        <v>82.7</v>
      </c>
    </row>
    <row r="123" spans="2:15" ht="26.25" customHeight="1" x14ac:dyDescent="0.35">
      <c r="B123" s="37">
        <v>45257</v>
      </c>
      <c r="C123" s="38">
        <v>1</v>
      </c>
      <c r="D123" s="39">
        <v>82.7</v>
      </c>
      <c r="E123" s="40">
        <f t="shared" ref="E123" si="404">D123*C123</f>
        <v>82.7</v>
      </c>
      <c r="F123" s="43"/>
      <c r="G123" s="43"/>
      <c r="H123" s="40">
        <f t="shared" ref="H123" si="405">+G123*F123</f>
        <v>0</v>
      </c>
      <c r="I123" s="42"/>
      <c r="J123" s="43"/>
      <c r="K123" s="40">
        <f t="shared" ref="K123" si="406">+J123*I123</f>
        <v>0</v>
      </c>
      <c r="L123" s="42"/>
      <c r="M123" s="43"/>
      <c r="N123" s="40"/>
      <c r="O123" s="41">
        <f t="shared" ref="O123" si="407">+E123+H123+K123</f>
        <v>82.7</v>
      </c>
    </row>
    <row r="124" spans="2:15" ht="26.25" customHeight="1" x14ac:dyDescent="0.35">
      <c r="B124" s="37">
        <v>45258</v>
      </c>
      <c r="C124" s="38">
        <v>1</v>
      </c>
      <c r="D124" s="39">
        <v>82.7</v>
      </c>
      <c r="E124" s="40">
        <f t="shared" ref="E124" si="408">D124*C124</f>
        <v>82.7</v>
      </c>
      <c r="F124" s="43"/>
      <c r="G124" s="43"/>
      <c r="H124" s="40">
        <f t="shared" ref="H124" si="409">+G124*F124</f>
        <v>0</v>
      </c>
      <c r="I124" s="42"/>
      <c r="J124" s="43"/>
      <c r="K124" s="40">
        <f t="shared" ref="K124" si="410">+J124*I124</f>
        <v>0</v>
      </c>
      <c r="L124" s="42"/>
      <c r="M124" s="43"/>
      <c r="N124" s="40"/>
      <c r="O124" s="41">
        <f t="shared" ref="O124" si="411">+E124+H124+K124</f>
        <v>82.7</v>
      </c>
    </row>
    <row r="125" spans="2:15" ht="26.25" customHeight="1" x14ac:dyDescent="0.35">
      <c r="B125" s="37">
        <v>45259</v>
      </c>
      <c r="C125" s="38">
        <v>1</v>
      </c>
      <c r="D125" s="39">
        <v>82.7</v>
      </c>
      <c r="E125" s="40">
        <f t="shared" ref="E125" si="412">D125*C125</f>
        <v>82.7</v>
      </c>
      <c r="F125" s="43"/>
      <c r="G125" s="43"/>
      <c r="H125" s="40">
        <f t="shared" ref="H125" si="413">+G125*F125</f>
        <v>0</v>
      </c>
      <c r="I125" s="42"/>
      <c r="J125" s="43"/>
      <c r="K125" s="40">
        <f t="shared" ref="K125" si="414">+J125*I125</f>
        <v>0</v>
      </c>
      <c r="L125" s="42"/>
      <c r="M125" s="43"/>
      <c r="N125" s="40"/>
      <c r="O125" s="41">
        <f t="shared" ref="O125" si="415">+E125+H125+K125</f>
        <v>82.7</v>
      </c>
    </row>
    <row r="126" spans="2:15" ht="26.25" customHeight="1" x14ac:dyDescent="0.35">
      <c r="B126" s="37">
        <v>45260</v>
      </c>
      <c r="C126" s="38">
        <v>1</v>
      </c>
      <c r="D126" s="39">
        <v>82.7</v>
      </c>
      <c r="E126" s="40">
        <f t="shared" ref="E126" si="416">D126*C126</f>
        <v>82.7</v>
      </c>
      <c r="F126" s="43"/>
      <c r="G126" s="43"/>
      <c r="H126" s="40">
        <f t="shared" ref="H126" si="417">+G126*F126</f>
        <v>0</v>
      </c>
      <c r="I126" s="42"/>
      <c r="J126" s="43"/>
      <c r="K126" s="40">
        <f t="shared" ref="K126" si="418">+J126*I126</f>
        <v>0</v>
      </c>
      <c r="L126" s="42"/>
      <c r="M126" s="43"/>
      <c r="N126" s="40"/>
      <c r="O126" s="41">
        <f t="shared" ref="O126" si="419">+E126+H126+K126</f>
        <v>82.7</v>
      </c>
    </row>
    <row r="127" spans="2:15" ht="26.25" customHeight="1" x14ac:dyDescent="0.35">
      <c r="B127" s="37">
        <v>45261</v>
      </c>
      <c r="C127" s="38">
        <v>1</v>
      </c>
      <c r="D127" s="39">
        <v>82.7</v>
      </c>
      <c r="E127" s="40">
        <f t="shared" ref="E127" si="420">D127*C127</f>
        <v>82.7</v>
      </c>
      <c r="F127" s="43"/>
      <c r="G127" s="43"/>
      <c r="H127" s="40">
        <f t="shared" ref="H127" si="421">+G127*F127</f>
        <v>0</v>
      </c>
      <c r="I127" s="42"/>
      <c r="J127" s="43"/>
      <c r="K127" s="40">
        <f t="shared" ref="K127" si="422">+J127*I127</f>
        <v>0</v>
      </c>
      <c r="L127" s="42"/>
      <c r="M127" s="43"/>
      <c r="N127" s="40"/>
      <c r="O127" s="41">
        <f t="shared" ref="O127" si="423">+E127+H127+K127</f>
        <v>82.7</v>
      </c>
    </row>
    <row r="128" spans="2:15" ht="26.25" customHeight="1" x14ac:dyDescent="0.35">
      <c r="B128" s="37">
        <v>45264</v>
      </c>
      <c r="C128" s="38">
        <v>1</v>
      </c>
      <c r="D128" s="39">
        <v>82.7</v>
      </c>
      <c r="E128" s="40">
        <f t="shared" ref="E128" si="424">D128*C128</f>
        <v>82.7</v>
      </c>
      <c r="F128" s="43"/>
      <c r="G128" s="43"/>
      <c r="H128" s="40">
        <f t="shared" ref="H128" si="425">+G128*F128</f>
        <v>0</v>
      </c>
      <c r="I128" s="42"/>
      <c r="J128" s="43"/>
      <c r="K128" s="40">
        <f t="shared" ref="K128" si="426">+J128*I128</f>
        <v>0</v>
      </c>
      <c r="L128" s="42"/>
      <c r="M128" s="43"/>
      <c r="N128" s="40"/>
      <c r="O128" s="41">
        <f t="shared" ref="O128:O129" si="427">+E128+H128+K128</f>
        <v>82.7</v>
      </c>
    </row>
    <row r="129" spans="2:15" ht="26.25" customHeight="1" x14ac:dyDescent="0.35">
      <c r="B129" s="37">
        <v>45702</v>
      </c>
      <c r="C129" s="38"/>
      <c r="D129" s="39"/>
      <c r="E129" s="40">
        <f t="shared" ref="E129" si="428">D129*C129</f>
        <v>0</v>
      </c>
      <c r="F129" s="43"/>
      <c r="G129" s="43"/>
      <c r="H129" s="40">
        <f t="shared" ref="H129" si="429">+G129*F129</f>
        <v>0</v>
      </c>
      <c r="I129" s="42">
        <f>1171865.84/1000000</f>
        <v>1.1718658400000002</v>
      </c>
      <c r="J129" s="43">
        <v>12.335599999999999</v>
      </c>
      <c r="K129" s="40">
        <f t="shared" ref="K129:K134" si="430">J129*I129</f>
        <v>14.455668255904001</v>
      </c>
      <c r="L129" s="42"/>
      <c r="M129" s="43"/>
      <c r="N129" s="40"/>
      <c r="O129" s="41">
        <f t="shared" si="427"/>
        <v>14.455668255904001</v>
      </c>
    </row>
    <row r="130" spans="2:15" ht="26.25" customHeight="1" x14ac:dyDescent="0.35">
      <c r="B130" s="37">
        <v>45705</v>
      </c>
      <c r="C130" s="38"/>
      <c r="D130" s="39"/>
      <c r="E130" s="40">
        <f t="shared" ref="E130" si="431">D130*C130</f>
        <v>0</v>
      </c>
      <c r="F130" s="43"/>
      <c r="G130" s="43"/>
      <c r="H130" s="40">
        <f t="shared" ref="H130" si="432">+G130*F130</f>
        <v>0</v>
      </c>
      <c r="I130" s="42">
        <f>1171865.84/1000000</f>
        <v>1.1718658400000002</v>
      </c>
      <c r="J130" s="43">
        <v>12.3668</v>
      </c>
      <c r="K130" s="40">
        <f t="shared" si="430"/>
        <v>14.492230470112002</v>
      </c>
      <c r="L130" s="42"/>
      <c r="M130" s="43"/>
      <c r="N130" s="40"/>
      <c r="O130" s="41">
        <f t="shared" ref="O130" si="433">+E130+H130+K130</f>
        <v>14.492230470112002</v>
      </c>
    </row>
    <row r="131" spans="2:15" ht="26.25" customHeight="1" x14ac:dyDescent="0.35">
      <c r="B131" s="37">
        <v>45706</v>
      </c>
      <c r="C131" s="38"/>
      <c r="D131" s="39"/>
      <c r="E131" s="40">
        <f t="shared" ref="E131" si="434">D131*C131</f>
        <v>0</v>
      </c>
      <c r="F131" s="43"/>
      <c r="G131" s="43"/>
      <c r="H131" s="40">
        <f t="shared" ref="H131" si="435">+G131*F131</f>
        <v>0</v>
      </c>
      <c r="I131" s="42">
        <f>1251865.84/1000000</f>
        <v>1.25186584</v>
      </c>
      <c r="J131" s="43">
        <v>12.493499999999999</v>
      </c>
      <c r="K131" s="40">
        <f t="shared" si="430"/>
        <v>15.640185872039998</v>
      </c>
      <c r="L131" s="42"/>
      <c r="M131" s="43"/>
      <c r="N131" s="40"/>
      <c r="O131" s="41">
        <f t="shared" ref="O131" si="436">+E131+H131+K131</f>
        <v>15.640185872039998</v>
      </c>
    </row>
    <row r="132" spans="2:15" ht="26.25" customHeight="1" x14ac:dyDescent="0.35">
      <c r="B132" s="37">
        <v>45707</v>
      </c>
      <c r="C132" s="38"/>
      <c r="D132" s="39"/>
      <c r="E132" s="40">
        <f t="shared" ref="E132" si="437">D132*C132</f>
        <v>0</v>
      </c>
      <c r="F132" s="43"/>
      <c r="G132" s="43"/>
      <c r="H132" s="40">
        <f t="shared" ref="H132" si="438">+G132*F132</f>
        <v>0</v>
      </c>
      <c r="I132" s="42">
        <f>225022.96/1000000</f>
        <v>0.22502295999999999</v>
      </c>
      <c r="J132" s="43">
        <v>12.416700000000001</v>
      </c>
      <c r="K132" s="40">
        <f t="shared" si="430"/>
        <v>2.7940425874320001</v>
      </c>
      <c r="L132" s="42"/>
      <c r="M132" s="43"/>
      <c r="N132" s="40"/>
      <c r="O132" s="41">
        <f t="shared" ref="O132" si="439">+E132+H132+K132</f>
        <v>2.7940425874320001</v>
      </c>
    </row>
    <row r="133" spans="2:15" ht="26.25" customHeight="1" x14ac:dyDescent="0.35">
      <c r="B133" s="37">
        <v>45708</v>
      </c>
      <c r="C133" s="38"/>
      <c r="D133" s="39"/>
      <c r="E133" s="40">
        <f t="shared" ref="E133" si="440">D133*C133</f>
        <v>0</v>
      </c>
      <c r="F133" s="43"/>
      <c r="G133" s="43"/>
      <c r="H133" s="40">
        <f t="shared" ref="H133" si="441">+G133*F133</f>
        <v>0</v>
      </c>
      <c r="I133" s="42"/>
      <c r="J133" s="43"/>
      <c r="K133" s="40">
        <f t="shared" si="430"/>
        <v>0</v>
      </c>
      <c r="L133" s="42"/>
      <c r="M133" s="43"/>
      <c r="N133" s="40"/>
      <c r="O133" s="41">
        <f t="shared" ref="O133" si="442">+E133+H133+K133</f>
        <v>0</v>
      </c>
    </row>
    <row r="134" spans="2:15" ht="26.25" customHeight="1" x14ac:dyDescent="0.35">
      <c r="B134" s="37">
        <v>45723</v>
      </c>
      <c r="C134" s="38"/>
      <c r="D134" s="39"/>
      <c r="E134" s="40">
        <f t="shared" ref="E134" si="443">D134*C134</f>
        <v>0</v>
      </c>
      <c r="F134" s="43"/>
      <c r="G134" s="43"/>
      <c r="H134" s="40">
        <f t="shared" ref="H134" si="444">+G134*F134</f>
        <v>0</v>
      </c>
      <c r="I134" s="42">
        <f t="shared" ref="I134:I140" si="445">1026842.88/1000000</f>
        <v>1.02684288</v>
      </c>
      <c r="J134" s="43">
        <v>12.289199999999999</v>
      </c>
      <c r="K134" s="40">
        <f t="shared" si="430"/>
        <v>12.619077520895999</v>
      </c>
      <c r="L134" s="42"/>
      <c r="M134" s="43"/>
      <c r="N134" s="40"/>
      <c r="O134" s="41">
        <f t="shared" ref="O134" si="446">+E134+H134+K134</f>
        <v>12.619077520895999</v>
      </c>
    </row>
    <row r="135" spans="2:15" ht="26.25" customHeight="1" x14ac:dyDescent="0.35">
      <c r="B135" s="37">
        <v>45726</v>
      </c>
      <c r="C135" s="38"/>
      <c r="D135" s="39"/>
      <c r="E135" s="40">
        <f t="shared" ref="E135" si="447">D135*C135</f>
        <v>0</v>
      </c>
      <c r="F135" s="43"/>
      <c r="G135" s="43"/>
      <c r="H135" s="40">
        <f t="shared" ref="H135" si="448">+G135*F135</f>
        <v>0</v>
      </c>
      <c r="I135" s="42">
        <f t="shared" si="445"/>
        <v>1.02684288</v>
      </c>
      <c r="J135" s="43">
        <v>12.2387</v>
      </c>
      <c r="K135" s="40">
        <f t="shared" ref="K135" si="449">J135*I135</f>
        <v>12.567221955456001</v>
      </c>
      <c r="L135" s="42"/>
      <c r="M135" s="43"/>
      <c r="N135" s="40"/>
      <c r="O135" s="41">
        <f t="shared" ref="O135" si="450">+E135+H135+K135</f>
        <v>12.567221955456001</v>
      </c>
    </row>
    <row r="136" spans="2:15" ht="26.25" customHeight="1" x14ac:dyDescent="0.35">
      <c r="B136" s="37">
        <v>45727</v>
      </c>
      <c r="C136" s="38"/>
      <c r="D136" s="39"/>
      <c r="E136" s="40">
        <f t="shared" ref="E136" si="451">D136*C136</f>
        <v>0</v>
      </c>
      <c r="F136" s="43"/>
      <c r="G136" s="43"/>
      <c r="H136" s="40">
        <f t="shared" ref="H136" si="452">+G136*F136</f>
        <v>0</v>
      </c>
      <c r="I136" s="42">
        <f t="shared" si="445"/>
        <v>1.02684288</v>
      </c>
      <c r="J136" s="43">
        <v>12.079800000000001</v>
      </c>
      <c r="K136" s="40">
        <f t="shared" ref="K136" si="453">J136*I136</f>
        <v>12.404056621824001</v>
      </c>
      <c r="L136" s="42"/>
      <c r="M136" s="43"/>
      <c r="N136" s="40"/>
      <c r="O136" s="41">
        <f t="shared" ref="O136" si="454">+E136+H136+K136</f>
        <v>12.404056621824001</v>
      </c>
    </row>
    <row r="137" spans="2:15" ht="26.25" customHeight="1" x14ac:dyDescent="0.35">
      <c r="B137" s="37">
        <v>45728</v>
      </c>
      <c r="C137" s="38"/>
      <c r="D137" s="39"/>
      <c r="E137" s="40">
        <f t="shared" ref="E137" si="455">D137*C137</f>
        <v>0</v>
      </c>
      <c r="F137" s="43"/>
      <c r="G137" s="43"/>
      <c r="H137" s="40">
        <f t="shared" ref="H137" si="456">+G137*F137</f>
        <v>0</v>
      </c>
      <c r="I137" s="42">
        <f t="shared" si="445"/>
        <v>1.02684288</v>
      </c>
      <c r="J137" s="43">
        <v>11.845800000000001</v>
      </c>
      <c r="K137" s="40">
        <f t="shared" ref="K137" si="457">J137*I137</f>
        <v>12.163775387904002</v>
      </c>
      <c r="L137" s="42"/>
      <c r="M137" s="43"/>
      <c r="N137" s="40"/>
      <c r="O137" s="41">
        <f t="shared" ref="O137" si="458">+E137+H137+K137</f>
        <v>12.163775387904002</v>
      </c>
    </row>
    <row r="138" spans="2:15" ht="26.25" customHeight="1" x14ac:dyDescent="0.35">
      <c r="B138" s="37">
        <v>45729</v>
      </c>
      <c r="C138" s="38"/>
      <c r="D138" s="39"/>
      <c r="E138" s="40">
        <f t="shared" ref="E138" si="459">D138*C138</f>
        <v>0</v>
      </c>
      <c r="F138" s="43"/>
      <c r="G138" s="43"/>
      <c r="H138" s="40">
        <f t="shared" ref="H138" si="460">+G138*F138</f>
        <v>0</v>
      </c>
      <c r="I138" s="42">
        <f t="shared" si="445"/>
        <v>1.02684288</v>
      </c>
      <c r="J138" s="43">
        <v>11.924200000000001</v>
      </c>
      <c r="K138" s="40">
        <f t="shared" ref="K138" si="461">J138*I138</f>
        <v>12.244279869696001</v>
      </c>
      <c r="L138" s="42"/>
      <c r="M138" s="43"/>
      <c r="N138" s="40"/>
      <c r="O138" s="41">
        <f t="shared" ref="O138" si="462">+E138+H138+K138</f>
        <v>12.244279869696001</v>
      </c>
    </row>
    <row r="139" spans="2:15" ht="26.25" customHeight="1" x14ac:dyDescent="0.35">
      <c r="B139" s="37">
        <v>45730</v>
      </c>
      <c r="C139" s="38"/>
      <c r="D139" s="39"/>
      <c r="E139" s="40">
        <f t="shared" ref="E139" si="463">D139*C139</f>
        <v>0</v>
      </c>
      <c r="F139" s="43"/>
      <c r="G139" s="43"/>
      <c r="H139" s="40">
        <f t="shared" ref="H139" si="464">+G139*F139</f>
        <v>0</v>
      </c>
      <c r="I139" s="42">
        <f t="shared" si="445"/>
        <v>1.02684288</v>
      </c>
      <c r="J139" s="43">
        <v>11.872999999999999</v>
      </c>
      <c r="K139" s="40">
        <f t="shared" ref="K139" si="465">J139*I139</f>
        <v>12.191705514239999</v>
      </c>
      <c r="L139" s="42"/>
      <c r="M139" s="43"/>
      <c r="N139" s="40"/>
      <c r="O139" s="41">
        <f t="shared" ref="O139" si="466">+E139+H139+K139</f>
        <v>12.191705514239999</v>
      </c>
    </row>
    <row r="140" spans="2:15" ht="26.25" customHeight="1" x14ac:dyDescent="0.35">
      <c r="B140" s="37">
        <v>45733</v>
      </c>
      <c r="C140" s="38"/>
      <c r="D140" s="39"/>
      <c r="E140" s="40">
        <f t="shared" ref="E140" si="467">D140*C140</f>
        <v>0</v>
      </c>
      <c r="F140" s="43"/>
      <c r="G140" s="43"/>
      <c r="H140" s="40">
        <f t="shared" ref="H140" si="468">+G140*F140</f>
        <v>0</v>
      </c>
      <c r="I140" s="42">
        <f t="shared" si="445"/>
        <v>1.02684288</v>
      </c>
      <c r="J140" s="43">
        <v>11.816700000000001</v>
      </c>
      <c r="K140" s="40">
        <f t="shared" ref="K140" si="469">J140*I140</f>
        <v>12.133894260096001</v>
      </c>
      <c r="L140" s="42"/>
      <c r="M140" s="43"/>
      <c r="N140" s="40"/>
      <c r="O140" s="41">
        <f t="shared" ref="O140" si="470">+E140+H140+K140</f>
        <v>12.133894260096001</v>
      </c>
    </row>
    <row r="141" spans="2:15" ht="26.25" customHeight="1" x14ac:dyDescent="0.35">
      <c r="B141" s="37">
        <v>45734</v>
      </c>
      <c r="C141" s="38"/>
      <c r="D141" s="39"/>
      <c r="E141" s="40">
        <f t="shared" ref="E141" si="471">D141*C141</f>
        <v>0</v>
      </c>
      <c r="F141" s="43"/>
      <c r="G141" s="43"/>
      <c r="H141" s="40">
        <f t="shared" ref="H141" si="472">+G141*F141</f>
        <v>0</v>
      </c>
      <c r="I141" s="42"/>
      <c r="J141" s="43"/>
      <c r="K141" s="40">
        <f t="shared" ref="K141:K142" si="473">J141*I141</f>
        <v>0</v>
      </c>
      <c r="L141" s="42"/>
      <c r="M141" s="43"/>
      <c r="N141" s="40"/>
      <c r="O141" s="41">
        <f t="shared" ref="O141" si="474">+E141+H141+K141</f>
        <v>0</v>
      </c>
    </row>
    <row r="142" spans="2:15" ht="26.25" customHeight="1" x14ac:dyDescent="0.35">
      <c r="B142" s="37">
        <v>45747</v>
      </c>
      <c r="C142" s="38"/>
      <c r="D142" s="39"/>
      <c r="E142" s="40">
        <f t="shared" ref="E142" si="475">D142*C142</f>
        <v>0</v>
      </c>
      <c r="F142" s="43"/>
      <c r="G142" s="43"/>
      <c r="H142" s="40">
        <f t="shared" ref="H142" si="476">+G142*F142</f>
        <v>0</v>
      </c>
      <c r="I142" s="42">
        <f t="shared" ref="I142:I231" si="477">1099137.93/1000000</f>
        <v>1.0991379299999999</v>
      </c>
      <c r="J142" s="43">
        <v>11.4575</v>
      </c>
      <c r="K142" s="40">
        <f t="shared" si="473"/>
        <v>12.593372832974998</v>
      </c>
      <c r="L142" s="42"/>
      <c r="M142" s="43"/>
      <c r="N142" s="40"/>
      <c r="O142" s="41">
        <f t="shared" ref="O142" si="478">+E142+H142+K142</f>
        <v>12.593372832974998</v>
      </c>
    </row>
    <row r="143" spans="2:15" ht="26.25" customHeight="1" x14ac:dyDescent="0.35">
      <c r="B143" s="37">
        <v>45748</v>
      </c>
      <c r="C143" s="38"/>
      <c r="D143" s="39"/>
      <c r="E143" s="40">
        <f t="shared" ref="E143" si="479">D143*C143</f>
        <v>0</v>
      </c>
      <c r="F143" s="43"/>
      <c r="G143" s="43"/>
      <c r="H143" s="40">
        <f t="shared" ref="H143" si="480">+G143*F143</f>
        <v>0</v>
      </c>
      <c r="I143" s="42">
        <f t="shared" si="477"/>
        <v>1.0991379299999999</v>
      </c>
      <c r="J143" s="43">
        <v>11.7136</v>
      </c>
      <c r="K143" s="40">
        <f t="shared" ref="K143" si="481">J143*I143</f>
        <v>12.874862056847999</v>
      </c>
      <c r="L143" s="42"/>
      <c r="M143" s="43"/>
      <c r="N143" s="40"/>
      <c r="O143" s="41">
        <f t="shared" ref="O143" si="482">+E143+H143+K143</f>
        <v>12.874862056847999</v>
      </c>
    </row>
    <row r="144" spans="2:15" ht="26.25" customHeight="1" x14ac:dyDescent="0.35">
      <c r="B144" s="37">
        <v>45749</v>
      </c>
      <c r="C144" s="38"/>
      <c r="D144" s="39"/>
      <c r="E144" s="40">
        <f t="shared" ref="E144" si="483">D144*C144</f>
        <v>0</v>
      </c>
      <c r="F144" s="43"/>
      <c r="G144" s="43"/>
      <c r="H144" s="40">
        <f t="shared" ref="H144" si="484">+G144*F144</f>
        <v>0</v>
      </c>
      <c r="I144" s="42">
        <f t="shared" si="477"/>
        <v>1.0991379299999999</v>
      </c>
      <c r="J144" s="43">
        <v>11.6029</v>
      </c>
      <c r="K144" s="40">
        <f t="shared" ref="K144" si="485">J144*I144</f>
        <v>12.753187487997</v>
      </c>
      <c r="L144" s="42"/>
      <c r="M144" s="43"/>
      <c r="N144" s="40"/>
      <c r="O144" s="41">
        <f t="shared" ref="O144" si="486">+E144+H144+K144</f>
        <v>12.753187487997</v>
      </c>
    </row>
    <row r="145" spans="2:15" ht="26.25" customHeight="1" x14ac:dyDescent="0.35">
      <c r="B145" s="37">
        <v>45750</v>
      </c>
      <c r="C145" s="38"/>
      <c r="D145" s="39"/>
      <c r="E145" s="40">
        <f t="shared" ref="E145" si="487">D145*C145</f>
        <v>0</v>
      </c>
      <c r="F145" s="43"/>
      <c r="G145" s="43"/>
      <c r="H145" s="40">
        <f t="shared" ref="H145" si="488">+G145*F145</f>
        <v>0</v>
      </c>
      <c r="I145" s="42">
        <f t="shared" si="477"/>
        <v>1.0991379299999999</v>
      </c>
      <c r="J145" s="43">
        <v>11.5258</v>
      </c>
      <c r="K145" s="40">
        <f t="shared" ref="K145" si="489">J145*I145</f>
        <v>12.668443953594</v>
      </c>
      <c r="L145" s="42"/>
      <c r="M145" s="43"/>
      <c r="N145" s="40"/>
      <c r="O145" s="41">
        <f t="shared" ref="O145" si="490">+E145+H145+K145</f>
        <v>12.668443953594</v>
      </c>
    </row>
    <row r="146" spans="2:15" ht="26.25" customHeight="1" x14ac:dyDescent="0.35">
      <c r="B146" s="37">
        <v>45751</v>
      </c>
      <c r="C146" s="38"/>
      <c r="D146" s="39"/>
      <c r="E146" s="40">
        <f t="shared" ref="E146" si="491">D146*C146</f>
        <v>0</v>
      </c>
      <c r="F146" s="43"/>
      <c r="G146" s="43"/>
      <c r="H146" s="40">
        <f t="shared" ref="H146" si="492">+G146*F146</f>
        <v>0</v>
      </c>
      <c r="I146" s="42">
        <f t="shared" si="477"/>
        <v>1.0991379299999999</v>
      </c>
      <c r="J146" s="43">
        <v>11.4818</v>
      </c>
      <c r="K146" s="40">
        <f t="shared" ref="K146" si="493">J146*I146</f>
        <v>12.620081884673999</v>
      </c>
      <c r="L146" s="42"/>
      <c r="M146" s="43"/>
      <c r="N146" s="40"/>
      <c r="O146" s="41">
        <f t="shared" ref="O146" si="494">+E146+H146+K146</f>
        <v>12.620081884673999</v>
      </c>
    </row>
    <row r="147" spans="2:15" ht="26.25" customHeight="1" x14ac:dyDescent="0.35">
      <c r="B147" s="37">
        <v>45754</v>
      </c>
      <c r="C147" s="38"/>
      <c r="D147" s="39"/>
      <c r="E147" s="40">
        <f t="shared" ref="E147" si="495">D147*C147</f>
        <v>0</v>
      </c>
      <c r="F147" s="43"/>
      <c r="G147" s="43"/>
      <c r="H147" s="40">
        <f t="shared" ref="H147" si="496">+G147*F147</f>
        <v>0</v>
      </c>
      <c r="I147" s="42">
        <f t="shared" si="477"/>
        <v>1.0991379299999999</v>
      </c>
      <c r="J147" s="43">
        <v>11.6044</v>
      </c>
      <c r="K147" s="40">
        <f t="shared" ref="K147" si="497">J147*I147</f>
        <v>12.754836194891999</v>
      </c>
      <c r="L147" s="42"/>
      <c r="M147" s="43"/>
      <c r="N147" s="40"/>
      <c r="O147" s="41">
        <f t="shared" ref="O147" si="498">+E147+H147+K147</f>
        <v>12.754836194891999</v>
      </c>
    </row>
    <row r="148" spans="2:15" ht="26.25" customHeight="1" x14ac:dyDescent="0.35">
      <c r="B148" s="37">
        <v>45755</v>
      </c>
      <c r="C148" s="38"/>
      <c r="D148" s="39"/>
      <c r="E148" s="40">
        <f t="shared" ref="E148" si="499">D148*C148</f>
        <v>0</v>
      </c>
      <c r="F148" s="43"/>
      <c r="G148" s="43"/>
      <c r="H148" s="40">
        <f t="shared" ref="H148" si="500">+G148*F148</f>
        <v>0</v>
      </c>
      <c r="I148" s="42">
        <f t="shared" si="477"/>
        <v>1.0991379299999999</v>
      </c>
      <c r="J148" s="43">
        <v>11.7286</v>
      </c>
      <c r="K148" s="40">
        <f t="shared" ref="K148" si="501">J148*I148</f>
        <v>12.891349125798</v>
      </c>
      <c r="L148" s="42"/>
      <c r="M148" s="43"/>
      <c r="N148" s="40"/>
      <c r="O148" s="41">
        <f t="shared" ref="O148" si="502">+E148+H148+K148</f>
        <v>12.891349125798</v>
      </c>
    </row>
    <row r="149" spans="2:15" ht="26.25" customHeight="1" x14ac:dyDescent="0.35">
      <c r="B149" s="37">
        <v>45756</v>
      </c>
      <c r="C149" s="38"/>
      <c r="D149" s="39"/>
      <c r="E149" s="40">
        <f t="shared" ref="E149" si="503">D149*C149</f>
        <v>0</v>
      </c>
      <c r="F149" s="43"/>
      <c r="G149" s="43"/>
      <c r="H149" s="40">
        <f t="shared" ref="H149" si="504">+G149*F149</f>
        <v>0</v>
      </c>
      <c r="I149" s="42">
        <f t="shared" si="477"/>
        <v>1.0991379299999999</v>
      </c>
      <c r="J149" s="43">
        <v>11.5664</v>
      </c>
      <c r="K149" s="40">
        <f t="shared" ref="K149" si="505">J149*I149</f>
        <v>12.713068953552</v>
      </c>
      <c r="L149" s="42"/>
      <c r="M149" s="43"/>
      <c r="N149" s="40"/>
      <c r="O149" s="41">
        <f t="shared" ref="O149" si="506">+E149+H149+K149</f>
        <v>12.713068953552</v>
      </c>
    </row>
    <row r="150" spans="2:15" ht="26.25" customHeight="1" x14ac:dyDescent="0.35">
      <c r="B150" s="37">
        <v>45757</v>
      </c>
      <c r="C150" s="38"/>
      <c r="D150" s="39"/>
      <c r="E150" s="40">
        <f t="shared" ref="E150" si="507">D150*C150</f>
        <v>0</v>
      </c>
      <c r="F150" s="43"/>
      <c r="G150" s="43"/>
      <c r="H150" s="40">
        <f t="shared" ref="H150" si="508">+G150*F150</f>
        <v>0</v>
      </c>
      <c r="I150" s="42">
        <f t="shared" si="477"/>
        <v>1.0991379299999999</v>
      </c>
      <c r="J150" s="43">
        <v>11.635199999999999</v>
      </c>
      <c r="K150" s="40">
        <f t="shared" ref="K150" si="509">J150*I150</f>
        <v>12.788689643135999</v>
      </c>
      <c r="L150" s="42"/>
      <c r="M150" s="43"/>
      <c r="N150" s="40"/>
      <c r="O150" s="41">
        <f t="shared" ref="O150" si="510">+E150+H150+K150</f>
        <v>12.788689643135999</v>
      </c>
    </row>
    <row r="151" spans="2:15" ht="26.25" customHeight="1" x14ac:dyDescent="0.35">
      <c r="B151" s="37">
        <v>45758</v>
      </c>
      <c r="C151" s="38"/>
      <c r="D151" s="39"/>
      <c r="E151" s="40">
        <f t="shared" ref="E151" si="511">D151*C151</f>
        <v>0</v>
      </c>
      <c r="F151" s="43"/>
      <c r="G151" s="43"/>
      <c r="H151" s="40">
        <f t="shared" ref="H151" si="512">+G151*F151</f>
        <v>0</v>
      </c>
      <c r="I151" s="42">
        <f t="shared" si="477"/>
        <v>1.0991379299999999</v>
      </c>
      <c r="J151" s="43">
        <v>11.5336</v>
      </c>
      <c r="K151" s="40">
        <f t="shared" ref="K151" si="513">J151*I151</f>
        <v>12.677017229447999</v>
      </c>
      <c r="L151" s="42"/>
      <c r="M151" s="43"/>
      <c r="N151" s="40"/>
      <c r="O151" s="41">
        <f t="shared" ref="O151" si="514">+E151+H151+K151</f>
        <v>12.677017229447999</v>
      </c>
    </row>
    <row r="152" spans="2:15" ht="26.25" customHeight="1" x14ac:dyDescent="0.35">
      <c r="B152" s="37">
        <v>45761</v>
      </c>
      <c r="C152" s="38"/>
      <c r="D152" s="39"/>
      <c r="E152" s="40">
        <f t="shared" ref="E152" si="515">D152*C152</f>
        <v>0</v>
      </c>
      <c r="F152" s="43"/>
      <c r="G152" s="43"/>
      <c r="H152" s="40">
        <f t="shared" ref="H152" si="516">+G152*F152</f>
        <v>0</v>
      </c>
      <c r="I152" s="42">
        <f t="shared" si="477"/>
        <v>1.0991379299999999</v>
      </c>
      <c r="J152" s="43">
        <v>11.447100000000001</v>
      </c>
      <c r="K152" s="40">
        <f t="shared" ref="K152" si="517">J152*I152</f>
        <v>12.581941798502999</v>
      </c>
      <c r="L152" s="42"/>
      <c r="M152" s="43"/>
      <c r="N152" s="40"/>
      <c r="O152" s="41">
        <f t="shared" ref="O152" si="518">+E152+H152+K152</f>
        <v>12.581941798502999</v>
      </c>
    </row>
    <row r="153" spans="2:15" ht="26.25" customHeight="1" x14ac:dyDescent="0.35">
      <c r="B153" s="37">
        <v>45762</v>
      </c>
      <c r="C153" s="38"/>
      <c r="D153" s="39"/>
      <c r="E153" s="40">
        <f t="shared" ref="E153" si="519">D153*C153</f>
        <v>0</v>
      </c>
      <c r="F153" s="43"/>
      <c r="G153" s="43"/>
      <c r="H153" s="40">
        <f t="shared" ref="H153" si="520">+G153*F153</f>
        <v>0</v>
      </c>
      <c r="I153" s="42">
        <f t="shared" si="477"/>
        <v>1.0991379299999999</v>
      </c>
      <c r="J153" s="43">
        <v>11.227399999999999</v>
      </c>
      <c r="K153" s="40">
        <f t="shared" ref="K153" si="521">J153*I153</f>
        <v>12.340461195281998</v>
      </c>
      <c r="L153" s="42"/>
      <c r="M153" s="43"/>
      <c r="N153" s="40"/>
      <c r="O153" s="41">
        <f t="shared" ref="O153" si="522">+E153+H153+K153</f>
        <v>12.340461195281998</v>
      </c>
    </row>
    <row r="154" spans="2:15" ht="26.25" customHeight="1" x14ac:dyDescent="0.35">
      <c r="B154" s="37">
        <v>45763</v>
      </c>
      <c r="C154" s="38"/>
      <c r="D154" s="39"/>
      <c r="E154" s="40">
        <f t="shared" ref="E154" si="523">D154*C154</f>
        <v>0</v>
      </c>
      <c r="F154" s="43"/>
      <c r="G154" s="43"/>
      <c r="H154" s="40">
        <f t="shared" ref="H154" si="524">+G154*F154</f>
        <v>0</v>
      </c>
      <c r="I154" s="42">
        <f t="shared" si="477"/>
        <v>1.0991379299999999</v>
      </c>
      <c r="J154" s="43">
        <v>11.164</v>
      </c>
      <c r="K154" s="40">
        <f t="shared" ref="K154" si="525">J154*I154</f>
        <v>12.27077585052</v>
      </c>
      <c r="L154" s="42"/>
      <c r="M154" s="43"/>
      <c r="N154" s="40"/>
      <c r="O154" s="41">
        <f t="shared" ref="O154" si="526">+E154+H154+K154</f>
        <v>12.27077585052</v>
      </c>
    </row>
    <row r="155" spans="2:15" ht="26.25" customHeight="1" x14ac:dyDescent="0.35">
      <c r="B155" s="37">
        <v>45764</v>
      </c>
      <c r="C155" s="38"/>
      <c r="D155" s="39"/>
      <c r="E155" s="40">
        <f t="shared" ref="E155" si="527">D155*C155</f>
        <v>0</v>
      </c>
      <c r="F155" s="43"/>
      <c r="G155" s="43"/>
      <c r="H155" s="40">
        <f t="shared" ref="H155" si="528">+G155*F155</f>
        <v>0</v>
      </c>
      <c r="I155" s="42">
        <f t="shared" si="477"/>
        <v>1.0991379299999999</v>
      </c>
      <c r="J155" s="43">
        <v>11.2812</v>
      </c>
      <c r="K155" s="40">
        <f t="shared" ref="K155" si="529">J155*I155</f>
        <v>12.399594815916</v>
      </c>
      <c r="L155" s="42"/>
      <c r="M155" s="43"/>
      <c r="N155" s="40"/>
      <c r="O155" s="41">
        <f t="shared" ref="O155" si="530">+E155+H155+K155</f>
        <v>12.399594815916</v>
      </c>
    </row>
    <row r="156" spans="2:15" ht="26.25" customHeight="1" x14ac:dyDescent="0.35">
      <c r="B156" s="37">
        <v>45765</v>
      </c>
      <c r="C156" s="38"/>
      <c r="D156" s="39"/>
      <c r="E156" s="40">
        <f t="shared" ref="E156" si="531">D156*C156</f>
        <v>0</v>
      </c>
      <c r="F156" s="43"/>
      <c r="G156" s="43"/>
      <c r="H156" s="40">
        <f t="shared" ref="H156" si="532">+G156*F156</f>
        <v>0</v>
      </c>
      <c r="I156" s="42">
        <f t="shared" si="477"/>
        <v>1.0991379299999999</v>
      </c>
      <c r="J156" s="43">
        <v>11.1915</v>
      </c>
      <c r="K156" s="40">
        <f t="shared" ref="K156" si="533">J156*I156</f>
        <v>12.301002143594999</v>
      </c>
      <c r="L156" s="42"/>
      <c r="M156" s="43"/>
      <c r="N156" s="40"/>
      <c r="O156" s="41">
        <f t="shared" ref="O156" si="534">+E156+H156+K156</f>
        <v>12.301002143594999</v>
      </c>
    </row>
    <row r="157" spans="2:15" ht="26.25" customHeight="1" x14ac:dyDescent="0.35">
      <c r="B157" s="37">
        <v>45768</v>
      </c>
      <c r="C157" s="38"/>
      <c r="D157" s="39"/>
      <c r="E157" s="40">
        <f t="shared" ref="E157" si="535">D157*C157</f>
        <v>0</v>
      </c>
      <c r="F157" s="43"/>
      <c r="G157" s="43"/>
      <c r="H157" s="40">
        <f t="shared" ref="H157" si="536">+G157*F157</f>
        <v>0</v>
      </c>
      <c r="I157" s="42">
        <f t="shared" si="477"/>
        <v>1.0991379299999999</v>
      </c>
      <c r="J157" s="43">
        <v>11.088900000000001</v>
      </c>
      <c r="K157" s="40">
        <f t="shared" ref="K157" si="537">J157*I157</f>
        <v>12.188230591977</v>
      </c>
      <c r="L157" s="42"/>
      <c r="M157" s="43"/>
      <c r="N157" s="40"/>
      <c r="O157" s="41">
        <f t="shared" ref="O157" si="538">+E157+H157+K157</f>
        <v>12.188230591977</v>
      </c>
    </row>
    <row r="158" spans="2:15" ht="26.25" customHeight="1" x14ac:dyDescent="0.35">
      <c r="B158" s="37">
        <v>45769</v>
      </c>
      <c r="C158" s="38"/>
      <c r="D158" s="39"/>
      <c r="E158" s="40">
        <f t="shared" ref="E158" si="539">D158*C158</f>
        <v>0</v>
      </c>
      <c r="F158" s="43"/>
      <c r="G158" s="43"/>
      <c r="H158" s="40">
        <f t="shared" ref="H158" si="540">+G158*F158</f>
        <v>0</v>
      </c>
      <c r="I158" s="42">
        <f t="shared" si="477"/>
        <v>1.0991379299999999</v>
      </c>
      <c r="J158" s="43">
        <v>11.0648</v>
      </c>
      <c r="K158" s="40">
        <f t="shared" ref="K158" si="541">J158*I158</f>
        <v>12.161741367864</v>
      </c>
      <c r="L158" s="42"/>
      <c r="M158" s="43"/>
      <c r="N158" s="40"/>
      <c r="O158" s="41">
        <f t="shared" ref="O158" si="542">+E158+H158+K158</f>
        <v>12.161741367864</v>
      </c>
    </row>
    <row r="159" spans="2:15" ht="26.25" customHeight="1" x14ac:dyDescent="0.35">
      <c r="B159" s="37">
        <v>45770</v>
      </c>
      <c r="C159" s="38"/>
      <c r="D159" s="39"/>
      <c r="E159" s="40">
        <f t="shared" ref="E159" si="543">D159*C159</f>
        <v>0</v>
      </c>
      <c r="F159" s="43"/>
      <c r="G159" s="43"/>
      <c r="H159" s="40">
        <f t="shared" ref="H159" si="544">+G159*F159</f>
        <v>0</v>
      </c>
      <c r="I159" s="42">
        <f t="shared" si="477"/>
        <v>1.0991379299999999</v>
      </c>
      <c r="J159" s="43">
        <v>11.112299999999999</v>
      </c>
      <c r="K159" s="40">
        <f t="shared" ref="K159" si="545">J159*I159</f>
        <v>12.213950419538998</v>
      </c>
      <c r="L159" s="42"/>
      <c r="M159" s="43"/>
      <c r="N159" s="40"/>
      <c r="O159" s="41">
        <f t="shared" ref="O159" si="546">+E159+H159+K159</f>
        <v>12.213950419538998</v>
      </c>
    </row>
    <row r="160" spans="2:15" ht="26.25" customHeight="1" x14ac:dyDescent="0.35">
      <c r="B160" s="37">
        <v>45771</v>
      </c>
      <c r="C160" s="38"/>
      <c r="D160" s="39"/>
      <c r="E160" s="40">
        <f t="shared" ref="E160" si="547">D160*C160</f>
        <v>0</v>
      </c>
      <c r="F160" s="43"/>
      <c r="G160" s="43"/>
      <c r="H160" s="40">
        <f t="shared" ref="H160" si="548">+G160*F160</f>
        <v>0</v>
      </c>
      <c r="I160" s="42">
        <f t="shared" si="477"/>
        <v>1.0991379299999999</v>
      </c>
      <c r="J160" s="43">
        <v>11.338800000000001</v>
      </c>
      <c r="K160" s="40">
        <f t="shared" ref="K160" si="549">J160*I160</f>
        <v>12.462905160684</v>
      </c>
      <c r="L160" s="42"/>
      <c r="M160" s="43"/>
      <c r="N160" s="40"/>
      <c r="O160" s="41">
        <f t="shared" ref="O160" si="550">+E160+H160+K160</f>
        <v>12.462905160684</v>
      </c>
    </row>
    <row r="161" spans="2:15" ht="26.25" customHeight="1" x14ac:dyDescent="0.35">
      <c r="B161" s="37">
        <v>45772</v>
      </c>
      <c r="C161" s="38"/>
      <c r="D161" s="39"/>
      <c r="E161" s="40">
        <f t="shared" ref="E161" si="551">D161*C161</f>
        <v>0</v>
      </c>
      <c r="F161" s="43"/>
      <c r="G161" s="43"/>
      <c r="H161" s="40">
        <f t="shared" ref="H161" si="552">+G161*F161</f>
        <v>0</v>
      </c>
      <c r="I161" s="42">
        <f t="shared" si="477"/>
        <v>1.0991379299999999</v>
      </c>
      <c r="J161" s="43">
        <v>11.3979</v>
      </c>
      <c r="K161" s="40">
        <f t="shared" ref="K161" si="553">J161*I161</f>
        <v>12.527864212347</v>
      </c>
      <c r="L161" s="42"/>
      <c r="M161" s="43"/>
      <c r="N161" s="40"/>
      <c r="O161" s="41">
        <f t="shared" ref="O161" si="554">+E161+H161+K161</f>
        <v>12.527864212347</v>
      </c>
    </row>
    <row r="162" spans="2:15" ht="26.25" customHeight="1" x14ac:dyDescent="0.35">
      <c r="B162" s="37">
        <v>45775</v>
      </c>
      <c r="C162" s="38"/>
      <c r="D162" s="39"/>
      <c r="E162" s="40">
        <f t="shared" ref="E162" si="555">D162*C162</f>
        <v>0</v>
      </c>
      <c r="F162" s="43"/>
      <c r="G162" s="43"/>
      <c r="H162" s="40">
        <f t="shared" ref="H162" si="556">+G162*F162</f>
        <v>0</v>
      </c>
      <c r="I162" s="42">
        <f t="shared" si="477"/>
        <v>1.0991379299999999</v>
      </c>
      <c r="J162" s="43">
        <v>11.3506</v>
      </c>
      <c r="K162" s="40">
        <f t="shared" ref="K162" si="557">J162*I162</f>
        <v>12.475874988257999</v>
      </c>
      <c r="L162" s="42"/>
      <c r="M162" s="43"/>
      <c r="N162" s="40"/>
      <c r="O162" s="41">
        <f t="shared" ref="O162" si="558">+E162+H162+K162</f>
        <v>12.475874988257999</v>
      </c>
    </row>
    <row r="163" spans="2:15" ht="26.25" customHeight="1" x14ac:dyDescent="0.35">
      <c r="B163" s="37">
        <v>45776</v>
      </c>
      <c r="C163" s="38"/>
      <c r="D163" s="39"/>
      <c r="E163" s="40">
        <f t="shared" ref="E163" si="559">D163*C163</f>
        <v>0</v>
      </c>
      <c r="F163" s="43"/>
      <c r="G163" s="43"/>
      <c r="H163" s="40">
        <f t="shared" ref="H163" si="560">+G163*F163</f>
        <v>0</v>
      </c>
      <c r="I163" s="42">
        <f t="shared" si="477"/>
        <v>1.0991379299999999</v>
      </c>
      <c r="J163" s="43">
        <v>11.2761</v>
      </c>
      <c r="K163" s="40">
        <f t="shared" ref="K163" si="561">J163*I163</f>
        <v>12.393989212472999</v>
      </c>
      <c r="L163" s="42"/>
      <c r="M163" s="43"/>
      <c r="N163" s="40"/>
      <c r="O163" s="41">
        <f t="shared" ref="O163" si="562">+E163+H163+K163</f>
        <v>12.393989212472999</v>
      </c>
    </row>
    <row r="164" spans="2:15" ht="26.25" customHeight="1" x14ac:dyDescent="0.35">
      <c r="B164" s="37">
        <v>45777</v>
      </c>
      <c r="C164" s="38"/>
      <c r="D164" s="39"/>
      <c r="E164" s="40">
        <f t="shared" ref="E164" si="563">D164*C164</f>
        <v>0</v>
      </c>
      <c r="F164" s="43"/>
      <c r="G164" s="43"/>
      <c r="H164" s="40">
        <f t="shared" ref="H164" si="564">+G164*F164</f>
        <v>0</v>
      </c>
      <c r="I164" s="42">
        <f t="shared" si="477"/>
        <v>1.0991379299999999</v>
      </c>
      <c r="J164" s="43">
        <v>11.201599999999999</v>
      </c>
      <c r="K164" s="40">
        <f t="shared" ref="K164" si="565">J164*I164</f>
        <v>12.312103436687998</v>
      </c>
      <c r="L164" s="42"/>
      <c r="M164" s="43"/>
      <c r="N164" s="40"/>
      <c r="O164" s="41">
        <f t="shared" ref="O164" si="566">+E164+H164+K164</f>
        <v>12.312103436687998</v>
      </c>
    </row>
    <row r="165" spans="2:15" ht="26.25" customHeight="1" x14ac:dyDescent="0.35">
      <c r="B165" s="37">
        <v>45782</v>
      </c>
      <c r="C165" s="38"/>
      <c r="D165" s="39"/>
      <c r="E165" s="40">
        <f t="shared" ref="E165" si="567">D165*C165</f>
        <v>0</v>
      </c>
      <c r="F165" s="43"/>
      <c r="G165" s="43"/>
      <c r="H165" s="40">
        <f t="shared" ref="H165" si="568">+G165*F165</f>
        <v>0</v>
      </c>
      <c r="I165" s="42">
        <f t="shared" si="477"/>
        <v>1.0991379299999999</v>
      </c>
      <c r="J165" s="43">
        <v>11.1713</v>
      </c>
      <c r="K165" s="40">
        <f t="shared" ref="K165" si="569">J165*I165</f>
        <v>12.278799557409</v>
      </c>
      <c r="L165" s="42"/>
      <c r="M165" s="43"/>
      <c r="N165" s="40"/>
      <c r="O165" s="41">
        <f t="shared" ref="O165" si="570">+E165+H165+K165</f>
        <v>12.278799557409</v>
      </c>
    </row>
    <row r="166" spans="2:15" ht="26.25" customHeight="1" x14ac:dyDescent="0.35">
      <c r="B166" s="37">
        <v>45783</v>
      </c>
      <c r="C166" s="38"/>
      <c r="D166" s="39"/>
      <c r="E166" s="40">
        <f t="shared" ref="E166" si="571">D166*C166</f>
        <v>0</v>
      </c>
      <c r="F166" s="43"/>
      <c r="G166" s="43"/>
      <c r="H166" s="40">
        <f t="shared" ref="H166" si="572">+G166*F166</f>
        <v>0</v>
      </c>
      <c r="I166" s="42">
        <f t="shared" si="477"/>
        <v>1.0991379299999999</v>
      </c>
      <c r="J166" s="43">
        <v>11.3025</v>
      </c>
      <c r="K166" s="40">
        <f t="shared" ref="K166" si="573">J166*I166</f>
        <v>12.423006453825</v>
      </c>
      <c r="L166" s="42"/>
      <c r="M166" s="43"/>
      <c r="N166" s="40"/>
      <c r="O166" s="41">
        <f t="shared" ref="O166" si="574">+E166+H166+K166</f>
        <v>12.423006453825</v>
      </c>
    </row>
    <row r="167" spans="2:15" ht="26.25" customHeight="1" x14ac:dyDescent="0.35">
      <c r="B167" s="37">
        <v>45784</v>
      </c>
      <c r="C167" s="38"/>
      <c r="D167" s="39"/>
      <c r="E167" s="40">
        <f t="shared" ref="E167" si="575">D167*C167</f>
        <v>0</v>
      </c>
      <c r="F167" s="43"/>
      <c r="G167" s="43"/>
      <c r="H167" s="40">
        <f t="shared" ref="H167" si="576">+G167*F167</f>
        <v>0</v>
      </c>
      <c r="I167" s="42">
        <f t="shared" si="477"/>
        <v>1.0991379299999999</v>
      </c>
      <c r="J167" s="43">
        <v>11.2155</v>
      </c>
      <c r="K167" s="40">
        <f t="shared" ref="K167" si="577">J167*I167</f>
        <v>12.327381453914999</v>
      </c>
      <c r="L167" s="42"/>
      <c r="M167" s="43"/>
      <c r="N167" s="40"/>
      <c r="O167" s="41">
        <f t="shared" ref="O167" si="578">+E167+H167+K167</f>
        <v>12.327381453914999</v>
      </c>
    </row>
    <row r="168" spans="2:15" ht="26.25" customHeight="1" x14ac:dyDescent="0.35">
      <c r="B168" s="37">
        <v>45789</v>
      </c>
      <c r="C168" s="38"/>
      <c r="D168" s="39"/>
      <c r="E168" s="40">
        <f t="shared" ref="E168" si="579">D168*C168</f>
        <v>0</v>
      </c>
      <c r="F168" s="43"/>
      <c r="G168" s="43"/>
      <c r="H168" s="40">
        <f t="shared" ref="H168" si="580">+G168*F168</f>
        <v>0</v>
      </c>
      <c r="I168" s="42">
        <f t="shared" si="477"/>
        <v>1.0991379299999999</v>
      </c>
      <c r="J168" s="43">
        <v>11.181900000000001</v>
      </c>
      <c r="K168" s="40">
        <f t="shared" ref="K168" si="581">J168*I168</f>
        <v>12.290450419467</v>
      </c>
      <c r="L168" s="42"/>
      <c r="M168" s="43"/>
      <c r="N168" s="40"/>
      <c r="O168" s="41">
        <f t="shared" ref="O168" si="582">+E168+H168+K168</f>
        <v>12.290450419467</v>
      </c>
    </row>
    <row r="169" spans="2:15" ht="26.25" customHeight="1" x14ac:dyDescent="0.35">
      <c r="B169" s="37">
        <v>45790</v>
      </c>
      <c r="C169" s="38"/>
      <c r="D169" s="39"/>
      <c r="E169" s="40">
        <f t="shared" ref="E169" si="583">D169*C169</f>
        <v>0</v>
      </c>
      <c r="F169" s="43"/>
      <c r="G169" s="43"/>
      <c r="H169" s="40">
        <f t="shared" ref="H169" si="584">+G169*F169</f>
        <v>0</v>
      </c>
      <c r="I169" s="42">
        <f t="shared" si="477"/>
        <v>1.0991379299999999</v>
      </c>
      <c r="J169" s="43">
        <v>11.178900000000001</v>
      </c>
      <c r="K169" s="40">
        <f t="shared" ref="K169" si="585">J169*I169</f>
        <v>12.287153005677</v>
      </c>
      <c r="L169" s="42"/>
      <c r="M169" s="43"/>
      <c r="N169" s="40"/>
      <c r="O169" s="41">
        <f t="shared" ref="O169" si="586">+E169+H169+K169</f>
        <v>12.287153005677</v>
      </c>
    </row>
    <row r="170" spans="2:15" ht="26.25" customHeight="1" x14ac:dyDescent="0.35">
      <c r="B170" s="37">
        <v>45791</v>
      </c>
      <c r="C170" s="38"/>
      <c r="D170" s="39"/>
      <c r="E170" s="40">
        <f t="shared" ref="E170" si="587">D170*C170</f>
        <v>0</v>
      </c>
      <c r="F170" s="43"/>
      <c r="G170" s="43"/>
      <c r="H170" s="40">
        <f t="shared" ref="H170" si="588">+G170*F170</f>
        <v>0</v>
      </c>
      <c r="I170" s="42">
        <f t="shared" si="477"/>
        <v>1.0991379299999999</v>
      </c>
      <c r="J170" s="43">
        <v>11.157299999999999</v>
      </c>
      <c r="K170" s="40">
        <f t="shared" ref="K170" si="589">J170*I170</f>
        <v>12.263411626388999</v>
      </c>
      <c r="L170" s="42"/>
      <c r="M170" s="43"/>
      <c r="N170" s="40"/>
      <c r="O170" s="41">
        <f t="shared" ref="O170" si="590">+E170+H170+K170</f>
        <v>12.263411626388999</v>
      </c>
    </row>
    <row r="171" spans="2:15" ht="26.25" customHeight="1" x14ac:dyDescent="0.35">
      <c r="B171" s="37">
        <v>45792</v>
      </c>
      <c r="C171" s="38"/>
      <c r="D171" s="39"/>
      <c r="E171" s="40">
        <f t="shared" ref="E171" si="591">D171*C171</f>
        <v>0</v>
      </c>
      <c r="F171" s="43"/>
      <c r="G171" s="43"/>
      <c r="H171" s="40">
        <f t="shared" ref="H171" si="592">+G171*F171</f>
        <v>0</v>
      </c>
      <c r="I171" s="42">
        <f t="shared" si="477"/>
        <v>1.0991379299999999</v>
      </c>
      <c r="J171" s="43">
        <v>11.1128</v>
      </c>
      <c r="K171" s="40">
        <f t="shared" ref="K171" si="593">J171*I171</f>
        <v>12.214499988503999</v>
      </c>
      <c r="L171" s="42"/>
      <c r="M171" s="43"/>
      <c r="N171" s="40"/>
      <c r="O171" s="41">
        <f t="shared" ref="O171" si="594">+E171+H171+K171</f>
        <v>12.214499988503999</v>
      </c>
    </row>
    <row r="172" spans="2:15" ht="26.25" customHeight="1" x14ac:dyDescent="0.35">
      <c r="B172" s="37">
        <v>45793</v>
      </c>
      <c r="C172" s="38"/>
      <c r="D172" s="39"/>
      <c r="E172" s="40">
        <f t="shared" ref="E172" si="595">D172*C172</f>
        <v>0</v>
      </c>
      <c r="F172" s="43"/>
      <c r="G172" s="43"/>
      <c r="H172" s="40">
        <f t="shared" ref="H172" si="596">+G172*F172</f>
        <v>0</v>
      </c>
      <c r="I172" s="42">
        <f t="shared" si="477"/>
        <v>1.0991379299999999</v>
      </c>
      <c r="J172" s="43">
        <v>11.1143</v>
      </c>
      <c r="K172" s="40">
        <f t="shared" ref="K172:K177" si="597">J172*I172</f>
        <v>12.216148695398999</v>
      </c>
      <c r="L172" s="42">
        <f>1200000/1000000</f>
        <v>1.2</v>
      </c>
      <c r="M172" s="43">
        <v>2.4048799999999999</v>
      </c>
      <c r="N172" s="40">
        <f t="shared" ref="N172:N177" si="598">L172*M172</f>
        <v>2.885856</v>
      </c>
      <c r="O172" s="41">
        <f t="shared" ref="O172:O177" si="599">+E172+H172+K172+N172</f>
        <v>15.102004695399</v>
      </c>
    </row>
    <row r="173" spans="2:15" ht="26.25" customHeight="1" x14ac:dyDescent="0.35">
      <c r="B173" s="37">
        <v>45796</v>
      </c>
      <c r="C173" s="38"/>
      <c r="D173" s="39"/>
      <c r="E173" s="40">
        <f t="shared" ref="E173" si="600">D173*C173</f>
        <v>0</v>
      </c>
      <c r="F173" s="43"/>
      <c r="G173" s="43"/>
      <c r="H173" s="40">
        <f t="shared" ref="H173" si="601">+G173*F173</f>
        <v>0</v>
      </c>
      <c r="I173" s="42">
        <f t="shared" si="477"/>
        <v>1.0991379299999999</v>
      </c>
      <c r="J173" s="43">
        <v>11.1593</v>
      </c>
      <c r="K173" s="40">
        <f t="shared" si="597"/>
        <v>12.265609902248999</v>
      </c>
      <c r="L173" s="42">
        <f>900500/1000000</f>
        <v>0.90049999999999997</v>
      </c>
      <c r="M173" s="43">
        <v>2.4361000000000002</v>
      </c>
      <c r="N173" s="40">
        <f t="shared" si="598"/>
        <v>2.1937080500000001</v>
      </c>
      <c r="O173" s="41">
        <f t="shared" si="599"/>
        <v>14.459317952248998</v>
      </c>
    </row>
    <row r="174" spans="2:15" ht="26.25" customHeight="1" x14ac:dyDescent="0.35">
      <c r="B174" s="37">
        <v>45797</v>
      </c>
      <c r="C174" s="38"/>
      <c r="D174" s="39"/>
      <c r="E174" s="40">
        <f t="shared" ref="E174" si="602">D174*C174</f>
        <v>0</v>
      </c>
      <c r="F174" s="43"/>
      <c r="G174" s="43"/>
      <c r="H174" s="40">
        <f t="shared" ref="H174" si="603">+G174*F174</f>
        <v>0</v>
      </c>
      <c r="I174" s="42">
        <f t="shared" si="477"/>
        <v>1.0991379299999999</v>
      </c>
      <c r="J174" s="43">
        <v>11.117900000000001</v>
      </c>
      <c r="K174" s="40">
        <f t="shared" si="597"/>
        <v>12.220105591947</v>
      </c>
      <c r="L174" s="42">
        <f>601000/1000000</f>
        <v>0.60099999999999998</v>
      </c>
      <c r="M174" s="43">
        <v>2.4231199999999999</v>
      </c>
      <c r="N174" s="40">
        <f t="shared" si="598"/>
        <v>1.4562951199999998</v>
      </c>
      <c r="O174" s="41">
        <f t="shared" si="599"/>
        <v>13.676400711947</v>
      </c>
    </row>
    <row r="175" spans="2:15" ht="26.25" customHeight="1" x14ac:dyDescent="0.35">
      <c r="B175" s="37">
        <v>45798</v>
      </c>
      <c r="C175" s="38"/>
      <c r="D175" s="39"/>
      <c r="E175" s="40">
        <f t="shared" ref="E175" si="604">D175*C175</f>
        <v>0</v>
      </c>
      <c r="F175" s="43"/>
      <c r="G175" s="43"/>
      <c r="H175" s="40">
        <f t="shared" ref="H175" si="605">+G175*F175</f>
        <v>0</v>
      </c>
      <c r="I175" s="42">
        <f t="shared" si="477"/>
        <v>1.0991379299999999</v>
      </c>
      <c r="J175" s="43">
        <v>11.1625</v>
      </c>
      <c r="K175" s="40">
        <f t="shared" si="597"/>
        <v>12.269127143624999</v>
      </c>
      <c r="L175" s="42">
        <f>601000/1000000</f>
        <v>0.60099999999999998</v>
      </c>
      <c r="M175" s="43">
        <v>2.4199199999999998</v>
      </c>
      <c r="N175" s="40">
        <f t="shared" si="598"/>
        <v>1.4543719199999998</v>
      </c>
      <c r="O175" s="41">
        <f t="shared" si="599"/>
        <v>13.723499063624999</v>
      </c>
    </row>
    <row r="176" spans="2:15" ht="26.25" customHeight="1" x14ac:dyDescent="0.35">
      <c r="B176" s="37">
        <v>45799</v>
      </c>
      <c r="C176" s="38"/>
      <c r="D176" s="39"/>
      <c r="E176" s="40">
        <f t="shared" ref="E176" si="606">D176*C176</f>
        <v>0</v>
      </c>
      <c r="F176" s="43"/>
      <c r="G176" s="43"/>
      <c r="H176" s="40">
        <f t="shared" ref="H176" si="607">+G176*F176</f>
        <v>0</v>
      </c>
      <c r="I176" s="42">
        <f t="shared" si="477"/>
        <v>1.0991379299999999</v>
      </c>
      <c r="J176" s="43">
        <v>11.0876</v>
      </c>
      <c r="K176" s="40">
        <f t="shared" si="597"/>
        <v>12.186801712668</v>
      </c>
      <c r="L176" s="42">
        <f>601000/1000000</f>
        <v>0.60099999999999998</v>
      </c>
      <c r="M176" s="43">
        <v>2.4352100000000001</v>
      </c>
      <c r="N176" s="40">
        <f t="shared" si="598"/>
        <v>1.4635612099999999</v>
      </c>
      <c r="O176" s="41">
        <f t="shared" si="599"/>
        <v>13.650362922668</v>
      </c>
    </row>
    <row r="177" spans="2:15" ht="26.25" customHeight="1" x14ac:dyDescent="0.35">
      <c r="B177" s="37">
        <v>45800</v>
      </c>
      <c r="C177" s="38"/>
      <c r="D177" s="39"/>
      <c r="E177" s="40">
        <f t="shared" ref="E177" si="608">D177*C177</f>
        <v>0</v>
      </c>
      <c r="F177" s="43"/>
      <c r="G177" s="43"/>
      <c r="H177" s="40">
        <f t="shared" ref="H177" si="609">+G177*F177</f>
        <v>0</v>
      </c>
      <c r="I177" s="42">
        <f t="shared" si="477"/>
        <v>1.0991379299999999</v>
      </c>
      <c r="J177" s="43">
        <v>11.0101</v>
      </c>
      <c r="K177" s="40">
        <f t="shared" si="597"/>
        <v>12.101618523092998</v>
      </c>
      <c r="L177" s="42">
        <f>601000/1000000</f>
        <v>0.60099999999999998</v>
      </c>
      <c r="M177" s="43">
        <v>2.4395899999999999</v>
      </c>
      <c r="N177" s="40">
        <f t="shared" si="598"/>
        <v>1.4661935899999998</v>
      </c>
      <c r="O177" s="41">
        <f t="shared" si="599"/>
        <v>13.567812113092998</v>
      </c>
    </row>
    <row r="178" spans="2:15" ht="26.25" customHeight="1" x14ac:dyDescent="0.35">
      <c r="B178" s="37">
        <v>45803</v>
      </c>
      <c r="C178" s="38"/>
      <c r="D178" s="39"/>
      <c r="E178" s="40">
        <f t="shared" ref="E178" si="610">D178*C178</f>
        <v>0</v>
      </c>
      <c r="F178" s="43"/>
      <c r="G178" s="43"/>
      <c r="H178" s="40">
        <f t="shared" ref="H178" si="611">+G178*F178</f>
        <v>0</v>
      </c>
      <c r="I178" s="42">
        <f t="shared" si="477"/>
        <v>1.0991379299999999</v>
      </c>
      <c r="J178" s="43">
        <v>11.077199999999999</v>
      </c>
      <c r="K178" s="40">
        <f t="shared" ref="K178" si="612">J178*I178</f>
        <v>12.175370678195998</v>
      </c>
      <c r="L178" s="42">
        <f>302700/1000000</f>
        <v>0.30270000000000002</v>
      </c>
      <c r="M178" s="43">
        <v>2.4349599999999998</v>
      </c>
      <c r="N178" s="40">
        <f t="shared" ref="N178" si="613">L178*M178</f>
        <v>0.73706239200000001</v>
      </c>
      <c r="O178" s="41">
        <f t="shared" ref="O178" si="614">+E178+H178+K178+N178</f>
        <v>12.912433070195998</v>
      </c>
    </row>
    <row r="179" spans="2:15" ht="26.25" customHeight="1" x14ac:dyDescent="0.35">
      <c r="B179" s="37">
        <v>45804</v>
      </c>
      <c r="C179" s="38"/>
      <c r="D179" s="39"/>
      <c r="E179" s="40">
        <f t="shared" ref="E179" si="615">D179*C179</f>
        <v>0</v>
      </c>
      <c r="F179" s="43"/>
      <c r="G179" s="43"/>
      <c r="H179" s="40">
        <f t="shared" ref="H179" si="616">+G179*F179</f>
        <v>0</v>
      </c>
      <c r="I179" s="42">
        <f t="shared" si="477"/>
        <v>1.0991379299999999</v>
      </c>
      <c r="J179" s="43">
        <v>11.0802</v>
      </c>
      <c r="K179" s="40">
        <f t="shared" ref="K179" si="617">J179*I179</f>
        <v>12.178668091985999</v>
      </c>
      <c r="L179" s="42">
        <f>1003550/1000000</f>
        <v>1.0035499999999999</v>
      </c>
      <c r="M179" s="43">
        <v>2.4514900000000002</v>
      </c>
      <c r="N179" s="40">
        <f t="shared" ref="N179" si="618">L179*M179</f>
        <v>2.4601927895000002</v>
      </c>
      <c r="O179" s="41">
        <f t="shared" ref="O179" si="619">+E179+H179+K179+N179</f>
        <v>14.638860881486</v>
      </c>
    </row>
    <row r="180" spans="2:15" ht="26.25" customHeight="1" x14ac:dyDescent="0.35">
      <c r="B180" s="37">
        <v>45805</v>
      </c>
      <c r="C180" s="38"/>
      <c r="D180" s="39"/>
      <c r="E180" s="40">
        <f t="shared" ref="E180" si="620">D180*C180</f>
        <v>0</v>
      </c>
      <c r="F180" s="43"/>
      <c r="G180" s="43"/>
      <c r="H180" s="40">
        <f t="shared" ref="H180" si="621">+G180*F180</f>
        <v>0</v>
      </c>
      <c r="I180" s="42">
        <f t="shared" si="477"/>
        <v>1.0991379299999999</v>
      </c>
      <c r="J180" s="43">
        <v>11.1014</v>
      </c>
      <c r="K180" s="40">
        <f t="shared" ref="K180" si="622">J180*I180</f>
        <v>12.201969816101998</v>
      </c>
      <c r="L180" s="42">
        <f>503800/1000000</f>
        <v>0.50380000000000003</v>
      </c>
      <c r="M180" s="43">
        <v>2.4356800000000001</v>
      </c>
      <c r="N180" s="40">
        <f t="shared" ref="N180" si="623">L180*M180</f>
        <v>1.2270955840000002</v>
      </c>
      <c r="O180" s="41">
        <f t="shared" ref="O180" si="624">+E180+H180+K180+N180</f>
        <v>13.429065400101999</v>
      </c>
    </row>
    <row r="181" spans="2:15" ht="26.25" customHeight="1" x14ac:dyDescent="0.35">
      <c r="B181" s="37">
        <v>45806</v>
      </c>
      <c r="C181" s="38"/>
      <c r="D181" s="39"/>
      <c r="E181" s="40">
        <f t="shared" ref="E181" si="625">D181*C181</f>
        <v>0</v>
      </c>
      <c r="F181" s="43"/>
      <c r="G181" s="43"/>
      <c r="H181" s="40">
        <f t="shared" ref="H181" si="626">+G181*F181</f>
        <v>0</v>
      </c>
      <c r="I181" s="42">
        <f t="shared" si="477"/>
        <v>1.0991379299999999</v>
      </c>
      <c r="J181" s="43">
        <v>11.0504</v>
      </c>
      <c r="K181" s="40">
        <f t="shared" ref="K181" si="627">J181*I181</f>
        <v>12.145913781671998</v>
      </c>
      <c r="L181" s="42">
        <f>4630/1000000</f>
        <v>4.6299999999999996E-3</v>
      </c>
      <c r="M181" s="43">
        <v>2.4342199999999998</v>
      </c>
      <c r="N181" s="40">
        <f t="shared" ref="N181" si="628">L181*M181</f>
        <v>1.1270438599999998E-2</v>
      </c>
      <c r="O181" s="41">
        <f t="shared" ref="O181" si="629">+E181+H181+K181+N181</f>
        <v>12.157184220271999</v>
      </c>
    </row>
    <row r="182" spans="2:15" ht="26.25" customHeight="1" x14ac:dyDescent="0.35">
      <c r="B182" s="37">
        <v>45807</v>
      </c>
      <c r="C182" s="38"/>
      <c r="D182" s="39"/>
      <c r="E182" s="40">
        <f t="shared" ref="E182" si="630">D182*C182</f>
        <v>0</v>
      </c>
      <c r="F182" s="43"/>
      <c r="G182" s="43"/>
      <c r="H182" s="40">
        <f t="shared" ref="H182" si="631">+G182*F182</f>
        <v>0</v>
      </c>
      <c r="I182" s="42">
        <f t="shared" si="477"/>
        <v>1.0991379299999999</v>
      </c>
      <c r="J182" s="43">
        <v>10.894</v>
      </c>
      <c r="K182" s="40">
        <f t="shared" ref="K182" si="632">J182*I182</f>
        <v>11.97400860942</v>
      </c>
      <c r="L182" s="42">
        <f>3436.5/1000000</f>
        <v>3.4364999999999999E-3</v>
      </c>
      <c r="M182" s="43">
        <v>2.3921800000000002</v>
      </c>
      <c r="N182" s="40">
        <f t="shared" ref="N182" si="633">L182*M182</f>
        <v>8.2207265699999997E-3</v>
      </c>
      <c r="O182" s="41">
        <f t="shared" ref="O182" si="634">+E182+H182+K182+N182</f>
        <v>11.982229335990001</v>
      </c>
    </row>
    <row r="183" spans="2:15" ht="26.25" customHeight="1" x14ac:dyDescent="0.35">
      <c r="B183" s="37">
        <v>45810</v>
      </c>
      <c r="C183" s="38"/>
      <c r="D183" s="39"/>
      <c r="E183" s="40">
        <f t="shared" ref="E183" si="635">D183*C183</f>
        <v>0</v>
      </c>
      <c r="F183" s="43"/>
      <c r="G183" s="43"/>
      <c r="H183" s="40">
        <f t="shared" ref="H183" si="636">+G183*F183</f>
        <v>0</v>
      </c>
      <c r="I183" s="42">
        <f t="shared" si="477"/>
        <v>1.0991379299999999</v>
      </c>
      <c r="J183" s="43">
        <v>10.889699999999999</v>
      </c>
      <c r="K183" s="40">
        <f t="shared" ref="K183" si="637">J183*I183</f>
        <v>11.969282316320999</v>
      </c>
      <c r="L183" s="42">
        <f>1503986.5/1000000</f>
        <v>1.5039864999999999</v>
      </c>
      <c r="M183" s="43">
        <v>2.4074300000000002</v>
      </c>
      <c r="N183" s="40">
        <f t="shared" ref="N183" si="638">L183*M183</f>
        <v>3.6207422196949999</v>
      </c>
      <c r="O183" s="41">
        <f t="shared" ref="O183" si="639">+E183+H183+K183+N183</f>
        <v>15.590024536015999</v>
      </c>
    </row>
    <row r="184" spans="2:15" ht="26.25" customHeight="1" x14ac:dyDescent="0.35">
      <c r="B184" s="37">
        <v>45811</v>
      </c>
      <c r="C184" s="38"/>
      <c r="D184" s="39"/>
      <c r="E184" s="40">
        <f t="shared" ref="E184" si="640">D184*C184</f>
        <v>0</v>
      </c>
      <c r="F184" s="43"/>
      <c r="G184" s="43"/>
      <c r="H184" s="40">
        <f t="shared" ref="H184" si="641">+G184*F184</f>
        <v>0</v>
      </c>
      <c r="I184" s="42">
        <f t="shared" si="477"/>
        <v>1.0991379299999999</v>
      </c>
      <c r="J184" s="43">
        <v>10.9452</v>
      </c>
      <c r="K184" s="40">
        <f t="shared" ref="K184" si="642">J184*I184</f>
        <v>12.030284471436</v>
      </c>
      <c r="L184" s="42">
        <f>1004336.5/1000000</f>
        <v>1.0043365</v>
      </c>
      <c r="M184" s="43">
        <v>2.4230900000000002</v>
      </c>
      <c r="N184" s="40">
        <f t="shared" ref="N184" si="643">L184*M184</f>
        <v>2.4335977297850002</v>
      </c>
      <c r="O184" s="41">
        <f t="shared" ref="O184" si="644">+E184+H184+K184+N184</f>
        <v>14.463882201221001</v>
      </c>
    </row>
    <row r="185" spans="2:15" ht="26.25" customHeight="1" x14ac:dyDescent="0.35">
      <c r="B185" s="37">
        <v>45812</v>
      </c>
      <c r="C185" s="38"/>
      <c r="D185" s="39"/>
      <c r="E185" s="40">
        <f t="shared" ref="E185" si="645">D185*C185</f>
        <v>0</v>
      </c>
      <c r="F185" s="43"/>
      <c r="G185" s="43"/>
      <c r="H185" s="40">
        <f t="shared" ref="H185" si="646">+G185*F185</f>
        <v>0</v>
      </c>
      <c r="I185" s="42">
        <f t="shared" si="477"/>
        <v>1.0991379299999999</v>
      </c>
      <c r="J185" s="43">
        <v>10.912800000000001</v>
      </c>
      <c r="K185" s="40">
        <f t="shared" ref="K185" si="647">J185*I185</f>
        <v>11.994672402503999</v>
      </c>
      <c r="L185" s="42">
        <f>504486.5/1000000</f>
        <v>0.50448649999999995</v>
      </c>
      <c r="M185" s="43">
        <v>2.4147099999999999</v>
      </c>
      <c r="N185" s="40">
        <f t="shared" ref="N185" si="648">L185*M185</f>
        <v>1.2181885964149999</v>
      </c>
      <c r="O185" s="41">
        <f t="shared" ref="O185" si="649">+E185+H185+K185+N185</f>
        <v>13.212860998919</v>
      </c>
    </row>
    <row r="186" spans="2:15" ht="26.25" customHeight="1" x14ac:dyDescent="0.35">
      <c r="B186" s="37">
        <v>45813</v>
      </c>
      <c r="C186" s="38"/>
      <c r="D186" s="39"/>
      <c r="E186" s="40">
        <f t="shared" ref="E186" si="650">D186*C186</f>
        <v>0</v>
      </c>
      <c r="F186" s="43"/>
      <c r="G186" s="43"/>
      <c r="H186" s="40">
        <f t="shared" ref="H186" si="651">+G186*F186</f>
        <v>0</v>
      </c>
      <c r="I186" s="42">
        <f t="shared" si="477"/>
        <v>1.0991379299999999</v>
      </c>
      <c r="J186" s="43">
        <v>10.868499999999999</v>
      </c>
      <c r="K186" s="40">
        <f t="shared" ref="K186" si="652">J186*I186</f>
        <v>11.945980592204998</v>
      </c>
      <c r="L186" s="42">
        <f>555136.5/1000000</f>
        <v>0.55513650000000003</v>
      </c>
      <c r="M186" s="43">
        <v>2.4039999999999999</v>
      </c>
      <c r="N186" s="40">
        <f t="shared" ref="N186" si="653">L186*M186</f>
        <v>1.3345481459999999</v>
      </c>
      <c r="O186" s="41">
        <f t="shared" ref="O186" si="654">+E186+H186+K186+N186</f>
        <v>13.280528738204998</v>
      </c>
    </row>
    <row r="187" spans="2:15" ht="26.25" customHeight="1" x14ac:dyDescent="0.35">
      <c r="B187" s="37">
        <v>45814</v>
      </c>
      <c r="C187" s="38"/>
      <c r="D187" s="39"/>
      <c r="E187" s="40">
        <f t="shared" ref="E187" si="655">D187*C187</f>
        <v>0</v>
      </c>
      <c r="F187" s="43"/>
      <c r="G187" s="43"/>
      <c r="H187" s="40">
        <f t="shared" ref="H187" si="656">+G187*F187</f>
        <v>0</v>
      </c>
      <c r="I187" s="42">
        <f t="shared" si="477"/>
        <v>1.0991379299999999</v>
      </c>
      <c r="J187" s="43">
        <v>11.020799999999999</v>
      </c>
      <c r="K187" s="40">
        <f t="shared" ref="K187" si="657">J187*I187</f>
        <v>12.113379298943999</v>
      </c>
      <c r="L187" s="42">
        <f>55986.5/1000000</f>
        <v>5.5986500000000002E-2</v>
      </c>
      <c r="M187" s="43">
        <v>2.4293800000000001</v>
      </c>
      <c r="N187" s="40">
        <f t="shared" ref="N187" si="658">L187*M187</f>
        <v>0.13601248337000002</v>
      </c>
      <c r="O187" s="41">
        <f t="shared" ref="O187" si="659">+E187+H187+K187+N187</f>
        <v>12.249391782313998</v>
      </c>
    </row>
    <row r="188" spans="2:15" ht="26.25" customHeight="1" x14ac:dyDescent="0.35">
      <c r="B188" s="37">
        <v>45817</v>
      </c>
      <c r="C188" s="38"/>
      <c r="D188" s="39"/>
      <c r="E188" s="40">
        <f t="shared" ref="E188" si="660">D188*C188</f>
        <v>0</v>
      </c>
      <c r="F188" s="43"/>
      <c r="G188" s="43"/>
      <c r="H188" s="40">
        <f t="shared" ref="H188" si="661">+G188*F188</f>
        <v>0</v>
      </c>
      <c r="I188" s="42">
        <f t="shared" si="477"/>
        <v>1.0991379299999999</v>
      </c>
      <c r="J188" s="43">
        <v>11.010999999999999</v>
      </c>
      <c r="K188" s="40">
        <f t="shared" ref="K188" si="662">J188*I188</f>
        <v>12.102607747229998</v>
      </c>
      <c r="L188" s="42">
        <f t="shared" ref="L188:L209" si="663">8243.23/1000000</f>
        <v>8.243229999999999E-3</v>
      </c>
      <c r="M188" s="43">
        <v>2.42645</v>
      </c>
      <c r="N188" s="40">
        <f t="shared" ref="N188" si="664">L188*M188</f>
        <v>2.0001785433499997E-2</v>
      </c>
      <c r="O188" s="41">
        <f t="shared" ref="O188" si="665">+E188+H188+K188+N188</f>
        <v>12.122609532663498</v>
      </c>
    </row>
    <row r="189" spans="2:15" ht="26.25" customHeight="1" x14ac:dyDescent="0.35">
      <c r="B189" s="37">
        <v>45818</v>
      </c>
      <c r="C189" s="38"/>
      <c r="D189" s="39"/>
      <c r="E189" s="40">
        <f t="shared" ref="E189" si="666">D189*C189</f>
        <v>0</v>
      </c>
      <c r="F189" s="43"/>
      <c r="G189" s="43"/>
      <c r="H189" s="40">
        <f t="shared" ref="H189" si="667">+G189*F189</f>
        <v>0</v>
      </c>
      <c r="I189" s="42">
        <f t="shared" si="477"/>
        <v>1.0991379299999999</v>
      </c>
      <c r="J189" s="43">
        <v>10.978400000000001</v>
      </c>
      <c r="K189" s="40">
        <f t="shared" ref="K189" si="668">J189*I189</f>
        <v>12.066775850712</v>
      </c>
      <c r="L189" s="42">
        <f t="shared" si="663"/>
        <v>8.243229999999999E-3</v>
      </c>
      <c r="M189" s="43">
        <v>2.4259599999999999</v>
      </c>
      <c r="N189" s="40">
        <f t="shared" ref="N189" si="669">L189*M189</f>
        <v>1.9997746250799996E-2</v>
      </c>
      <c r="O189" s="41">
        <f t="shared" ref="O189" si="670">+E189+H189+K189+N189</f>
        <v>12.0867735969628</v>
      </c>
    </row>
    <row r="190" spans="2:15" ht="26.25" customHeight="1" x14ac:dyDescent="0.35">
      <c r="B190" s="37">
        <v>45819</v>
      </c>
      <c r="C190" s="38"/>
      <c r="D190" s="39"/>
      <c r="E190" s="40">
        <f t="shared" ref="E190" si="671">D190*C190</f>
        <v>0</v>
      </c>
      <c r="F190" s="43"/>
      <c r="G190" s="43"/>
      <c r="H190" s="40">
        <f t="shared" ref="H190" si="672">+G190*F190</f>
        <v>0</v>
      </c>
      <c r="I190" s="42">
        <f t="shared" si="477"/>
        <v>1.0991379299999999</v>
      </c>
      <c r="J190" s="43">
        <v>10.9057</v>
      </c>
      <c r="K190" s="40">
        <f t="shared" ref="K190" si="673">J190*I190</f>
        <v>11.986868523200998</v>
      </c>
      <c r="L190" s="42">
        <f t="shared" si="663"/>
        <v>8.243229999999999E-3</v>
      </c>
      <c r="M190" s="43">
        <v>2.4031600000000002</v>
      </c>
      <c r="N190" s="40">
        <f t="shared" ref="N190" si="674">L190*M190</f>
        <v>1.9809800606799998E-2</v>
      </c>
      <c r="O190" s="41">
        <f t="shared" ref="O190" si="675">+E190+H190+K190+N190</f>
        <v>12.006678323807799</v>
      </c>
    </row>
    <row r="191" spans="2:15" ht="26.25" customHeight="1" x14ac:dyDescent="0.35">
      <c r="B191" s="37">
        <v>45824</v>
      </c>
      <c r="C191" s="38"/>
      <c r="D191" s="39"/>
      <c r="E191" s="40">
        <f t="shared" ref="E191" si="676">D191*C191</f>
        <v>0</v>
      </c>
      <c r="F191" s="43"/>
      <c r="G191" s="43"/>
      <c r="H191" s="40">
        <f t="shared" ref="H191" si="677">+G191*F191</f>
        <v>0</v>
      </c>
      <c r="I191" s="42">
        <f t="shared" si="477"/>
        <v>1.0991379299999999</v>
      </c>
      <c r="J191" s="43">
        <v>10.931699999999999</v>
      </c>
      <c r="K191" s="40">
        <f t="shared" ref="K191" si="678">J191*I191</f>
        <v>12.015446109380999</v>
      </c>
      <c r="L191" s="42">
        <f t="shared" si="663"/>
        <v>8.243229999999999E-3</v>
      </c>
      <c r="M191" s="43">
        <v>2.4212400000000001</v>
      </c>
      <c r="N191" s="40">
        <f t="shared" ref="N191" si="679">L191*M191</f>
        <v>1.9958838205199999E-2</v>
      </c>
      <c r="O191" s="41">
        <f t="shared" ref="O191" si="680">+E191+H191+K191+N191</f>
        <v>12.035404947586199</v>
      </c>
    </row>
    <row r="192" spans="2:15" ht="26.25" customHeight="1" x14ac:dyDescent="0.35">
      <c r="B192" s="37">
        <v>45825</v>
      </c>
      <c r="C192" s="38"/>
      <c r="D192" s="39"/>
      <c r="E192" s="40">
        <f t="shared" ref="E192" si="681">D192*C192</f>
        <v>0</v>
      </c>
      <c r="F192" s="43"/>
      <c r="G192" s="43"/>
      <c r="H192" s="40">
        <f t="shared" ref="H192" si="682">+G192*F192</f>
        <v>0</v>
      </c>
      <c r="I192" s="42">
        <f t="shared" si="477"/>
        <v>1.0991379299999999</v>
      </c>
      <c r="J192" s="43">
        <v>10.8979</v>
      </c>
      <c r="K192" s="40">
        <f t="shared" ref="K192" si="683">J192*I192</f>
        <v>11.978295247346999</v>
      </c>
      <c r="L192" s="42">
        <f t="shared" si="663"/>
        <v>8.243229999999999E-3</v>
      </c>
      <c r="M192" s="43">
        <v>2.4177499999999998</v>
      </c>
      <c r="N192" s="40">
        <f t="shared" ref="N192" si="684">L192*M192</f>
        <v>1.9930069332499998E-2</v>
      </c>
      <c r="O192" s="41">
        <f t="shared" ref="O192" si="685">+E192+H192+K192+N192</f>
        <v>11.998225316679498</v>
      </c>
    </row>
    <row r="193" spans="2:15" ht="26.25" customHeight="1" x14ac:dyDescent="0.35">
      <c r="B193" s="37">
        <v>45826</v>
      </c>
      <c r="C193" s="38"/>
      <c r="D193" s="39"/>
      <c r="E193" s="40">
        <f t="shared" ref="E193" si="686">D193*C193</f>
        <v>0</v>
      </c>
      <c r="F193" s="43"/>
      <c r="G193" s="43"/>
      <c r="H193" s="40">
        <f t="shared" ref="H193" si="687">+G193*F193</f>
        <v>0</v>
      </c>
      <c r="I193" s="42">
        <f t="shared" si="477"/>
        <v>1.0991379299999999</v>
      </c>
      <c r="J193" s="43">
        <v>10.920999999999999</v>
      </c>
      <c r="K193" s="40">
        <f t="shared" ref="K193" si="688">J193*I193</f>
        <v>12.003685333529999</v>
      </c>
      <c r="L193" s="42">
        <f t="shared" si="663"/>
        <v>8.243229999999999E-3</v>
      </c>
      <c r="M193" s="43">
        <v>2.4209100000000001</v>
      </c>
      <c r="N193" s="40">
        <f t="shared" ref="N193" si="689">L193*M193</f>
        <v>1.9956117939299998E-2</v>
      </c>
      <c r="O193" s="41">
        <f t="shared" ref="O193" si="690">+E193+H193+K193+N193</f>
        <v>12.023641451469299</v>
      </c>
    </row>
    <row r="194" spans="2:15" ht="26.25" customHeight="1" x14ac:dyDescent="0.35">
      <c r="B194" s="37">
        <v>45827</v>
      </c>
      <c r="C194" s="38"/>
      <c r="D194" s="39"/>
      <c r="E194" s="40">
        <f t="shared" ref="E194" si="691">D194*C194</f>
        <v>0</v>
      </c>
      <c r="F194" s="43"/>
      <c r="G194" s="43"/>
      <c r="H194" s="40">
        <f t="shared" ref="H194" si="692">+G194*F194</f>
        <v>0</v>
      </c>
      <c r="I194" s="42">
        <f t="shared" si="477"/>
        <v>1.0991379299999999</v>
      </c>
      <c r="J194" s="43">
        <v>10.8728</v>
      </c>
      <c r="K194" s="40">
        <f t="shared" ref="K194" si="693">J194*I194</f>
        <v>11.950706885303999</v>
      </c>
      <c r="L194" s="42">
        <f t="shared" si="663"/>
        <v>8.243229999999999E-3</v>
      </c>
      <c r="M194" s="43">
        <v>2.41568</v>
      </c>
      <c r="N194" s="40">
        <f t="shared" ref="N194" si="694">L194*M194</f>
        <v>1.9913005846399996E-2</v>
      </c>
      <c r="O194" s="41">
        <f t="shared" ref="O194" si="695">+E194+H194+K194+N194</f>
        <v>11.970619891150399</v>
      </c>
    </row>
    <row r="195" spans="2:15" ht="26.25" customHeight="1" x14ac:dyDescent="0.35">
      <c r="B195" s="37">
        <v>45828</v>
      </c>
      <c r="C195" s="38"/>
      <c r="D195" s="39"/>
      <c r="E195" s="40">
        <f t="shared" ref="E195" si="696">D195*C195</f>
        <v>0</v>
      </c>
      <c r="F195" s="43"/>
      <c r="G195" s="43"/>
      <c r="H195" s="40">
        <f t="shared" ref="H195" si="697">+G195*F195</f>
        <v>0</v>
      </c>
      <c r="I195" s="42">
        <f t="shared" si="477"/>
        <v>1.0991379299999999</v>
      </c>
      <c r="J195" s="43">
        <v>10.8605</v>
      </c>
      <c r="K195" s="40">
        <f t="shared" ref="K195" si="698">J195*I195</f>
        <v>11.937187488765</v>
      </c>
      <c r="L195" s="42">
        <f t="shared" si="663"/>
        <v>8.243229999999999E-3</v>
      </c>
      <c r="M195" s="43">
        <v>2.3904000000000001</v>
      </c>
      <c r="N195" s="40">
        <f t="shared" ref="N195" si="699">L195*M195</f>
        <v>1.9704616991999997E-2</v>
      </c>
      <c r="O195" s="41">
        <f t="shared" ref="O195" si="700">+E195+H195+K195+N195</f>
        <v>11.956892105756999</v>
      </c>
    </row>
    <row r="196" spans="2:15" ht="26.25" customHeight="1" x14ac:dyDescent="0.35">
      <c r="B196" s="37">
        <v>45831</v>
      </c>
      <c r="C196" s="38"/>
      <c r="D196" s="39"/>
      <c r="E196" s="40">
        <f t="shared" ref="E196" si="701">D196*C196</f>
        <v>0</v>
      </c>
      <c r="F196" s="43"/>
      <c r="G196" s="43"/>
      <c r="H196" s="40">
        <f t="shared" ref="H196" si="702">+G196*F196</f>
        <v>0</v>
      </c>
      <c r="I196" s="42">
        <f t="shared" si="477"/>
        <v>1.0991379299999999</v>
      </c>
      <c r="J196" s="43">
        <v>10.902100000000001</v>
      </c>
      <c r="K196" s="40">
        <f t="shared" ref="K196" si="703">J196*I196</f>
        <v>11.982911626652999</v>
      </c>
      <c r="L196" s="42">
        <f t="shared" si="663"/>
        <v>8.243229999999999E-3</v>
      </c>
      <c r="M196" s="43">
        <v>2.3924699999999999</v>
      </c>
      <c r="N196" s="40">
        <f t="shared" ref="N196" si="704">L196*M196</f>
        <v>1.9721680478099995E-2</v>
      </c>
      <c r="O196" s="41">
        <f t="shared" ref="O196" si="705">+E196+H196+K196+N196</f>
        <v>12.002633307131099</v>
      </c>
    </row>
    <row r="197" spans="2:15" ht="26.25" customHeight="1" x14ac:dyDescent="0.35">
      <c r="B197" s="37">
        <v>45832</v>
      </c>
      <c r="C197" s="38"/>
      <c r="D197" s="39"/>
      <c r="E197" s="40">
        <f t="shared" ref="E197" si="706">D197*C197</f>
        <v>0</v>
      </c>
      <c r="F197" s="43"/>
      <c r="G197" s="43"/>
      <c r="H197" s="40">
        <f t="shared" ref="H197" si="707">+G197*F197</f>
        <v>0</v>
      </c>
      <c r="I197" s="42">
        <f t="shared" si="477"/>
        <v>1.0991379299999999</v>
      </c>
      <c r="J197" s="43">
        <v>10.8691</v>
      </c>
      <c r="K197" s="40">
        <f t="shared" ref="K197" si="708">J197*I197</f>
        <v>11.946640074962998</v>
      </c>
      <c r="L197" s="42">
        <f t="shared" si="663"/>
        <v>8.243229999999999E-3</v>
      </c>
      <c r="M197" s="43">
        <v>2.3730000000000002</v>
      </c>
      <c r="N197" s="40">
        <f t="shared" ref="N197" si="709">L197*M197</f>
        <v>1.9561184789999998E-2</v>
      </c>
      <c r="O197" s="41">
        <f t="shared" ref="O197" si="710">+E197+H197+K197+N197</f>
        <v>11.966201259752998</v>
      </c>
    </row>
    <row r="198" spans="2:15" ht="26.25" customHeight="1" x14ac:dyDescent="0.35">
      <c r="B198" s="37">
        <v>45833</v>
      </c>
      <c r="C198" s="38"/>
      <c r="D198" s="39"/>
      <c r="E198" s="40">
        <f t="shared" ref="E198" si="711">D198*C198</f>
        <v>0</v>
      </c>
      <c r="F198" s="43"/>
      <c r="G198" s="43"/>
      <c r="H198" s="40">
        <f t="shared" ref="H198" si="712">+G198*F198</f>
        <v>0</v>
      </c>
      <c r="I198" s="42">
        <f t="shared" si="477"/>
        <v>1.0991379299999999</v>
      </c>
      <c r="J198" s="43">
        <v>10.9657</v>
      </c>
      <c r="K198" s="40">
        <f t="shared" ref="K198" si="713">J198*I198</f>
        <v>12.052816799000999</v>
      </c>
      <c r="L198" s="42">
        <f t="shared" si="663"/>
        <v>8.243229999999999E-3</v>
      </c>
      <c r="M198" s="43">
        <v>2.39378</v>
      </c>
      <c r="N198" s="40">
        <f t="shared" ref="N198" si="714">L198*M198</f>
        <v>1.9732479109399997E-2</v>
      </c>
      <c r="O198" s="41">
        <f t="shared" ref="O198" si="715">+E198+H198+K198+N198</f>
        <v>12.072549278110399</v>
      </c>
    </row>
    <row r="199" spans="2:15" ht="26.25" customHeight="1" x14ac:dyDescent="0.35">
      <c r="B199" s="37">
        <v>45834</v>
      </c>
      <c r="C199" s="38"/>
      <c r="D199" s="39"/>
      <c r="E199" s="40">
        <f t="shared" ref="E199" si="716">D199*C199</f>
        <v>0</v>
      </c>
      <c r="F199" s="43"/>
      <c r="G199" s="43"/>
      <c r="H199" s="40">
        <f t="shared" ref="H199" si="717">+G199*F199</f>
        <v>0</v>
      </c>
      <c r="I199" s="42">
        <f t="shared" si="477"/>
        <v>1.0991379299999999</v>
      </c>
      <c r="J199" s="43">
        <v>10.9069</v>
      </c>
      <c r="K199" s="40">
        <f t="shared" ref="K199" si="718">J199*I199</f>
        <v>11.988187488716999</v>
      </c>
      <c r="L199" s="42">
        <f t="shared" si="663"/>
        <v>8.243229999999999E-3</v>
      </c>
      <c r="M199" s="43">
        <v>2.39784</v>
      </c>
      <c r="N199" s="40">
        <f t="shared" ref="N199" si="719">L199*M199</f>
        <v>1.9765946623199998E-2</v>
      </c>
      <c r="O199" s="41">
        <f t="shared" ref="O199" si="720">+E199+H199+K199+N199</f>
        <v>12.0079534353402</v>
      </c>
    </row>
    <row r="200" spans="2:15" ht="26.25" customHeight="1" x14ac:dyDescent="0.35">
      <c r="B200" s="37">
        <v>45835</v>
      </c>
      <c r="C200" s="38"/>
      <c r="D200" s="39"/>
      <c r="E200" s="40">
        <f t="shared" ref="E200" si="721">D200*C200</f>
        <v>0</v>
      </c>
      <c r="F200" s="43"/>
      <c r="G200" s="43"/>
      <c r="H200" s="40">
        <f t="shared" ref="H200" si="722">+G200*F200</f>
        <v>0</v>
      </c>
      <c r="I200" s="42">
        <f t="shared" si="477"/>
        <v>1.0991379299999999</v>
      </c>
      <c r="J200" s="43">
        <v>10.9343</v>
      </c>
      <c r="K200" s="40">
        <f t="shared" ref="K200" si="723">J200*I200</f>
        <v>12.018303867999</v>
      </c>
      <c r="L200" s="42">
        <f t="shared" si="663"/>
        <v>8.243229999999999E-3</v>
      </c>
      <c r="M200" s="43">
        <v>2.4129</v>
      </c>
      <c r="N200" s="40">
        <f t="shared" ref="N200" si="724">L200*M200</f>
        <v>1.9890089666999997E-2</v>
      </c>
      <c r="O200" s="41">
        <f t="shared" ref="O200" si="725">+E200+H200+K200+N200</f>
        <v>12.038193957666</v>
      </c>
    </row>
    <row r="201" spans="2:15" ht="26.25" customHeight="1" x14ac:dyDescent="0.35">
      <c r="B201" s="37">
        <v>45838</v>
      </c>
      <c r="C201" s="38"/>
      <c r="D201" s="39"/>
      <c r="E201" s="40">
        <f t="shared" ref="E201" si="726">D201*C201</f>
        <v>0</v>
      </c>
      <c r="F201" s="43"/>
      <c r="G201" s="43"/>
      <c r="H201" s="40">
        <f t="shared" ref="H201" si="727">+G201*F201</f>
        <v>0</v>
      </c>
      <c r="I201" s="42">
        <f t="shared" si="477"/>
        <v>1.0991379299999999</v>
      </c>
      <c r="J201" s="43">
        <v>10.943300000000001</v>
      </c>
      <c r="K201" s="40">
        <f t="shared" ref="K201" si="728">J201*I201</f>
        <v>12.028196109369</v>
      </c>
      <c r="L201" s="42">
        <f t="shared" si="663"/>
        <v>8.243229999999999E-3</v>
      </c>
      <c r="M201" s="43">
        <v>2.4113699999999998</v>
      </c>
      <c r="N201" s="40">
        <f t="shared" ref="N201" si="729">L201*M201</f>
        <v>1.9877477525099996E-2</v>
      </c>
      <c r="O201" s="41">
        <f t="shared" ref="O201" si="730">+E201+H201+K201+N201</f>
        <v>12.0480735868941</v>
      </c>
    </row>
    <row r="202" spans="2:15" ht="26.25" customHeight="1" x14ac:dyDescent="0.35">
      <c r="B202" s="37">
        <v>45839</v>
      </c>
      <c r="C202" s="38"/>
      <c r="D202" s="39"/>
      <c r="E202" s="40">
        <f t="shared" ref="E202" si="731">D202*C202</f>
        <v>0</v>
      </c>
      <c r="F202" s="43"/>
      <c r="G202" s="43"/>
      <c r="H202" s="40">
        <f t="shared" ref="H202" si="732">+G202*F202</f>
        <v>0</v>
      </c>
      <c r="I202" s="42">
        <f t="shared" si="477"/>
        <v>1.0991379299999999</v>
      </c>
      <c r="J202" s="43">
        <v>10.9298</v>
      </c>
      <c r="K202" s="40">
        <f t="shared" ref="K202" si="733">J202*I202</f>
        <v>12.013357747314</v>
      </c>
      <c r="L202" s="42">
        <f t="shared" si="663"/>
        <v>8.243229999999999E-3</v>
      </c>
      <c r="M202" s="43">
        <v>2.4140299999999999</v>
      </c>
      <c r="N202" s="40">
        <f t="shared" ref="N202" si="734">L202*M202</f>
        <v>1.9899404516899998E-2</v>
      </c>
      <c r="O202" s="41">
        <f t="shared" ref="O202" si="735">+E202+H202+K202+N202</f>
        <v>12.033257151830901</v>
      </c>
    </row>
    <row r="203" spans="2:15" ht="26.25" customHeight="1" x14ac:dyDescent="0.35">
      <c r="B203" s="37">
        <v>45840</v>
      </c>
      <c r="C203" s="38"/>
      <c r="D203" s="39"/>
      <c r="E203" s="40">
        <f t="shared" ref="E203" si="736">D203*C203</f>
        <v>0</v>
      </c>
      <c r="F203" s="43"/>
      <c r="G203" s="43"/>
      <c r="H203" s="40">
        <f t="shared" ref="H203" si="737">+G203*F203</f>
        <v>0</v>
      </c>
      <c r="I203" s="42">
        <f t="shared" si="477"/>
        <v>1.0991379299999999</v>
      </c>
      <c r="J203" s="43">
        <v>10.9384</v>
      </c>
      <c r="K203" s="40">
        <f t="shared" ref="K203" si="738">J203*I203</f>
        <v>12.022810333511998</v>
      </c>
      <c r="L203" s="42">
        <f t="shared" si="663"/>
        <v>8.243229999999999E-3</v>
      </c>
      <c r="M203" s="43">
        <v>2.4144199999999998</v>
      </c>
      <c r="N203" s="40">
        <f t="shared" ref="N203" si="739">L203*M203</f>
        <v>1.9902619376599994E-2</v>
      </c>
      <c r="O203" s="41">
        <f t="shared" ref="O203" si="740">+E203+H203+K203+N203</f>
        <v>12.042712952888598</v>
      </c>
    </row>
    <row r="204" spans="2:15" ht="26.25" customHeight="1" x14ac:dyDescent="0.35">
      <c r="B204" s="37">
        <v>45841</v>
      </c>
      <c r="C204" s="38"/>
      <c r="D204" s="39"/>
      <c r="E204" s="40">
        <f t="shared" ref="E204" si="741">D204*C204</f>
        <v>0</v>
      </c>
      <c r="F204" s="43"/>
      <c r="G204" s="43"/>
      <c r="H204" s="40">
        <f t="shared" ref="H204" si="742">+G204*F204</f>
        <v>0</v>
      </c>
      <c r="I204" s="42">
        <f t="shared" si="477"/>
        <v>1.0991379299999999</v>
      </c>
      <c r="J204" s="43">
        <v>10.9465</v>
      </c>
      <c r="K204" s="40">
        <f t="shared" ref="K204" si="743">J204*I204</f>
        <v>12.031713350744999</v>
      </c>
      <c r="L204" s="42">
        <f t="shared" si="663"/>
        <v>8.243229999999999E-3</v>
      </c>
      <c r="M204" s="43">
        <v>2.4228800000000001</v>
      </c>
      <c r="N204" s="40">
        <f t="shared" ref="N204" si="744">L204*M204</f>
        <v>1.9972357102399998E-2</v>
      </c>
      <c r="O204" s="41">
        <f t="shared" ref="O204" si="745">+E204+H204+K204+N204</f>
        <v>12.051685707847399</v>
      </c>
    </row>
    <row r="205" spans="2:15" ht="26.25" customHeight="1" x14ac:dyDescent="0.35">
      <c r="B205" s="37">
        <v>45842</v>
      </c>
      <c r="C205" s="38"/>
      <c r="D205" s="39"/>
      <c r="E205" s="40">
        <f t="shared" ref="E205" si="746">D205*C205</f>
        <v>0</v>
      </c>
      <c r="F205" s="43"/>
      <c r="G205" s="43"/>
      <c r="H205" s="40">
        <f t="shared" ref="H205" si="747">+G205*F205</f>
        <v>0</v>
      </c>
      <c r="I205" s="42">
        <f t="shared" si="477"/>
        <v>1.0991379299999999</v>
      </c>
      <c r="J205" s="43">
        <v>10.985200000000001</v>
      </c>
      <c r="K205" s="40">
        <f t="shared" ref="K205" si="748">J205*I205</f>
        <v>12.074249988636</v>
      </c>
      <c r="L205" s="42">
        <f t="shared" si="663"/>
        <v>8.243229999999999E-3</v>
      </c>
      <c r="M205" s="43">
        <v>2.4357099999999998</v>
      </c>
      <c r="N205" s="40">
        <f t="shared" ref="N205" si="749">L205*M205</f>
        <v>2.0078117743299997E-2</v>
      </c>
      <c r="O205" s="41">
        <f t="shared" ref="O205" si="750">+E205+H205+K205+N205</f>
        <v>12.094328106379299</v>
      </c>
    </row>
    <row r="206" spans="2:15" ht="26.25" customHeight="1" x14ac:dyDescent="0.35">
      <c r="B206" s="37">
        <v>45845</v>
      </c>
      <c r="C206" s="38"/>
      <c r="D206" s="39"/>
      <c r="E206" s="40">
        <f t="shared" ref="E206" si="751">D206*C206</f>
        <v>0</v>
      </c>
      <c r="F206" s="43"/>
      <c r="G206" s="43"/>
      <c r="H206" s="40">
        <f t="shared" ref="H206" si="752">+G206*F206</f>
        <v>0</v>
      </c>
      <c r="I206" s="42">
        <f t="shared" si="477"/>
        <v>1.0991379299999999</v>
      </c>
      <c r="J206" s="43">
        <v>10.9947</v>
      </c>
      <c r="K206" s="40">
        <f t="shared" ref="K206" si="753">J206*I206</f>
        <v>12.084691798970999</v>
      </c>
      <c r="L206" s="42">
        <f t="shared" si="663"/>
        <v>8.243229999999999E-3</v>
      </c>
      <c r="M206" s="43">
        <v>2.4332699999999998</v>
      </c>
      <c r="N206" s="40">
        <f t="shared" ref="N206" si="754">L206*M206</f>
        <v>2.0058004262099995E-2</v>
      </c>
      <c r="O206" s="41">
        <f t="shared" ref="O206" si="755">+E206+H206+K206+N206</f>
        <v>12.1047498032331</v>
      </c>
    </row>
    <row r="207" spans="2:15" ht="26.25" customHeight="1" x14ac:dyDescent="0.35">
      <c r="B207" s="37">
        <v>45846</v>
      </c>
      <c r="C207" s="38"/>
      <c r="D207" s="39"/>
      <c r="E207" s="40">
        <f t="shared" ref="E207" si="756">D207*C207</f>
        <v>0</v>
      </c>
      <c r="F207" s="43"/>
      <c r="G207" s="43"/>
      <c r="H207" s="40">
        <f t="shared" ref="H207" si="757">+G207*F207</f>
        <v>0</v>
      </c>
      <c r="I207" s="42">
        <f t="shared" si="477"/>
        <v>1.0991379299999999</v>
      </c>
      <c r="J207" s="43">
        <v>10.9808</v>
      </c>
      <c r="K207" s="40">
        <f t="shared" ref="K207" si="758">J207*I207</f>
        <v>12.069413781744</v>
      </c>
      <c r="L207" s="42">
        <f t="shared" si="663"/>
        <v>8.243229999999999E-3</v>
      </c>
      <c r="M207" s="43">
        <v>2.4177900000000001</v>
      </c>
      <c r="N207" s="40">
        <f t="shared" ref="N207" si="759">L207*M207</f>
        <v>1.9930399061699997E-2</v>
      </c>
      <c r="O207" s="41">
        <f t="shared" ref="O207" si="760">+E207+H207+K207+N207</f>
        <v>12.0893441808057</v>
      </c>
    </row>
    <row r="208" spans="2:15" ht="26.25" customHeight="1" x14ac:dyDescent="0.35">
      <c r="B208" s="37">
        <v>45847</v>
      </c>
      <c r="C208" s="38"/>
      <c r="D208" s="39"/>
      <c r="E208" s="40">
        <f t="shared" ref="E208" si="761">D208*C208</f>
        <v>0</v>
      </c>
      <c r="F208" s="43"/>
      <c r="G208" s="43"/>
      <c r="H208" s="40">
        <f t="shared" ref="H208" si="762">+G208*F208</f>
        <v>0</v>
      </c>
      <c r="I208" s="42">
        <f t="shared" si="477"/>
        <v>1.0991379299999999</v>
      </c>
      <c r="J208" s="43">
        <v>10.8597</v>
      </c>
      <c r="K208" s="40">
        <f t="shared" ref="K208" si="763">J208*I208</f>
        <v>11.936308178420999</v>
      </c>
      <c r="L208" s="42">
        <f t="shared" si="663"/>
        <v>8.243229999999999E-3</v>
      </c>
      <c r="M208" s="43">
        <v>2.4052500000000001</v>
      </c>
      <c r="N208" s="40">
        <f t="shared" ref="N208" si="764">L208*M208</f>
        <v>1.9827028957499999E-2</v>
      </c>
      <c r="O208" s="41">
        <f t="shared" ref="O208" si="765">+E208+H208+K208+N208</f>
        <v>11.9561352073785</v>
      </c>
    </row>
    <row r="209" spans="2:15" ht="26.25" customHeight="1" x14ac:dyDescent="0.35">
      <c r="B209" s="37">
        <v>45848</v>
      </c>
      <c r="C209" s="38"/>
      <c r="D209" s="39"/>
      <c r="E209" s="40">
        <f t="shared" ref="E209" si="766">D209*C209</f>
        <v>0</v>
      </c>
      <c r="F209" s="43"/>
      <c r="G209" s="43"/>
      <c r="H209" s="40">
        <f t="shared" ref="H209" si="767">+G209*F209</f>
        <v>0</v>
      </c>
      <c r="I209" s="42">
        <f t="shared" si="477"/>
        <v>1.0991379299999999</v>
      </c>
      <c r="J209" s="43">
        <v>10.849399999999999</v>
      </c>
      <c r="K209" s="40">
        <f t="shared" ref="K209" si="768">J209*I209</f>
        <v>11.924987057741998</v>
      </c>
      <c r="L209" s="42">
        <f t="shared" si="663"/>
        <v>8.243229999999999E-3</v>
      </c>
      <c r="M209" s="43">
        <v>2.3942600000000001</v>
      </c>
      <c r="N209" s="40">
        <f t="shared" ref="N209" si="769">L209*M209</f>
        <v>1.9736435859799999E-2</v>
      </c>
      <c r="O209" s="41">
        <f t="shared" ref="O209" si="770">+E209+H209+K209+N209</f>
        <v>11.944723493601797</v>
      </c>
    </row>
    <row r="210" spans="2:15" ht="26.25" customHeight="1" x14ac:dyDescent="0.35">
      <c r="B210" s="37">
        <v>45849</v>
      </c>
      <c r="C210" s="38"/>
      <c r="D210" s="39"/>
      <c r="E210" s="40">
        <f t="shared" ref="E210" si="771">D210*C210</f>
        <v>0</v>
      </c>
      <c r="F210" s="43"/>
      <c r="G210" s="43"/>
      <c r="H210" s="40">
        <f t="shared" ref="H210" si="772">+G210*F210</f>
        <v>0</v>
      </c>
      <c r="I210" s="42">
        <f t="shared" si="477"/>
        <v>1.0991379299999999</v>
      </c>
      <c r="J210" s="43">
        <v>10.8185</v>
      </c>
      <c r="K210" s="40">
        <f t="shared" ref="K210" si="773">J210*I210</f>
        <v>11.891023695705</v>
      </c>
      <c r="L210" s="42"/>
      <c r="M210" s="43"/>
      <c r="N210" s="40">
        <f t="shared" ref="N210" si="774">L210*M210</f>
        <v>0</v>
      </c>
      <c r="O210" s="41">
        <f t="shared" ref="O210" si="775">+E210+H210+K210+N210</f>
        <v>11.891023695705</v>
      </c>
    </row>
    <row r="211" spans="2:15" ht="26.25" customHeight="1" x14ac:dyDescent="0.35">
      <c r="B211" s="37">
        <v>45852</v>
      </c>
      <c r="C211" s="38"/>
      <c r="D211" s="39"/>
      <c r="E211" s="40">
        <f t="shared" ref="E211" si="776">D211*C211</f>
        <v>0</v>
      </c>
      <c r="F211" s="43"/>
      <c r="G211" s="43"/>
      <c r="H211" s="40">
        <f t="shared" ref="H211" si="777">+G211*F211</f>
        <v>0</v>
      </c>
      <c r="I211" s="42">
        <f t="shared" si="477"/>
        <v>1.0991379299999999</v>
      </c>
      <c r="J211" s="43">
        <v>10.843500000000001</v>
      </c>
      <c r="K211" s="40">
        <f t="shared" ref="K211" si="778">J211*I211</f>
        <v>11.918502143954999</v>
      </c>
      <c r="L211" s="42"/>
      <c r="M211" s="43"/>
      <c r="N211" s="40">
        <f t="shared" ref="N211" si="779">L211*M211</f>
        <v>0</v>
      </c>
      <c r="O211" s="41">
        <f t="shared" ref="O211" si="780">+E211+H211+K211+N211</f>
        <v>11.918502143954999</v>
      </c>
    </row>
    <row r="212" spans="2:15" ht="26.25" customHeight="1" x14ac:dyDescent="0.35">
      <c r="B212" s="37">
        <v>45853</v>
      </c>
      <c r="C212" s="38"/>
      <c r="D212" s="39"/>
      <c r="E212" s="40">
        <f t="shared" ref="E212" si="781">D212*C212</f>
        <v>0</v>
      </c>
      <c r="F212" s="43"/>
      <c r="G212" s="43"/>
      <c r="H212" s="40">
        <f t="shared" ref="H212" si="782">+G212*F212</f>
        <v>0</v>
      </c>
      <c r="I212" s="42">
        <f t="shared" si="477"/>
        <v>1.0991379299999999</v>
      </c>
      <c r="J212" s="43">
        <v>10.8932</v>
      </c>
      <c r="K212" s="40">
        <f t="shared" ref="K212" si="783">J212*I212</f>
        <v>11.973129299076</v>
      </c>
      <c r="L212" s="42"/>
      <c r="M212" s="43"/>
      <c r="N212" s="40">
        <f t="shared" ref="N212" si="784">L212*M212</f>
        <v>0</v>
      </c>
      <c r="O212" s="41">
        <f t="shared" ref="O212" si="785">+E212+H212+K212+N212</f>
        <v>11.973129299076</v>
      </c>
    </row>
    <row r="213" spans="2:15" ht="26.25" customHeight="1" x14ac:dyDescent="0.35">
      <c r="B213" s="37">
        <v>45854</v>
      </c>
      <c r="C213" s="38"/>
      <c r="D213" s="39"/>
      <c r="E213" s="40">
        <f t="shared" ref="E213" si="786">D213*C213</f>
        <v>0</v>
      </c>
      <c r="F213" s="43"/>
      <c r="G213" s="43"/>
      <c r="H213" s="40">
        <f t="shared" ref="H213" si="787">+G213*F213</f>
        <v>0</v>
      </c>
      <c r="I213" s="42">
        <f t="shared" si="477"/>
        <v>1.0991379299999999</v>
      </c>
      <c r="J213" s="43">
        <v>10.8353</v>
      </c>
      <c r="K213" s="40">
        <f t="shared" ref="K213" si="788">J213*I213</f>
        <v>11.909489212929</v>
      </c>
      <c r="L213" s="42"/>
      <c r="M213" s="43"/>
      <c r="N213" s="40">
        <f t="shared" ref="N213" si="789">L213*M213</f>
        <v>0</v>
      </c>
      <c r="O213" s="41">
        <f t="shared" ref="O213" si="790">+E213+H213+K213+N213</f>
        <v>11.909489212929</v>
      </c>
    </row>
    <row r="214" spans="2:15" ht="26.25" customHeight="1" x14ac:dyDescent="0.35">
      <c r="B214" s="37">
        <v>45855</v>
      </c>
      <c r="C214" s="38"/>
      <c r="D214" s="39"/>
      <c r="E214" s="40">
        <f t="shared" ref="E214" si="791">D214*C214</f>
        <v>0</v>
      </c>
      <c r="F214" s="43"/>
      <c r="G214" s="43"/>
      <c r="H214" s="40">
        <f t="shared" ref="H214" si="792">+G214*F214</f>
        <v>0</v>
      </c>
      <c r="I214" s="42">
        <f t="shared" si="477"/>
        <v>1.0991379299999999</v>
      </c>
      <c r="J214" s="43">
        <v>10.8414</v>
      </c>
      <c r="K214" s="40">
        <f t="shared" ref="K214" si="793">J214*I214</f>
        <v>11.916193954301999</v>
      </c>
      <c r="L214" s="42"/>
      <c r="M214" s="43"/>
      <c r="N214" s="40">
        <f t="shared" ref="N214" si="794">L214*M214</f>
        <v>0</v>
      </c>
      <c r="O214" s="41">
        <f t="shared" ref="O214" si="795">+E214+H214+K214+N214</f>
        <v>11.916193954301999</v>
      </c>
    </row>
    <row r="215" spans="2:15" ht="26.25" customHeight="1" x14ac:dyDescent="0.35">
      <c r="B215" s="37">
        <v>45856</v>
      </c>
      <c r="C215" s="38"/>
      <c r="D215" s="39"/>
      <c r="E215" s="40">
        <f t="shared" ref="E215" si="796">D215*C215</f>
        <v>0</v>
      </c>
      <c r="F215" s="43"/>
      <c r="G215" s="43"/>
      <c r="H215" s="40">
        <f t="shared" ref="H215" si="797">+G215*F215</f>
        <v>0</v>
      </c>
      <c r="I215" s="42">
        <f t="shared" si="477"/>
        <v>1.0991379299999999</v>
      </c>
      <c r="J215" s="43">
        <v>10.8787</v>
      </c>
      <c r="K215" s="40">
        <f t="shared" ref="K215" si="798">J215*I215</f>
        <v>11.957191799090999</v>
      </c>
      <c r="L215" s="42"/>
      <c r="M215" s="43"/>
      <c r="N215" s="40">
        <f t="shared" ref="N215" si="799">L215*M215</f>
        <v>0</v>
      </c>
      <c r="O215" s="41">
        <f t="shared" ref="O215" si="800">+E215+H215+K215+N215</f>
        <v>11.957191799090999</v>
      </c>
    </row>
    <row r="216" spans="2:15" ht="26.25" customHeight="1" x14ac:dyDescent="0.35">
      <c r="B216" s="37">
        <v>45859</v>
      </c>
      <c r="C216" s="38"/>
      <c r="D216" s="39"/>
      <c r="E216" s="40">
        <f t="shared" ref="E216" si="801">D216*C216</f>
        <v>0</v>
      </c>
      <c r="F216" s="43"/>
      <c r="G216" s="43"/>
      <c r="H216" s="40">
        <f t="shared" ref="H216" si="802">+G216*F216</f>
        <v>0</v>
      </c>
      <c r="I216" s="42">
        <f t="shared" si="477"/>
        <v>1.0991379299999999</v>
      </c>
      <c r="J216" s="43">
        <v>10.895899999999999</v>
      </c>
      <c r="K216" s="40">
        <f t="shared" ref="K216" si="803">J216*I216</f>
        <v>11.976096971486998</v>
      </c>
      <c r="L216" s="42"/>
      <c r="M216" s="43"/>
      <c r="N216" s="40">
        <f t="shared" ref="N216" si="804">L216*M216</f>
        <v>0</v>
      </c>
      <c r="O216" s="41">
        <f t="shared" ref="O216" si="805">+E216+H216+K216+N216</f>
        <v>11.976096971486998</v>
      </c>
    </row>
    <row r="217" spans="2:15" ht="26.25" customHeight="1" x14ac:dyDescent="0.35">
      <c r="B217" s="37">
        <v>45860</v>
      </c>
      <c r="C217" s="38"/>
      <c r="D217" s="39"/>
      <c r="E217" s="40">
        <f t="shared" ref="E217" si="806">D217*C217</f>
        <v>0</v>
      </c>
      <c r="F217" s="43"/>
      <c r="G217" s="43"/>
      <c r="H217" s="40">
        <f t="shared" ref="H217" si="807">+G217*F217</f>
        <v>0</v>
      </c>
      <c r="I217" s="42">
        <f t="shared" si="477"/>
        <v>1.0991379299999999</v>
      </c>
      <c r="J217" s="43">
        <v>10.891</v>
      </c>
      <c r="K217" s="40">
        <f t="shared" ref="K217" si="808">J217*I217</f>
        <v>11.970711195629999</v>
      </c>
      <c r="L217" s="42"/>
      <c r="M217" s="43"/>
      <c r="N217" s="40">
        <f t="shared" ref="N217" si="809">L217*M217</f>
        <v>0</v>
      </c>
      <c r="O217" s="41">
        <f t="shared" ref="O217" si="810">+E217+H217+K217+N217</f>
        <v>11.970711195629999</v>
      </c>
    </row>
    <row r="218" spans="2:15" ht="26.25" customHeight="1" x14ac:dyDescent="0.35">
      <c r="B218" s="37">
        <v>45861</v>
      </c>
      <c r="C218" s="38"/>
      <c r="D218" s="39"/>
      <c r="E218" s="40">
        <f t="shared" ref="E218" si="811">D218*C218</f>
        <v>0</v>
      </c>
      <c r="F218" s="43"/>
      <c r="G218" s="43"/>
      <c r="H218" s="40">
        <f t="shared" ref="H218" si="812">+G218*F218</f>
        <v>0</v>
      </c>
      <c r="I218" s="42">
        <f t="shared" si="477"/>
        <v>1.0991379299999999</v>
      </c>
      <c r="J218" s="43">
        <v>10.882899999999999</v>
      </c>
      <c r="K218" s="40">
        <f t="shared" ref="K218" si="813">J218*I218</f>
        <v>11.961808178396998</v>
      </c>
      <c r="L218" s="42"/>
      <c r="M218" s="43"/>
      <c r="N218" s="40">
        <f t="shared" ref="N218" si="814">L218*M218</f>
        <v>0</v>
      </c>
      <c r="O218" s="41">
        <f t="shared" ref="O218" si="815">+E218+H218+K218+N218</f>
        <v>11.961808178396998</v>
      </c>
    </row>
    <row r="219" spans="2:15" ht="26.25" customHeight="1" x14ac:dyDescent="0.35">
      <c r="B219" s="37">
        <v>45862</v>
      </c>
      <c r="C219" s="38"/>
      <c r="D219" s="39"/>
      <c r="E219" s="40">
        <f t="shared" ref="E219" si="816">D219*C219</f>
        <v>0</v>
      </c>
      <c r="F219" s="43"/>
      <c r="G219" s="43"/>
      <c r="H219" s="40">
        <f t="shared" ref="H219" si="817">+G219*F219</f>
        <v>0</v>
      </c>
      <c r="I219" s="42">
        <f t="shared" si="477"/>
        <v>1.0991379299999999</v>
      </c>
      <c r="J219" s="43">
        <v>10.959300000000001</v>
      </c>
      <c r="K219" s="40">
        <f t="shared" ref="K219" si="818">J219*I219</f>
        <v>12.045782316248999</v>
      </c>
      <c r="L219" s="42"/>
      <c r="M219" s="43"/>
      <c r="N219" s="40">
        <f t="shared" ref="N219" si="819">L219*M219</f>
        <v>0</v>
      </c>
      <c r="O219" s="41">
        <f t="shared" ref="O219" si="820">+E219+H219+K219+N219</f>
        <v>12.045782316248999</v>
      </c>
    </row>
    <row r="220" spans="2:15" ht="26.25" customHeight="1" x14ac:dyDescent="0.35">
      <c r="B220" s="37">
        <v>45863</v>
      </c>
      <c r="C220" s="38"/>
      <c r="D220" s="39"/>
      <c r="E220" s="40">
        <f t="shared" ref="E220" si="821">D220*C220</f>
        <v>0</v>
      </c>
      <c r="F220" s="43"/>
      <c r="G220" s="43"/>
      <c r="H220" s="40">
        <f t="shared" ref="H220" si="822">+G220*F220</f>
        <v>0</v>
      </c>
      <c r="I220" s="42">
        <f t="shared" si="477"/>
        <v>1.0991379299999999</v>
      </c>
      <c r="J220" s="43">
        <v>11.065200000000001</v>
      </c>
      <c r="K220" s="40">
        <f t="shared" ref="K220" si="823">J220*I220</f>
        <v>12.162181023036</v>
      </c>
      <c r="L220" s="42"/>
      <c r="M220" s="43"/>
      <c r="N220" s="40">
        <f t="shared" ref="N220" si="824">L220*M220</f>
        <v>0</v>
      </c>
      <c r="O220" s="41">
        <f t="shared" ref="O220" si="825">+E220+H220+K220+N220</f>
        <v>12.162181023036</v>
      </c>
    </row>
    <row r="221" spans="2:15" ht="26.25" customHeight="1" x14ac:dyDescent="0.35">
      <c r="B221" s="37">
        <v>45866</v>
      </c>
      <c r="C221" s="38"/>
      <c r="D221" s="39"/>
      <c r="E221" s="40">
        <f t="shared" ref="E221" si="826">D221*C221</f>
        <v>0</v>
      </c>
      <c r="F221" s="43"/>
      <c r="G221" s="43"/>
      <c r="H221" s="40">
        <f t="shared" ref="H221" si="827">+G221*F221</f>
        <v>0</v>
      </c>
      <c r="I221" s="42">
        <f t="shared" si="477"/>
        <v>1.0991379299999999</v>
      </c>
      <c r="J221" s="43">
        <v>11.065899999999999</v>
      </c>
      <c r="K221" s="40">
        <f t="shared" ref="K221" si="828">J221*I221</f>
        <v>12.162950419586998</v>
      </c>
      <c r="L221" s="42"/>
      <c r="M221" s="43"/>
      <c r="N221" s="40">
        <f t="shared" ref="N221" si="829">L221*M221</f>
        <v>0</v>
      </c>
      <c r="O221" s="41">
        <f t="shared" ref="O221" si="830">+E221+H221+K221+N221</f>
        <v>12.162950419586998</v>
      </c>
    </row>
    <row r="222" spans="2:15" ht="26.25" customHeight="1" x14ac:dyDescent="0.35">
      <c r="B222" s="37">
        <v>45867</v>
      </c>
      <c r="C222" s="38"/>
      <c r="D222" s="39"/>
      <c r="E222" s="40">
        <f t="shared" ref="E222" si="831">D222*C222</f>
        <v>0</v>
      </c>
      <c r="F222" s="43"/>
      <c r="G222" s="43"/>
      <c r="H222" s="40">
        <f t="shared" ref="H222" si="832">+G222*F222</f>
        <v>0</v>
      </c>
      <c r="I222" s="42">
        <f t="shared" si="477"/>
        <v>1.0991379299999999</v>
      </c>
      <c r="J222" s="43">
        <v>11.120900000000001</v>
      </c>
      <c r="K222" s="40">
        <f t="shared" ref="K222" si="833">J222*I222</f>
        <v>12.223403005737</v>
      </c>
      <c r="L222" s="42"/>
      <c r="M222" s="43"/>
      <c r="N222" s="40">
        <f t="shared" ref="N222" si="834">L222*M222</f>
        <v>0</v>
      </c>
      <c r="O222" s="41">
        <f t="shared" ref="O222" si="835">+E222+H222+K222+N222</f>
        <v>12.223403005737</v>
      </c>
    </row>
    <row r="223" spans="2:15" ht="26.25" customHeight="1" x14ac:dyDescent="0.35">
      <c r="B223" s="37">
        <v>45868</v>
      </c>
      <c r="C223" s="38"/>
      <c r="D223" s="39"/>
      <c r="E223" s="40">
        <f t="shared" ref="E223" si="836">D223*C223</f>
        <v>0</v>
      </c>
      <c r="F223" s="43"/>
      <c r="G223" s="43"/>
      <c r="H223" s="40">
        <f t="shared" ref="H223" si="837">+G223*F223</f>
        <v>0</v>
      </c>
      <c r="I223" s="42">
        <f t="shared" si="477"/>
        <v>1.0991379299999999</v>
      </c>
      <c r="J223" s="43">
        <v>11.427</v>
      </c>
      <c r="K223" s="40">
        <f t="shared" ref="K223" si="838">J223*I223</f>
        <v>12.559849126109999</v>
      </c>
      <c r="L223" s="42"/>
      <c r="M223" s="43"/>
      <c r="N223" s="40">
        <f t="shared" ref="N223" si="839">L223*M223</f>
        <v>0</v>
      </c>
      <c r="O223" s="41">
        <f t="shared" ref="O223" si="840">+E223+H223+K223+N223</f>
        <v>12.559849126109999</v>
      </c>
    </row>
    <row r="224" spans="2:15" ht="26.25" customHeight="1" x14ac:dyDescent="0.35">
      <c r="B224" s="37">
        <v>45869</v>
      </c>
      <c r="C224" s="38"/>
      <c r="D224" s="39"/>
      <c r="E224" s="40">
        <f t="shared" ref="E224" si="841">D224*C224</f>
        <v>0</v>
      </c>
      <c r="F224" s="43"/>
      <c r="G224" s="43"/>
      <c r="H224" s="40">
        <f t="shared" ref="H224" si="842">+G224*F224</f>
        <v>0</v>
      </c>
      <c r="I224" s="42">
        <f t="shared" si="477"/>
        <v>1.0991379299999999</v>
      </c>
      <c r="J224" s="43">
        <v>11.3683</v>
      </c>
      <c r="K224" s="40">
        <f t="shared" ref="K224" si="843">J224*I224</f>
        <v>12.495329729618998</v>
      </c>
      <c r="L224" s="42"/>
      <c r="M224" s="43"/>
      <c r="N224" s="40">
        <f t="shared" ref="N224" si="844">L224*M224</f>
        <v>0</v>
      </c>
      <c r="O224" s="41">
        <f t="shared" ref="O224" si="845">+E224+H224+K224+N224</f>
        <v>12.495329729618998</v>
      </c>
    </row>
    <row r="225" spans="2:15" ht="26.25" customHeight="1" x14ac:dyDescent="0.35">
      <c r="B225" s="37">
        <v>45870</v>
      </c>
      <c r="C225" s="38"/>
      <c r="D225" s="39"/>
      <c r="E225" s="40">
        <f t="shared" ref="E225" si="846">D225*C225</f>
        <v>0</v>
      </c>
      <c r="F225" s="43"/>
      <c r="G225" s="43"/>
      <c r="H225" s="40">
        <f t="shared" ref="H225" si="847">+G225*F225</f>
        <v>0</v>
      </c>
      <c r="I225" s="42">
        <f t="shared" si="477"/>
        <v>1.0991379299999999</v>
      </c>
      <c r="J225" s="43">
        <v>11.0928</v>
      </c>
      <c r="K225" s="40">
        <f t="shared" ref="K225" si="848">J225*I225</f>
        <v>12.192517229904</v>
      </c>
      <c r="L225" s="42"/>
      <c r="M225" s="43"/>
      <c r="N225" s="40">
        <f t="shared" ref="N225" si="849">L225*M225</f>
        <v>0</v>
      </c>
      <c r="O225" s="41">
        <f t="shared" ref="O225" si="850">+E225+H225+K225+N225</f>
        <v>12.192517229904</v>
      </c>
    </row>
    <row r="226" spans="2:15" ht="26.25" customHeight="1" x14ac:dyDescent="0.35">
      <c r="B226" s="37">
        <v>45873</v>
      </c>
      <c r="C226" s="38"/>
      <c r="D226" s="39"/>
      <c r="E226" s="40">
        <f t="shared" ref="E226" si="851">D226*C226</f>
        <v>0</v>
      </c>
      <c r="F226" s="43"/>
      <c r="G226" s="43"/>
      <c r="H226" s="40">
        <f t="shared" ref="H226" si="852">+G226*F226</f>
        <v>0</v>
      </c>
      <c r="I226" s="42">
        <f t="shared" si="477"/>
        <v>1.0991379299999999</v>
      </c>
      <c r="J226" s="43">
        <v>11.0899</v>
      </c>
      <c r="K226" s="40">
        <f t="shared" ref="K226" si="853">J226*I226</f>
        <v>12.189329729907</v>
      </c>
      <c r="L226" s="42"/>
      <c r="M226" s="43"/>
      <c r="N226" s="40">
        <f t="shared" ref="N226" si="854">L226*M226</f>
        <v>0</v>
      </c>
      <c r="O226" s="41">
        <f t="shared" ref="O226" si="855">+E226+H226+K226+N226</f>
        <v>12.189329729907</v>
      </c>
    </row>
    <row r="227" spans="2:15" ht="26.25" customHeight="1" x14ac:dyDescent="0.35">
      <c r="B227" s="37">
        <v>45874</v>
      </c>
      <c r="C227" s="38"/>
      <c r="D227" s="39"/>
      <c r="E227" s="40">
        <f t="shared" ref="E227" si="856">D227*C227</f>
        <v>0</v>
      </c>
      <c r="F227" s="43"/>
      <c r="G227" s="43"/>
      <c r="H227" s="40">
        <f t="shared" ref="H227" si="857">+G227*F227</f>
        <v>0</v>
      </c>
      <c r="I227" s="42">
        <f t="shared" si="477"/>
        <v>1.0991379299999999</v>
      </c>
      <c r="J227" s="43">
        <v>11.067</v>
      </c>
      <c r="K227" s="40">
        <f t="shared" ref="K227" si="858">J227*I227</f>
        <v>12.164159471309999</v>
      </c>
      <c r="L227" s="42"/>
      <c r="M227" s="43"/>
      <c r="N227" s="40">
        <f t="shared" ref="N227" si="859">L227*M227</f>
        <v>0</v>
      </c>
      <c r="O227" s="41">
        <f t="shared" ref="O227" si="860">+E227+H227+K227+N227</f>
        <v>12.164159471309999</v>
      </c>
    </row>
    <row r="228" spans="2:15" ht="26.25" customHeight="1" x14ac:dyDescent="0.35">
      <c r="B228" s="37">
        <v>45875</v>
      </c>
      <c r="C228" s="38"/>
      <c r="D228" s="39"/>
      <c r="E228" s="40">
        <f t="shared" ref="E228" si="861">D228*C228</f>
        <v>0</v>
      </c>
      <c r="F228" s="43"/>
      <c r="G228" s="43"/>
      <c r="H228" s="40">
        <f t="shared" ref="H228" si="862">+G228*F228</f>
        <v>0</v>
      </c>
      <c r="I228" s="42">
        <f t="shared" si="477"/>
        <v>1.0991379299999999</v>
      </c>
      <c r="J228" s="43">
        <v>11.1036</v>
      </c>
      <c r="K228" s="40">
        <f t="shared" ref="K228" si="863">J228*I228</f>
        <v>12.204387919547999</v>
      </c>
      <c r="L228" s="42"/>
      <c r="M228" s="43"/>
      <c r="N228" s="40">
        <f t="shared" ref="N228" si="864">L228*M228</f>
        <v>0</v>
      </c>
      <c r="O228" s="41">
        <f t="shared" ref="O228" si="865">+E228+H228+K228+N228</f>
        <v>12.204387919547999</v>
      </c>
    </row>
    <row r="229" spans="2:15" ht="26.25" customHeight="1" x14ac:dyDescent="0.35">
      <c r="B229" s="37">
        <v>45876</v>
      </c>
      <c r="C229" s="38"/>
      <c r="D229" s="39"/>
      <c r="E229" s="40">
        <f t="shared" ref="E229" si="866">D229*C229</f>
        <v>0</v>
      </c>
      <c r="F229" s="43"/>
      <c r="G229" s="43"/>
      <c r="H229" s="40">
        <f t="shared" ref="H229" si="867">+G229*F229</f>
        <v>0</v>
      </c>
      <c r="I229" s="42">
        <f t="shared" si="477"/>
        <v>1.0991379299999999</v>
      </c>
      <c r="J229" s="43">
        <v>11.1165</v>
      </c>
      <c r="K229" s="40">
        <f t="shared" ref="K229" si="868">J229*I229</f>
        <v>12.218566798845</v>
      </c>
      <c r="L229" s="42"/>
      <c r="M229" s="43"/>
      <c r="N229" s="40">
        <f t="shared" ref="N229" si="869">L229*M229</f>
        <v>0</v>
      </c>
      <c r="O229" s="41">
        <f t="shared" ref="O229" si="870">+E229+H229+K229+N229</f>
        <v>12.218566798845</v>
      </c>
    </row>
    <row r="230" spans="2:15" ht="26.25" customHeight="1" x14ac:dyDescent="0.35">
      <c r="B230" s="37">
        <v>45877</v>
      </c>
      <c r="C230" s="38"/>
      <c r="D230" s="39"/>
      <c r="E230" s="40">
        <f t="shared" ref="E230" si="871">D230*C230</f>
        <v>0</v>
      </c>
      <c r="F230" s="43"/>
      <c r="G230" s="43"/>
      <c r="H230" s="40">
        <f t="shared" ref="H230" si="872">+G230*F230</f>
        <v>0</v>
      </c>
      <c r="I230" s="42">
        <f t="shared" si="477"/>
        <v>1.0991379299999999</v>
      </c>
      <c r="J230" s="43">
        <v>11.016999999999999</v>
      </c>
      <c r="K230" s="40">
        <f t="shared" ref="K230" si="873">J230*I230</f>
        <v>12.109202574809999</v>
      </c>
      <c r="L230" s="42"/>
      <c r="M230" s="43"/>
      <c r="N230" s="40">
        <f t="shared" ref="N230" si="874">L230*M230</f>
        <v>0</v>
      </c>
      <c r="O230" s="41">
        <f t="shared" ref="O230" si="875">+E230+H230+K230+N230</f>
        <v>12.109202574809999</v>
      </c>
    </row>
    <row r="231" spans="2:15" ht="26.25" customHeight="1" x14ac:dyDescent="0.35">
      <c r="B231" s="37">
        <v>45880</v>
      </c>
      <c r="C231" s="38"/>
      <c r="D231" s="39"/>
      <c r="E231" s="40">
        <f t="shared" ref="E231" si="876">D231*C231</f>
        <v>0</v>
      </c>
      <c r="F231" s="43"/>
      <c r="G231" s="43"/>
      <c r="H231" s="40">
        <f t="shared" ref="H231" si="877">+G231*F231</f>
        <v>0</v>
      </c>
      <c r="I231" s="42">
        <f t="shared" si="477"/>
        <v>1.0991379299999999</v>
      </c>
      <c r="J231" s="43">
        <v>11.0665</v>
      </c>
      <c r="K231" s="40">
        <f t="shared" ref="K231" si="878">J231*I231</f>
        <v>12.163609902344998</v>
      </c>
      <c r="L231" s="42"/>
      <c r="M231" s="43"/>
      <c r="N231" s="40">
        <f t="shared" ref="N231" si="879">L231*M231</f>
        <v>0</v>
      </c>
      <c r="O231" s="41">
        <f t="shared" ref="O231" si="880">+E231+H231+K231+N231</f>
        <v>12.163609902344998</v>
      </c>
    </row>
  </sheetData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E4" sqref="E4"/>
    </sheetView>
  </sheetViews>
  <sheetFormatPr defaultRowHeight="14.5" x14ac:dyDescent="0.35"/>
  <cols>
    <col min="2" max="2" width="24.90625" bestFit="1" customWidth="1"/>
    <col min="3" max="3" width="14.36328125" customWidth="1"/>
    <col min="4" max="4" width="14.6328125" customWidth="1"/>
    <col min="5" max="5" width="17.54296875" customWidth="1"/>
    <col min="7" max="7" width="14.81640625" customWidth="1"/>
    <col min="9" max="9" width="19.54296875" bestFit="1" customWidth="1"/>
  </cols>
  <sheetData>
    <row r="2" spans="2:7" ht="15.5" x14ac:dyDescent="0.35">
      <c r="B2" s="4" t="s">
        <v>7</v>
      </c>
      <c r="C2" s="5"/>
      <c r="D2" s="5"/>
      <c r="E2" s="6"/>
    </row>
    <row r="3" spans="2:7" ht="26" x14ac:dyDescent="0.35">
      <c r="B3" s="7" t="s">
        <v>8</v>
      </c>
      <c r="C3" s="7" t="s">
        <v>21</v>
      </c>
      <c r="D3" s="7" t="s">
        <v>9</v>
      </c>
      <c r="E3" s="7" t="s">
        <v>10</v>
      </c>
    </row>
    <row r="4" spans="2:7" x14ac:dyDescent="0.35">
      <c r="B4" s="8">
        <v>45873</v>
      </c>
      <c r="C4" s="8">
        <f>B4+21</f>
        <v>45894</v>
      </c>
      <c r="D4" s="10">
        <v>0.17249999999999999</v>
      </c>
      <c r="E4" s="11">
        <v>458</v>
      </c>
      <c r="G4" s="67"/>
    </row>
    <row r="5" spans="2:7" x14ac:dyDescent="0.35">
      <c r="B5" s="8"/>
      <c r="C5" s="8"/>
      <c r="D5" s="10"/>
      <c r="E5" s="11"/>
    </row>
    <row r="6" spans="2:7" x14ac:dyDescent="0.35">
      <c r="B6" s="8"/>
      <c r="C6" s="8"/>
      <c r="D6" s="10"/>
      <c r="E6" s="11"/>
    </row>
    <row r="7" spans="2:7" x14ac:dyDescent="0.35">
      <c r="B7" s="8"/>
      <c r="C7" s="9"/>
      <c r="D7" s="10"/>
      <c r="E7" s="11"/>
    </row>
    <row r="8" spans="2:7" x14ac:dyDescent="0.35">
      <c r="B8" s="8"/>
      <c r="C8" s="9"/>
      <c r="D8" s="10"/>
      <c r="E8" s="11"/>
    </row>
    <row r="9" spans="2:7" x14ac:dyDescent="0.35">
      <c r="B9" s="8"/>
      <c r="C9" s="9"/>
      <c r="D9" s="10"/>
      <c r="E9" s="11"/>
    </row>
    <row r="10" spans="2:7" x14ac:dyDescent="0.35">
      <c r="B10" s="8"/>
      <c r="C10" s="9"/>
      <c r="D10" s="10"/>
      <c r="E10" s="11"/>
    </row>
    <row r="11" spans="2:7" x14ac:dyDescent="0.35">
      <c r="B11" s="74" t="s">
        <v>0</v>
      </c>
      <c r="C11" s="75"/>
      <c r="D11" s="12">
        <f>(SUMPRODUCT(D4:D10,E4:E10))/E11</f>
        <v>0.17249999999999999</v>
      </c>
      <c r="E11" s="13">
        <f>SUM(E4:E10)</f>
        <v>458</v>
      </c>
      <c r="G11" s="65"/>
    </row>
  </sheetData>
  <mergeCells count="1">
    <mergeCell ref="B11:C11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topLeftCell="A7" zoomScaleNormal="100" workbookViewId="0">
      <selection activeCell="E23" sqref="E23"/>
    </sheetView>
  </sheetViews>
  <sheetFormatPr defaultRowHeight="14.5" x14ac:dyDescent="0.35"/>
  <cols>
    <col min="2" max="2" width="28.1796875" customWidth="1"/>
    <col min="3" max="3" width="17.453125" customWidth="1"/>
    <col min="4" max="4" width="14.6328125" customWidth="1"/>
    <col min="5" max="5" width="17.54296875" customWidth="1"/>
    <col min="7" max="7" width="14.81640625" customWidth="1"/>
    <col min="9" max="9" width="19.54296875" bestFit="1" customWidth="1"/>
  </cols>
  <sheetData>
    <row r="3" spans="2:8" ht="16" thickBot="1" x14ac:dyDescent="0.4">
      <c r="B3" s="45" t="s">
        <v>0</v>
      </c>
      <c r="C3" s="47" t="s">
        <v>30</v>
      </c>
      <c r="D3" s="46" t="s">
        <v>21</v>
      </c>
      <c r="E3" s="47" t="s">
        <v>27</v>
      </c>
      <c r="F3" s="45"/>
      <c r="G3" s="61" t="s">
        <v>18</v>
      </c>
      <c r="H3" s="47" t="s">
        <v>24</v>
      </c>
    </row>
    <row r="4" spans="2:8" ht="15.5" x14ac:dyDescent="0.35">
      <c r="B4" s="48" t="s">
        <v>25</v>
      </c>
      <c r="C4" s="48"/>
      <c r="D4" s="49"/>
      <c r="E4" s="50"/>
      <c r="F4" s="50"/>
      <c r="G4" s="50"/>
      <c r="H4" s="51"/>
    </row>
    <row r="5" spans="2:8" ht="15.5" x14ac:dyDescent="0.35">
      <c r="B5" s="52" t="s">
        <v>29</v>
      </c>
      <c r="C5" s="66">
        <v>45072</v>
      </c>
      <c r="D5" s="53">
        <v>46911</v>
      </c>
      <c r="E5" s="62">
        <v>0.105</v>
      </c>
      <c r="F5" s="63"/>
      <c r="G5" s="64">
        <v>650</v>
      </c>
      <c r="H5" s="55" t="s">
        <v>24</v>
      </c>
    </row>
    <row r="6" spans="2:8" ht="15.5" x14ac:dyDescent="0.35">
      <c r="B6" s="52" t="s">
        <v>28</v>
      </c>
      <c r="C6" s="66">
        <v>45072</v>
      </c>
      <c r="D6" s="53">
        <v>46918</v>
      </c>
      <c r="E6" s="62">
        <v>0.105</v>
      </c>
      <c r="F6" s="63"/>
      <c r="G6" s="64">
        <v>600</v>
      </c>
      <c r="H6" s="55" t="s">
        <v>24</v>
      </c>
    </row>
    <row r="7" spans="2:8" ht="15.5" x14ac:dyDescent="0.35">
      <c r="B7" s="52" t="s">
        <v>23</v>
      </c>
      <c r="C7" s="66">
        <v>45098</v>
      </c>
      <c r="D7" s="53">
        <v>46925</v>
      </c>
      <c r="E7" s="62">
        <v>0.105</v>
      </c>
      <c r="F7" s="63"/>
      <c r="G7" s="64">
        <v>300</v>
      </c>
      <c r="H7" s="55" t="s">
        <v>24</v>
      </c>
    </row>
    <row r="8" spans="2:8" ht="15.5" x14ac:dyDescent="0.35">
      <c r="B8" s="52" t="s">
        <v>23</v>
      </c>
      <c r="C8" s="66">
        <v>45287</v>
      </c>
      <c r="D8" s="53">
        <v>47113</v>
      </c>
      <c r="E8" s="62">
        <v>0.105</v>
      </c>
      <c r="F8" s="63"/>
      <c r="G8" s="64">
        <v>1040</v>
      </c>
      <c r="H8" s="55" t="s">
        <v>24</v>
      </c>
    </row>
    <row r="9" spans="2:8" ht="15.5" x14ac:dyDescent="0.35">
      <c r="B9" s="52" t="s">
        <v>28</v>
      </c>
      <c r="C9" s="66">
        <v>45408</v>
      </c>
      <c r="D9" s="53">
        <v>46502</v>
      </c>
      <c r="E9" s="62">
        <v>0.105</v>
      </c>
      <c r="F9" s="63"/>
      <c r="G9" s="64">
        <v>600</v>
      </c>
      <c r="H9" s="55" t="s">
        <v>24</v>
      </c>
    </row>
    <row r="10" spans="2:8" ht="15.5" x14ac:dyDescent="0.35">
      <c r="B10" s="52" t="s">
        <v>22</v>
      </c>
      <c r="C10" s="66">
        <v>45482</v>
      </c>
      <c r="D10" s="53">
        <v>47483</v>
      </c>
      <c r="E10" s="62">
        <v>0.105</v>
      </c>
      <c r="F10" s="63"/>
      <c r="G10" s="64">
        <v>245</v>
      </c>
      <c r="H10" s="55" t="s">
        <v>24</v>
      </c>
    </row>
    <row r="11" spans="2:8" ht="15.5" x14ac:dyDescent="0.35">
      <c r="B11" s="52" t="s">
        <v>29</v>
      </c>
      <c r="C11" s="66">
        <v>45588</v>
      </c>
      <c r="D11" s="53">
        <v>47414</v>
      </c>
      <c r="E11" s="62">
        <v>0.11</v>
      </c>
      <c r="F11" s="63"/>
      <c r="G11" s="64">
        <v>500</v>
      </c>
      <c r="H11" s="55" t="s">
        <v>24</v>
      </c>
    </row>
    <row r="12" spans="2:8" ht="15.5" x14ac:dyDescent="0.35">
      <c r="B12" s="52" t="s">
        <v>28</v>
      </c>
      <c r="C12" s="66">
        <v>45644</v>
      </c>
      <c r="D12" s="53">
        <v>46015</v>
      </c>
      <c r="E12" s="62">
        <v>0.11</v>
      </c>
      <c r="F12" s="63"/>
      <c r="G12" s="64">
        <v>420</v>
      </c>
      <c r="H12" s="55" t="s">
        <v>24</v>
      </c>
    </row>
    <row r="13" spans="2:8" ht="15.5" x14ac:dyDescent="0.35">
      <c r="B13" s="52" t="s">
        <v>31</v>
      </c>
      <c r="C13" s="66">
        <v>45729</v>
      </c>
      <c r="D13" s="53">
        <v>46094</v>
      </c>
      <c r="E13" s="62">
        <v>0.105</v>
      </c>
      <c r="F13" s="54"/>
      <c r="G13" s="64">
        <v>750</v>
      </c>
      <c r="H13" s="55" t="s">
        <v>24</v>
      </c>
    </row>
    <row r="14" spans="2:8" ht="15.5" x14ac:dyDescent="0.35">
      <c r="B14" s="52" t="s">
        <v>32</v>
      </c>
      <c r="C14" s="66">
        <v>45729</v>
      </c>
      <c r="D14" s="53">
        <v>46094</v>
      </c>
      <c r="E14" s="62">
        <v>0.105</v>
      </c>
      <c r="F14" s="54"/>
      <c r="G14" s="64">
        <v>241</v>
      </c>
      <c r="H14" s="55" t="s">
        <v>24</v>
      </c>
    </row>
    <row r="15" spans="2:8" ht="15.5" x14ac:dyDescent="0.35">
      <c r="B15" s="52" t="s">
        <v>34</v>
      </c>
      <c r="C15" s="66">
        <v>45756</v>
      </c>
      <c r="D15" s="53">
        <v>47581</v>
      </c>
      <c r="E15" s="62">
        <v>0.105</v>
      </c>
      <c r="F15" s="54"/>
      <c r="G15" s="64">
        <v>370</v>
      </c>
      <c r="H15" s="55" t="s">
        <v>24</v>
      </c>
    </row>
    <row r="16" spans="2:8" ht="15.5" x14ac:dyDescent="0.35">
      <c r="B16" s="52" t="s">
        <v>33</v>
      </c>
      <c r="C16" s="66">
        <v>45729</v>
      </c>
      <c r="D16" s="53">
        <v>46094</v>
      </c>
      <c r="E16" s="62">
        <v>0.105</v>
      </c>
      <c r="F16" s="54"/>
      <c r="G16" s="64">
        <v>63</v>
      </c>
      <c r="H16" s="55" t="s">
        <v>24</v>
      </c>
    </row>
    <row r="17" spans="2:11" ht="15.5" x14ac:dyDescent="0.35">
      <c r="B17" s="52" t="s">
        <v>35</v>
      </c>
      <c r="C17" s="66">
        <v>45756</v>
      </c>
      <c r="D17" s="53">
        <v>47581</v>
      </c>
      <c r="E17" s="62">
        <v>0.105</v>
      </c>
      <c r="F17" s="54"/>
      <c r="G17" s="64">
        <v>500</v>
      </c>
      <c r="H17" s="55" t="s">
        <v>24</v>
      </c>
    </row>
    <row r="18" spans="2:11" ht="15.5" x14ac:dyDescent="0.35">
      <c r="B18" s="52" t="s">
        <v>34</v>
      </c>
      <c r="C18" s="66">
        <v>45868</v>
      </c>
      <c r="D18" s="53">
        <v>47694</v>
      </c>
      <c r="E18" s="62">
        <v>0.11</v>
      </c>
      <c r="F18" s="54"/>
      <c r="G18" s="64">
        <v>200</v>
      </c>
      <c r="H18" s="55" t="s">
        <v>24</v>
      </c>
    </row>
    <row r="19" spans="2:11" ht="15.5" x14ac:dyDescent="0.35">
      <c r="B19" s="52" t="s">
        <v>35</v>
      </c>
      <c r="C19" s="66">
        <v>45868</v>
      </c>
      <c r="D19" s="53">
        <v>47694</v>
      </c>
      <c r="E19" s="62">
        <v>0.11</v>
      </c>
      <c r="F19" s="54"/>
      <c r="G19" s="64">
        <v>2000</v>
      </c>
      <c r="H19" s="55" t="s">
        <v>24</v>
      </c>
    </row>
    <row r="20" spans="2:11" ht="15.5" x14ac:dyDescent="0.35">
      <c r="B20" s="56" t="s">
        <v>26</v>
      </c>
      <c r="C20" s="56"/>
      <c r="D20" s="57"/>
      <c r="E20" s="58">
        <f t="array" ref="E20">SUM(E5:E19*G5:G19)/G20</f>
        <v>0.10683983960372685</v>
      </c>
      <c r="F20" s="56"/>
      <c r="G20" s="59">
        <f>SUM(G5:G19)</f>
        <v>8479</v>
      </c>
      <c r="H20" s="60" t="s">
        <v>24</v>
      </c>
    </row>
    <row r="21" spans="2:11" x14ac:dyDescent="0.35">
      <c r="K21" s="68"/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4.5" x14ac:dyDescent="0.35"/>
  <cols>
    <col min="1" max="1" width="9.90625" bestFit="1" customWidth="1"/>
    <col min="2" max="2" width="8.81640625" bestFit="1" customWidth="1"/>
    <col min="3" max="3" width="7.26953125" customWidth="1"/>
    <col min="4" max="4" width="36.90625" bestFit="1" customWidth="1"/>
    <col min="5" max="5" width="8.81640625" bestFit="1" customWidth="1"/>
  </cols>
  <sheetData>
    <row r="1" spans="1:1" x14ac:dyDescent="0.35">
      <c r="A1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43</v>
      </c>
    </row>
    <row r="10" spans="1:1" x14ac:dyDescent="0.35">
      <c r="A10" t="s">
        <v>44</v>
      </c>
    </row>
    <row r="11" spans="1:1" x14ac:dyDescent="0.35">
      <c r="A11" t="s">
        <v>41</v>
      </c>
    </row>
    <row r="12" spans="1:1" x14ac:dyDescent="0.35">
      <c r="A12" t="s">
        <v>42</v>
      </c>
    </row>
    <row r="13" spans="1:1" x14ac:dyDescent="0.35">
      <c r="A13" t="s">
        <v>43</v>
      </c>
    </row>
    <row r="14" spans="1:1" x14ac:dyDescent="0.35">
      <c r="A14" t="s">
        <v>44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5" x14ac:dyDescent="0.35">
      <c r="A17" t="s">
        <v>47</v>
      </c>
    </row>
    <row r="18" spans="1:5" x14ac:dyDescent="0.35">
      <c r="A18" t="s">
        <v>48</v>
      </c>
    </row>
    <row r="19" spans="1:5" x14ac:dyDescent="0.35">
      <c r="A19" t="s">
        <v>49</v>
      </c>
    </row>
    <row r="20" spans="1:5" x14ac:dyDescent="0.35">
      <c r="A20" t="s">
        <v>50</v>
      </c>
    </row>
    <row r="21" spans="1:5" x14ac:dyDescent="0.35">
      <c r="A21" t="s">
        <v>51</v>
      </c>
    </row>
    <row r="22" spans="1:5" x14ac:dyDescent="0.35">
      <c r="A22" t="s">
        <v>52</v>
      </c>
    </row>
    <row r="23" spans="1:5" x14ac:dyDescent="0.35">
      <c r="A23" t="s">
        <v>53</v>
      </c>
    </row>
    <row r="24" spans="1:5" x14ac:dyDescent="0.35">
      <c r="A24" t="s">
        <v>54</v>
      </c>
    </row>
    <row r="26" spans="1:5" x14ac:dyDescent="0.35">
      <c r="A26" t="s">
        <v>55</v>
      </c>
    </row>
    <row r="28" spans="1:5" x14ac:dyDescent="0.35">
      <c r="A28" s="67">
        <v>45881</v>
      </c>
    </row>
    <row r="30" spans="1:5" x14ac:dyDescent="0.35">
      <c r="A30" t="s">
        <v>191</v>
      </c>
    </row>
    <row r="32" spans="1:5" x14ac:dyDescent="0.35">
      <c r="A32" t="s">
        <v>56</v>
      </c>
      <c r="B32" t="s">
        <v>57</v>
      </c>
      <c r="C32" t="s">
        <v>58</v>
      </c>
      <c r="D32" t="s">
        <v>59</v>
      </c>
      <c r="E32" t="s">
        <v>60</v>
      </c>
    </row>
    <row r="33" spans="1:5" x14ac:dyDescent="0.35">
      <c r="A33">
        <v>36</v>
      </c>
      <c r="B33" t="s">
        <v>61</v>
      </c>
      <c r="C33">
        <v>1</v>
      </c>
      <c r="D33" t="s">
        <v>62</v>
      </c>
      <c r="E33">
        <v>51.991100000000003</v>
      </c>
    </row>
    <row r="34" spans="1:5" x14ac:dyDescent="0.35">
      <c r="A34">
        <v>944</v>
      </c>
      <c r="B34" t="s">
        <v>63</v>
      </c>
      <c r="C34">
        <v>1</v>
      </c>
      <c r="D34" t="s">
        <v>64</v>
      </c>
      <c r="E34">
        <v>46.863399999999999</v>
      </c>
    </row>
    <row r="35" spans="1:5" x14ac:dyDescent="0.35">
      <c r="A35">
        <v>12</v>
      </c>
      <c r="B35" t="s">
        <v>65</v>
      </c>
      <c r="C35">
        <v>100</v>
      </c>
      <c r="D35" t="s">
        <v>66</v>
      </c>
      <c r="E35">
        <v>61.366500000000002</v>
      </c>
    </row>
    <row r="36" spans="1:5" x14ac:dyDescent="0.35">
      <c r="A36">
        <v>51</v>
      </c>
      <c r="B36" t="s">
        <v>67</v>
      </c>
      <c r="C36">
        <v>100</v>
      </c>
      <c r="D36" t="s">
        <v>68</v>
      </c>
      <c r="E36">
        <v>20.769500000000001</v>
      </c>
    </row>
    <row r="37" spans="1:5" x14ac:dyDescent="0.35">
      <c r="A37">
        <v>764</v>
      </c>
      <c r="B37" t="s">
        <v>36</v>
      </c>
      <c r="C37">
        <v>10</v>
      </c>
      <c r="D37" t="s">
        <v>69</v>
      </c>
      <c r="E37">
        <v>24.641999999999999</v>
      </c>
    </row>
    <row r="38" spans="1:5" x14ac:dyDescent="0.35">
      <c r="A38">
        <v>48</v>
      </c>
      <c r="B38" t="s">
        <v>70</v>
      </c>
      <c r="C38">
        <v>1</v>
      </c>
      <c r="D38" t="s">
        <v>71</v>
      </c>
      <c r="E38">
        <v>211.8364</v>
      </c>
    </row>
    <row r="39" spans="1:5" x14ac:dyDescent="0.35">
      <c r="A39">
        <v>933</v>
      </c>
      <c r="B39" t="s">
        <v>72</v>
      </c>
      <c r="C39">
        <v>1</v>
      </c>
      <c r="D39" t="s">
        <v>73</v>
      </c>
      <c r="E39">
        <v>26.727799999999998</v>
      </c>
    </row>
    <row r="40" spans="1:5" x14ac:dyDescent="0.35">
      <c r="A40">
        <v>975</v>
      </c>
      <c r="B40" t="s">
        <v>74</v>
      </c>
      <c r="C40">
        <v>1</v>
      </c>
      <c r="D40" t="s">
        <v>75</v>
      </c>
      <c r="E40">
        <v>47.446399999999997</v>
      </c>
    </row>
    <row r="41" spans="1:5" x14ac:dyDescent="0.35">
      <c r="A41">
        <v>68</v>
      </c>
      <c r="B41" t="s">
        <v>76</v>
      </c>
      <c r="C41">
        <v>1</v>
      </c>
      <c r="D41" t="s">
        <v>77</v>
      </c>
      <c r="E41">
        <v>11.529299999999999</v>
      </c>
    </row>
    <row r="42" spans="1:5" x14ac:dyDescent="0.35">
      <c r="A42">
        <v>986</v>
      </c>
      <c r="B42" t="s">
        <v>78</v>
      </c>
      <c r="C42">
        <v>1</v>
      </c>
      <c r="D42" t="s">
        <v>79</v>
      </c>
      <c r="E42">
        <v>14.685</v>
      </c>
    </row>
    <row r="43" spans="1:5" x14ac:dyDescent="0.35">
      <c r="A43">
        <v>410</v>
      </c>
      <c r="B43" t="s">
        <v>80</v>
      </c>
      <c r="C43">
        <v>1000</v>
      </c>
      <c r="D43" t="s">
        <v>81</v>
      </c>
      <c r="E43">
        <v>57.4803</v>
      </c>
    </row>
    <row r="44" spans="1:5" x14ac:dyDescent="0.35">
      <c r="A44">
        <v>344</v>
      </c>
      <c r="B44" t="s">
        <v>82</v>
      </c>
      <c r="C44">
        <v>1</v>
      </c>
      <c r="D44" t="s">
        <v>83</v>
      </c>
      <c r="E44">
        <v>10.1669</v>
      </c>
    </row>
    <row r="45" spans="1:5" x14ac:dyDescent="0.35">
      <c r="A45">
        <v>980</v>
      </c>
      <c r="B45" t="s">
        <v>84</v>
      </c>
      <c r="C45">
        <v>10</v>
      </c>
      <c r="D45" t="s">
        <v>85</v>
      </c>
      <c r="E45">
        <v>19.220700000000001</v>
      </c>
    </row>
    <row r="46" spans="1:5" x14ac:dyDescent="0.35">
      <c r="A46">
        <v>208</v>
      </c>
      <c r="B46" t="s">
        <v>86</v>
      </c>
      <c r="C46">
        <v>1</v>
      </c>
      <c r="D46" t="s">
        <v>87</v>
      </c>
      <c r="E46">
        <v>12.4337</v>
      </c>
    </row>
    <row r="47" spans="1:5" x14ac:dyDescent="0.35">
      <c r="A47">
        <v>784</v>
      </c>
      <c r="B47" t="s">
        <v>88</v>
      </c>
      <c r="C47">
        <v>1</v>
      </c>
      <c r="D47" t="s">
        <v>89</v>
      </c>
      <c r="E47">
        <v>21.693000000000001</v>
      </c>
    </row>
    <row r="48" spans="1:5" x14ac:dyDescent="0.35">
      <c r="A48">
        <v>840</v>
      </c>
      <c r="B48" t="s">
        <v>2</v>
      </c>
      <c r="C48">
        <v>1</v>
      </c>
      <c r="D48" t="s">
        <v>90</v>
      </c>
      <c r="E48">
        <v>79.667699999999996</v>
      </c>
    </row>
    <row r="49" spans="1:5" x14ac:dyDescent="0.35">
      <c r="A49">
        <v>704</v>
      </c>
      <c r="B49" t="s">
        <v>91</v>
      </c>
      <c r="C49">
        <v>10000</v>
      </c>
      <c r="D49" t="s">
        <v>92</v>
      </c>
      <c r="E49">
        <v>31.575299999999999</v>
      </c>
    </row>
    <row r="50" spans="1:5" x14ac:dyDescent="0.35">
      <c r="A50">
        <v>978</v>
      </c>
      <c r="B50" t="s">
        <v>3</v>
      </c>
      <c r="C50">
        <v>1</v>
      </c>
      <c r="D50" t="s">
        <v>93</v>
      </c>
      <c r="E50">
        <v>92.948499999999996</v>
      </c>
    </row>
    <row r="51" spans="1:5" x14ac:dyDescent="0.35">
      <c r="A51">
        <v>818</v>
      </c>
      <c r="B51" t="s">
        <v>94</v>
      </c>
      <c r="C51">
        <v>10</v>
      </c>
      <c r="D51" t="s">
        <v>95</v>
      </c>
      <c r="E51">
        <v>16.427900000000001</v>
      </c>
    </row>
    <row r="52" spans="1:5" x14ac:dyDescent="0.35">
      <c r="A52">
        <v>985</v>
      </c>
      <c r="B52" t="s">
        <v>96</v>
      </c>
      <c r="C52">
        <v>1</v>
      </c>
      <c r="D52" t="s">
        <v>97</v>
      </c>
      <c r="E52">
        <v>21.829799999999999</v>
      </c>
    </row>
    <row r="53" spans="1:5" x14ac:dyDescent="0.35">
      <c r="A53">
        <v>392</v>
      </c>
      <c r="B53" t="s">
        <v>98</v>
      </c>
      <c r="C53">
        <v>100</v>
      </c>
      <c r="D53" t="s">
        <v>99</v>
      </c>
      <c r="E53">
        <v>54.136800000000001</v>
      </c>
    </row>
    <row r="54" spans="1:5" x14ac:dyDescent="0.35">
      <c r="A54">
        <v>356</v>
      </c>
      <c r="B54" t="s">
        <v>100</v>
      </c>
      <c r="C54">
        <v>100</v>
      </c>
      <c r="D54" t="s">
        <v>101</v>
      </c>
      <c r="E54">
        <v>90.968100000000007</v>
      </c>
    </row>
    <row r="55" spans="1:5" x14ac:dyDescent="0.35">
      <c r="A55">
        <v>364</v>
      </c>
      <c r="B55" t="s">
        <v>102</v>
      </c>
      <c r="C55">
        <v>100000</v>
      </c>
      <c r="D55" t="s">
        <v>103</v>
      </c>
      <c r="E55">
        <v>13.7308</v>
      </c>
    </row>
    <row r="56" spans="1:5" x14ac:dyDescent="0.35">
      <c r="A56">
        <v>124</v>
      </c>
      <c r="B56" t="s">
        <v>104</v>
      </c>
      <c r="C56">
        <v>1</v>
      </c>
      <c r="D56" t="s">
        <v>105</v>
      </c>
      <c r="E56">
        <v>57.935899999999997</v>
      </c>
    </row>
    <row r="57" spans="1:5" x14ac:dyDescent="0.35">
      <c r="A57">
        <v>634</v>
      </c>
      <c r="B57" t="s">
        <v>106</v>
      </c>
      <c r="C57">
        <v>1</v>
      </c>
      <c r="D57" t="s">
        <v>107</v>
      </c>
      <c r="E57">
        <v>21.886700000000001</v>
      </c>
    </row>
    <row r="58" spans="1:5" x14ac:dyDescent="0.35">
      <c r="A58">
        <v>192</v>
      </c>
      <c r="B58" t="s">
        <v>108</v>
      </c>
      <c r="C58">
        <v>10</v>
      </c>
      <c r="D58" t="s">
        <v>109</v>
      </c>
      <c r="E58">
        <v>33.194899999999997</v>
      </c>
    </row>
    <row r="59" spans="1:5" x14ac:dyDescent="0.35">
      <c r="A59">
        <v>104</v>
      </c>
      <c r="B59" t="s">
        <v>110</v>
      </c>
      <c r="C59">
        <v>1000</v>
      </c>
      <c r="D59" t="s">
        <v>111</v>
      </c>
      <c r="E59">
        <v>37.936999999999998</v>
      </c>
    </row>
    <row r="60" spans="1:5" x14ac:dyDescent="0.35">
      <c r="A60">
        <v>981</v>
      </c>
      <c r="B60" t="s">
        <v>112</v>
      </c>
      <c r="C60">
        <v>1</v>
      </c>
      <c r="D60" t="s">
        <v>113</v>
      </c>
      <c r="E60">
        <v>29.545999999999999</v>
      </c>
    </row>
    <row r="61" spans="1:5" x14ac:dyDescent="0.35">
      <c r="A61">
        <v>498</v>
      </c>
      <c r="B61" t="s">
        <v>114</v>
      </c>
      <c r="C61">
        <v>10</v>
      </c>
      <c r="D61" t="s">
        <v>115</v>
      </c>
      <c r="E61">
        <v>47.271299999999997</v>
      </c>
    </row>
    <row r="62" spans="1:5" x14ac:dyDescent="0.35">
      <c r="A62">
        <v>566</v>
      </c>
      <c r="B62" t="s">
        <v>116</v>
      </c>
      <c r="C62">
        <v>1000</v>
      </c>
      <c r="D62" t="s">
        <v>117</v>
      </c>
      <c r="E62">
        <v>51.949300000000001</v>
      </c>
    </row>
    <row r="63" spans="1:5" x14ac:dyDescent="0.35">
      <c r="A63">
        <v>554</v>
      </c>
      <c r="B63" t="s">
        <v>118</v>
      </c>
      <c r="C63">
        <v>1</v>
      </c>
      <c r="D63" t="s">
        <v>119</v>
      </c>
      <c r="E63">
        <v>47.434100000000001</v>
      </c>
    </row>
    <row r="64" spans="1:5" x14ac:dyDescent="0.35">
      <c r="A64">
        <v>934</v>
      </c>
      <c r="B64" t="s">
        <v>120</v>
      </c>
      <c r="C64">
        <v>1</v>
      </c>
      <c r="D64" t="s">
        <v>121</v>
      </c>
      <c r="E64">
        <v>22.7622</v>
      </c>
    </row>
    <row r="65" spans="1:5" x14ac:dyDescent="0.35">
      <c r="A65">
        <v>578</v>
      </c>
      <c r="B65" t="s">
        <v>122</v>
      </c>
      <c r="C65">
        <v>10</v>
      </c>
      <c r="D65" t="s">
        <v>123</v>
      </c>
      <c r="E65">
        <v>77.628399999999999</v>
      </c>
    </row>
    <row r="66" spans="1:5" x14ac:dyDescent="0.35">
      <c r="A66">
        <v>512</v>
      </c>
      <c r="B66" t="s">
        <v>124</v>
      </c>
      <c r="C66">
        <v>1</v>
      </c>
      <c r="D66" t="s">
        <v>125</v>
      </c>
      <c r="E66">
        <v>207.19820000000001</v>
      </c>
    </row>
    <row r="67" spans="1:5" x14ac:dyDescent="0.35">
      <c r="A67">
        <v>946</v>
      </c>
      <c r="B67" t="s">
        <v>126</v>
      </c>
      <c r="C67">
        <v>1</v>
      </c>
      <c r="D67" t="s">
        <v>127</v>
      </c>
      <c r="E67">
        <v>18.302199999999999</v>
      </c>
    </row>
    <row r="68" spans="1:5" x14ac:dyDescent="0.35">
      <c r="A68">
        <v>360</v>
      </c>
      <c r="B68" t="s">
        <v>128</v>
      </c>
      <c r="C68">
        <v>10000</v>
      </c>
      <c r="D68" t="s">
        <v>129</v>
      </c>
      <c r="E68">
        <v>48.878900000000002</v>
      </c>
    </row>
    <row r="69" spans="1:5" x14ac:dyDescent="0.35">
      <c r="A69">
        <v>710</v>
      </c>
      <c r="B69" t="s">
        <v>130</v>
      </c>
      <c r="C69">
        <v>10</v>
      </c>
      <c r="D69" t="s">
        <v>131</v>
      </c>
      <c r="E69">
        <v>44.976199999999999</v>
      </c>
    </row>
    <row r="70" spans="1:5" x14ac:dyDescent="0.35">
      <c r="A70">
        <v>682</v>
      </c>
      <c r="B70" t="s">
        <v>132</v>
      </c>
      <c r="C70">
        <v>1</v>
      </c>
      <c r="D70" t="s">
        <v>133</v>
      </c>
      <c r="E70">
        <v>21.244700000000002</v>
      </c>
    </row>
    <row r="71" spans="1:5" x14ac:dyDescent="0.35">
      <c r="A71">
        <v>960</v>
      </c>
      <c r="B71" t="s">
        <v>134</v>
      </c>
      <c r="C71">
        <v>1</v>
      </c>
      <c r="D71" t="s">
        <v>135</v>
      </c>
      <c r="E71">
        <v>108.8014</v>
      </c>
    </row>
    <row r="72" spans="1:5" x14ac:dyDescent="0.35">
      <c r="A72">
        <v>941</v>
      </c>
      <c r="B72" t="s">
        <v>136</v>
      </c>
      <c r="C72">
        <v>100</v>
      </c>
      <c r="D72" t="s">
        <v>137</v>
      </c>
      <c r="E72">
        <v>79.373900000000006</v>
      </c>
    </row>
    <row r="73" spans="1:5" x14ac:dyDescent="0.35">
      <c r="A73">
        <v>702</v>
      </c>
      <c r="B73" t="s">
        <v>138</v>
      </c>
      <c r="C73">
        <v>1</v>
      </c>
      <c r="D73" t="s">
        <v>139</v>
      </c>
      <c r="E73">
        <v>62.075499999999998</v>
      </c>
    </row>
    <row r="74" spans="1:5" x14ac:dyDescent="0.35">
      <c r="A74">
        <v>417</v>
      </c>
      <c r="B74" t="s">
        <v>140</v>
      </c>
      <c r="C74">
        <v>100</v>
      </c>
      <c r="D74" t="s">
        <v>141</v>
      </c>
      <c r="E74">
        <v>91.123500000000007</v>
      </c>
    </row>
    <row r="75" spans="1:5" x14ac:dyDescent="0.35">
      <c r="A75">
        <v>972</v>
      </c>
      <c r="B75" t="s">
        <v>142</v>
      </c>
      <c r="C75">
        <v>10</v>
      </c>
      <c r="D75" t="s">
        <v>143</v>
      </c>
      <c r="E75">
        <v>85.001499999999993</v>
      </c>
    </row>
    <row r="76" spans="1:5" x14ac:dyDescent="0.35">
      <c r="A76">
        <v>50</v>
      </c>
      <c r="B76" t="s">
        <v>144</v>
      </c>
      <c r="C76">
        <v>100</v>
      </c>
      <c r="D76" t="s">
        <v>145</v>
      </c>
      <c r="E76">
        <v>65.570700000000002</v>
      </c>
    </row>
    <row r="77" spans="1:5" x14ac:dyDescent="0.35">
      <c r="A77">
        <v>398</v>
      </c>
      <c r="B77" t="s">
        <v>146</v>
      </c>
      <c r="C77">
        <v>100</v>
      </c>
      <c r="D77" t="s">
        <v>147</v>
      </c>
      <c r="E77">
        <v>14.767200000000001</v>
      </c>
    </row>
    <row r="78" spans="1:5" x14ac:dyDescent="0.35">
      <c r="A78">
        <v>496</v>
      </c>
      <c r="B78" t="s">
        <v>148</v>
      </c>
      <c r="C78">
        <v>1000</v>
      </c>
      <c r="D78" t="s">
        <v>149</v>
      </c>
      <c r="E78">
        <v>22.186</v>
      </c>
    </row>
    <row r="79" spans="1:5" x14ac:dyDescent="0.35">
      <c r="A79">
        <v>949</v>
      </c>
      <c r="B79" t="s">
        <v>150</v>
      </c>
      <c r="C79">
        <v>10</v>
      </c>
      <c r="D79" t="s">
        <v>151</v>
      </c>
      <c r="E79">
        <v>19.626999999999999</v>
      </c>
    </row>
    <row r="80" spans="1:5" x14ac:dyDescent="0.35">
      <c r="A80">
        <v>860</v>
      </c>
      <c r="B80" t="s">
        <v>152</v>
      </c>
      <c r="C80">
        <v>10000</v>
      </c>
      <c r="D80" t="s">
        <v>153</v>
      </c>
      <c r="E80">
        <v>62.865099999999998</v>
      </c>
    </row>
    <row r="81" spans="1:5" x14ac:dyDescent="0.35">
      <c r="A81">
        <v>348</v>
      </c>
      <c r="B81" t="s">
        <v>154</v>
      </c>
      <c r="C81">
        <v>100</v>
      </c>
      <c r="D81" t="s">
        <v>155</v>
      </c>
      <c r="E81">
        <v>23.500800000000002</v>
      </c>
    </row>
    <row r="82" spans="1:5" x14ac:dyDescent="0.35">
      <c r="A82">
        <v>826</v>
      </c>
      <c r="B82" t="s">
        <v>156</v>
      </c>
      <c r="C82">
        <v>1</v>
      </c>
      <c r="D82" t="s">
        <v>157</v>
      </c>
      <c r="E82">
        <v>107.0654</v>
      </c>
    </row>
    <row r="83" spans="1:5" x14ac:dyDescent="0.35">
      <c r="A83">
        <v>203</v>
      </c>
      <c r="B83" t="s">
        <v>158</v>
      </c>
      <c r="C83">
        <v>10</v>
      </c>
      <c r="D83" t="s">
        <v>159</v>
      </c>
      <c r="E83">
        <v>37.796599999999998</v>
      </c>
    </row>
    <row r="84" spans="1:5" x14ac:dyDescent="0.35">
      <c r="A84">
        <v>752</v>
      </c>
      <c r="B84" t="s">
        <v>160</v>
      </c>
      <c r="C84">
        <v>10</v>
      </c>
      <c r="D84" t="s">
        <v>161</v>
      </c>
      <c r="E84">
        <v>83.017499999999998</v>
      </c>
    </row>
    <row r="85" spans="1:5" x14ac:dyDescent="0.35">
      <c r="A85">
        <v>756</v>
      </c>
      <c r="B85" t="s">
        <v>162</v>
      </c>
      <c r="C85">
        <v>1</v>
      </c>
      <c r="D85" t="s">
        <v>163</v>
      </c>
      <c r="E85">
        <v>98.549899999999994</v>
      </c>
    </row>
    <row r="86" spans="1:5" x14ac:dyDescent="0.35">
      <c r="A86">
        <v>230</v>
      </c>
      <c r="B86" t="s">
        <v>164</v>
      </c>
      <c r="C86">
        <v>100</v>
      </c>
      <c r="D86" t="s">
        <v>165</v>
      </c>
      <c r="E86">
        <v>57.074800000000003</v>
      </c>
    </row>
    <row r="87" spans="1:5" x14ac:dyDescent="0.35">
      <c r="A87">
        <v>156</v>
      </c>
      <c r="B87" t="s">
        <v>4</v>
      </c>
      <c r="C87">
        <v>1</v>
      </c>
      <c r="D87" t="s">
        <v>166</v>
      </c>
      <c r="E87">
        <v>11.051399999999999</v>
      </c>
    </row>
    <row r="88" spans="1:5" x14ac:dyDescent="0.35">
      <c r="A88" t="s">
        <v>167</v>
      </c>
    </row>
    <row r="89" spans="1:5" x14ac:dyDescent="0.35">
      <c r="A89" t="s">
        <v>168</v>
      </c>
    </row>
    <row r="90" spans="1:5" x14ac:dyDescent="0.35">
      <c r="A90" t="s">
        <v>169</v>
      </c>
    </row>
    <row r="91" spans="1:5" x14ac:dyDescent="0.35">
      <c r="A91" t="s">
        <v>170</v>
      </c>
    </row>
    <row r="92" spans="1:5" x14ac:dyDescent="0.35">
      <c r="A92" t="s">
        <v>192</v>
      </c>
    </row>
    <row r="93" spans="1:5" x14ac:dyDescent="0.35">
      <c r="A93" t="s">
        <v>171</v>
      </c>
    </row>
    <row r="94" spans="1:5" x14ac:dyDescent="0.35">
      <c r="A94" t="s">
        <v>38</v>
      </c>
    </row>
    <row r="95" spans="1:5" x14ac:dyDescent="0.35">
      <c r="A95" t="s">
        <v>172</v>
      </c>
    </row>
    <row r="96" spans="1:5" x14ac:dyDescent="0.35">
      <c r="A96" t="s">
        <v>173</v>
      </c>
    </row>
    <row r="97" spans="1:1" x14ac:dyDescent="0.35">
      <c r="A97" t="s">
        <v>174</v>
      </c>
    </row>
    <row r="98" spans="1:1" x14ac:dyDescent="0.35">
      <c r="A98" t="s">
        <v>175</v>
      </c>
    </row>
    <row r="99" spans="1:1" x14ac:dyDescent="0.35">
      <c r="A99" t="s">
        <v>176</v>
      </c>
    </row>
    <row r="100" spans="1:1" x14ac:dyDescent="0.35">
      <c r="A100" t="s">
        <v>177</v>
      </c>
    </row>
    <row r="101" spans="1:1" x14ac:dyDescent="0.35">
      <c r="A101" t="s">
        <v>178</v>
      </c>
    </row>
    <row r="102" spans="1:1" x14ac:dyDescent="0.35">
      <c r="A102" t="s">
        <v>179</v>
      </c>
    </row>
    <row r="103" spans="1:1" x14ac:dyDescent="0.35">
      <c r="A103" t="s">
        <v>180</v>
      </c>
    </row>
    <row r="104" spans="1:1" x14ac:dyDescent="0.35">
      <c r="A104" t="s">
        <v>181</v>
      </c>
    </row>
    <row r="105" spans="1:1" x14ac:dyDescent="0.35">
      <c r="A105" t="s">
        <v>182</v>
      </c>
    </row>
    <row r="106" spans="1:1" x14ac:dyDescent="0.35">
      <c r="A106" t="s">
        <v>183</v>
      </c>
    </row>
    <row r="107" spans="1:1" x14ac:dyDescent="0.35">
      <c r="A107" t="s">
        <v>184</v>
      </c>
    </row>
    <row r="108" spans="1:1" x14ac:dyDescent="0.35">
      <c r="A108" t="s">
        <v>185</v>
      </c>
    </row>
    <row r="109" spans="1:1" x14ac:dyDescent="0.35">
      <c r="A109" t="s">
        <v>186</v>
      </c>
    </row>
    <row r="110" spans="1:1" x14ac:dyDescent="0.35">
      <c r="A110" t="s">
        <v>187</v>
      </c>
    </row>
    <row r="111" spans="1:1" x14ac:dyDescent="0.35">
      <c r="A111" t="s">
        <v>188</v>
      </c>
    </row>
    <row r="112" spans="1:1" x14ac:dyDescent="0.35">
      <c r="A112" t="s">
        <v>189</v>
      </c>
    </row>
    <row r="113" spans="1:1" x14ac:dyDescent="0.35">
      <c r="A113" t="s">
        <v>190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57B1F10FAA14B90FD66D26E9FE311" ma:contentTypeVersion="0" ma:contentTypeDescription="Create a new document." ma:contentTypeScope="" ma:versionID="13587ca603f5f222f11ac6b66d71b6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3a5799295343142702094037a2fd8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22B2C4-F404-40A2-84BA-FE57FB96F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B874E3-DDF3-4E91-9798-3B95C62AE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77333-D0C2-407C-ACDB-C01A2870BB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Cash in bank report</vt:lpstr>
      <vt:lpstr>Daily exchange</vt:lpstr>
      <vt:lpstr>Time deposit</vt:lpstr>
      <vt:lpstr>LR</vt:lpstr>
      <vt:lpstr>CBR</vt:lpstr>
      <vt:lpstr>CBR!daily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Abbasova Dinara</dc:creator>
  <cp:keywords/>
  <dc:description/>
  <cp:lastModifiedBy>Admin</cp:lastModifiedBy>
  <cp:revision/>
  <dcterms:created xsi:type="dcterms:W3CDTF">2022-03-01T11:25:27Z</dcterms:created>
  <dcterms:modified xsi:type="dcterms:W3CDTF">2025-08-12T06:28:10Z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0x010100AD957B1F10FAA14B90FD66D26E9FE311</vt:lpwstr>
  </property>
  <property fmtid="{D5CDD505-2E9C-101B-9397-08002B2CF9AE}" pid="3" name="MediaServiceImageTags">
    <vt:lpwstr/>
  </property>
</Properties>
</file>